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Executive Dashboard" sheetId="1" state="visible" r:id="rId3"/>
    <sheet name="Read Me &amp; Instructions" sheetId="2" state="visible" r:id="rId4"/>
    <sheet name="Product &amp; SKU Master" sheetId="3" state="visible" r:id="rId5"/>
    <sheet name="Supplier Quotation" sheetId="4" state="visible" r:id="rId6"/>
    <sheet name="Technical Specifications" sheetId="5" state="visible" r:id="rId7"/>
    <sheet name="Exchange Rates" sheetId="6" state="visible" r:id="rId8"/>
    <sheet name="Container Specifications" sheetId="7" state="visible" r:id="rId9"/>
    <sheet name="Loading Geometry" sheetId="8" state="visible" r:id="rId10"/>
    <sheet name="Shipment Configuration" sheetId="9" state="visible" r:id="rId11"/>
    <sheet name="Origin Costs" sheetId="10" state="visible" r:id="rId12"/>
    <sheet name="Ocean Freight" sheetId="11" state="visible" r:id="rId13"/>
    <sheet name="U.S. Port &amp; Customs" sheetId="12" state="visible" r:id="rId14"/>
    <sheet name="Destination Delivery" sheetId="13" state="visible" r:id="rId15"/>
    <sheet name="Tariffs &amp; Customs Value" sheetId="14" state="visible" r:id="rId16"/>
    <sheet name="Landed Cost by SKU" sheetId="15" state="visible" r:id="rId17"/>
    <sheet name="Pricing &amp; Margin" sheetId="16" state="visible" r:id="rId18"/>
    <sheet name="Container Profitability" sheetId="17" state="visible" r:id="rId19"/>
    <sheet name="Sensitivity Analysis" sheetId="18" state="visible" r:id="rId20"/>
    <sheet name="Scenario Comparison" sheetId="19" state="visible" r:id="rId21"/>
    <sheet name="Cash Flow &amp; Working Capital" sheetId="20" state="visible" r:id="rId22"/>
    <sheet name="Competitor Benchmark" sheetId="21" state="visible" r:id="rId23"/>
    <sheet name="Risk Register" sheetId="22" state="visible" r:id="rId24"/>
    <sheet name="Assumptions Register" sheetId="23" state="visible" r:id="rId25"/>
    <sheet name="Source Register" sheetId="24" state="visible" r:id="rId26"/>
    <sheet name="Quote Requests &amp; Missing Data" sheetId="25" state="visible" r:id="rId27"/>
    <sheet name="Calc Engine" sheetId="26" state="visible" r:id="rId28"/>
    <sheet name="Model Checks" sheetId="27" state="visible" r:id="rId29"/>
  </sheets>
  <definedNames>
    <definedName function="false" hidden="false" name="asm_flag" vbProcedure="false">'Assumptions Register'!$K$5:$K$118</definedName>
    <definedName function="false" hidden="false" name="cfg_ct" vbProcedure="false">'Shipment Configuration'!$D$6:$D$15</definedName>
    <definedName function="false" hidden="false" name="cfg_fits" vbProcedure="false">'Shipment Configuration'!$T$6:$V$15</definedName>
    <definedName function="false" hidden="false" name="cfg_key" vbProcedure="false">'Shipment Configuration'!$A$6:$A$15</definedName>
    <definedName function="false" hidden="false" name="cfg_lenutil" vbProcedure="false">'Shipment Configuration'!$W$6:$Y$15</definedName>
    <definedName function="false" hidden="false" name="cfg_n" vbProcedure="false">'Shipment Configuration'!$E$6:$E$15</definedName>
    <definedName function="false" hidden="false" name="cfg_name" vbProcedure="false">'Shipment Configuration'!$B$6:$B$15</definedName>
    <definedName function="false" hidden="false" name="cfg_total" vbProcedure="false">'Shipment Configuration'!$Q$6:$S$15</definedName>
    <definedName function="false" hidden="false" name="cfg_u_3460" vbProcedure="false">'Shipment Configuration'!$N$6:$P$15</definedName>
    <definedName function="false" hidden="false" name="cfg_u_3463" vbProcedure="false">'Shipment Configuration'!$K$6:$M$15</definedName>
    <definedName function="false" hidden="false" name="cfg_u_3464" vbProcedure="false">'Shipment Configuration'!$H$6:$J$15</definedName>
    <definedName function="false" hidden="false" name="chk_overall" vbProcedure="false">'Model Checks'!$C$30</definedName>
    <definedName function="false" hidden="false" name="ct_cube" vbProcedure="false">'Container Specifications'!$J$6:$J$8</definedName>
    <definedName function="false" hidden="false" name="ct_doorH" vbProcedure="false">'Container Specifications'!$G$6:$G$8</definedName>
    <definedName function="false" hidden="false" name="ct_H" vbProcedure="false">'Container Specifications'!$E$6:$E$8</definedName>
    <definedName function="false" hidden="false" name="ct_L" vbProcedure="false">'Container Specifications'!$C$6:$C$8</definedName>
    <definedName function="false" hidden="false" name="ct_road" vbProcedure="false">'Container Specifications'!$L$6:$L$8</definedName>
    <definedName function="false" hidden="false" name="ct_teu" vbProcedure="false">'Container Specifications'!$K$6:$K$9</definedName>
    <definedName function="false" hidden="false" name="ct_W" vbProcedure="false">'Container Specifications'!$D$6:$D$8</definedName>
    <definedName function="false" hidden="false" name="dash_threshold" vbProcedure="false">'Executive Dashboard'!$B$13</definedName>
    <definedName function="false" hidden="false" name="demand_committed" vbProcedure="false">'Executive Dashboard'!$B$65</definedName>
    <definedName function="false" hidden="false" name="dest_gw" vbProcedure="false">'Destination Delivery'!$B$6:$B$10</definedName>
    <definedName function="false" hidden="false" name="dest_name" vbProcedure="false">'Destination Delivery'!$C$6:$C$10</definedName>
    <definedName function="false" hidden="false" name="dest_port" vbProcedure="false">'Destination Delivery'!$N$6:$N$10</definedName>
    <definedName function="false" hidden="false" name="eng_adv" vbProcedure="false">'Calc Engine'!$CO$5:$CO$193</definedName>
    <definedName function="false" hidden="false" name="eng_alloc_chk" vbProcedure="false">'Calc Engine'!$BS$5:$BS$193</definedName>
    <definedName function="false" hidden="false" name="eng_avg_cpb" vbProcedure="false">'Calc Engine'!$DG$5:$DG$193</definedName>
    <definedName function="false" hidden="false" name="eng_avg_price" vbProcedure="false">'Calc Engine'!$DH$5:$DH$193</definedName>
    <definedName function="false" hidden="false" name="eng_a_3460" vbProcedure="false">'Calc Engine'!$DK$5:$DK$193</definedName>
    <definedName function="false" hidden="false" name="eng_a_3463" vbProcedure="false">'Calc Engine'!$DJ$5:$DJ$193</definedName>
    <definedName function="false" hidden="false" name="eng_a_3464" vbProcedure="false">'Calc Engine'!$DI$5:$DI$193</definedName>
    <definedName function="false" hidden="false" name="eng_A_lin" vbProcedure="false">'Calc Engine'!$DT$5:$DT$193</definedName>
    <definedName function="false" hidden="false" name="eng_CASH_TOTAL" vbProcedure="false">'Calc Engine'!$DC$5:$DC$193</definedName>
    <definedName function="false" hidden="false" name="eng_CFC" vbProcedure="false">'Calc Engine'!$BG$5:$BG$193</definedName>
    <definedName function="false" hidden="false" name="eng_cfg" vbProcedure="false">'Calc Engine'!$D$5:$D$193</definedName>
    <definedName function="false" hidden="false" name="eng_chg_gm_0" vbProcedure="false">'Calc Engine'!$DX$5:$DX$193</definedName>
    <definedName function="false" hidden="false" name="eng_chg_gm_t" vbProcedure="false">'Calc Engine'!$DW$5:$DW$193</definedName>
    <definedName function="false" hidden="false" name="eng_CM" vbProcedure="false">'Calc Engine'!$DE$5:$DE$193</definedName>
    <definedName function="false" hidden="false" name="eng_COGS" vbProcedure="false">'Calc Engine'!$BM$5:$BM$193</definedName>
    <definedName function="false" hidden="false" name="eng_comm" vbProcedure="false">'Calc Engine'!$W$5:$W$193</definedName>
    <definedName function="false" hidden="false" name="eng_CONTRIB" vbProcedure="false">'Calc Engine'!$DD$5:$DD$193</definedName>
    <definedName function="false" hidden="false" name="eng_cost_3460" vbProcedure="false">'Calc Engine'!$BR$5:$BR$193</definedName>
    <definedName function="false" hidden="false" name="eng_cost_3463" vbProcedure="false">'Calc Engine'!$BQ$5:$BQ$193</definedName>
    <definedName function="false" hidden="false" name="eng_cost_3464" vbProcedure="false">'Calc Engine'!$BP$5:$BP$193</definedName>
    <definedName function="false" hidden="false" name="eng_cpb_3460" vbProcedure="false">'Calc Engine'!$BZ$5:$BZ$193</definedName>
    <definedName function="false" hidden="false" name="eng_cpb_3463" vbProcedure="false">'Calc Engine'!$BY$5:$BY$193</definedName>
    <definedName function="false" hidden="false" name="eng_cpb_3464" vbProcedure="false">'Calc Engine'!$BX$5:$BX$193</definedName>
    <definedName function="false" hidden="false" name="eng_credit" vbProcedure="false">'Calc Engine'!$U$5:$U$193</definedName>
    <definedName function="false" hidden="false" name="eng_ct" vbProcedure="false">'Calc Engine'!$F$5:$F$193</definedName>
    <definedName function="false" hidden="false" name="eng_cum0" vbProcedure="false">'Calc Engine'!$CX$5:$CX$193</definedName>
    <definedName function="false" hidden="false" name="eng_cum1" vbProcedure="false">'Calc Engine'!$CY$5:$CY$193</definedName>
    <definedName function="false" hidden="false" name="eng_cum2" vbProcedure="false">'Calc Engine'!$CZ$5:$CZ$193</definedName>
    <definedName function="false" hidden="false" name="eng_cum3" vbProcedure="false">'Calc Engine'!$DA$5:$DA$193</definedName>
    <definedName function="false" hidden="false" name="eng_CV" vbProcedure="false">'Calc Engine'!$AY$5:$AY$193</definedName>
    <definedName function="false" hidden="false" name="eng_cv_3460" vbProcedure="false">'Calc Engine'!$AX$5:$AX$193</definedName>
    <definedName function="false" hidden="false" name="eng_cv_3463" vbProcedure="false">'Calc Engine'!$AW$5:$AW$193</definedName>
    <definedName function="false" hidden="false" name="eng_cv_3464" vbProcedure="false">'Calc Engine'!$AV$5:$AV$193</definedName>
    <definedName function="false" hidden="false" name="eng_DELIV" vbProcedure="false">'Calc Engine'!$BK$5:$BK$193</definedName>
    <definedName function="false" hidden="false" name="eng_DEM" vbProcedure="false">'Calc Engine'!$BI$5:$BI$193</definedName>
    <definedName function="false" hidden="false" name="eng_dest" vbProcedure="false">'Calc Engine'!$E$5:$E$193</definedName>
    <definedName function="false" hidden="false" name="eng_distm" vbProcedure="false">'Calc Engine'!$S$5:$S$193</definedName>
    <definedName function="false" hidden="false" name="eng_dmg" vbProcedure="false">'Calc Engine'!$R$5:$R$193</definedName>
    <definedName function="false" hidden="false" name="eng_drayfac" vbProcedure="false">'Calc Engine'!$P$5:$P$193</definedName>
    <definedName function="false" hidden="false" name="eng_DUTY" vbProcedure="false">'Calc Engine'!$BB$5:$BB$193</definedName>
    <definedName function="false" hidden="false" name="eng_duty_rate" vbProcedure="false">'Calc Engine'!$BA$5:$BA$193</definedName>
    <definedName function="false" hidden="false" name="eng_edisc" vbProcedure="false">'Calc Engine'!$T$5:$T$193</definedName>
    <definedName function="false" hidden="false" name="eng_EXAM" vbProcedure="false">'Calc Engine'!$BH$5:$BH$193</definedName>
    <definedName function="false" hidden="false" name="eng_FIN" vbProcedure="false">'Calc Engine'!$CW$5:$CW$193</definedName>
    <definedName function="false" hidden="false" name="eng_fits" vbProcedure="false">'Calc Engine'!$EE$5:$EE$193</definedName>
    <definedName function="false" hidden="false" name="eng_fixed" vbProcedure="false">'Calc Engine'!$EA$5:$EA$193</definedName>
    <definedName function="false" hidden="false" name="eng_fx" vbProcedure="false">'Calc Engine'!$I$5:$I$193</definedName>
    <definedName function="false" hidden="false" name="eng_f_be" vbProcedure="false">'Calc Engine'!$DF$5:$DF$193</definedName>
    <definedName function="false" hidden="false" name="eng_GM" vbProcedure="false">'Calc Engine'!$CF$5:$CF$193</definedName>
    <definedName function="false" hidden="false" name="eng_GP" vbProcedure="false">'Calc Engine'!$CE$5:$CE$193</definedName>
    <definedName function="false" hidden="false" name="eng_g_0" vbProcedure="false">'Calc Engine'!$DV$5:$DV$193</definedName>
    <definedName function="false" hidden="false" name="eng_g_t" vbProcedure="false">'Calc Engine'!$DU$5:$DU$193</definedName>
    <definedName function="false" hidden="false" name="eng_HMF" vbProcedure="false">'Calc Engine'!$BD$5:$BD$193</definedName>
    <definedName function="false" hidden="false" name="eng_INS" vbProcedure="false">'Calc Engine'!$AZ$5:$AZ$193</definedName>
    <definedName function="false" hidden="false" name="eng_ins_marg" vbProcedure="false">'Calc Engine'!$DS$5:$DS$193</definedName>
    <definedName function="false" hidden="false" name="eng_key" vbProcedure="false">'Calc Engine'!$A$5:$A$193</definedName>
    <definedName function="false" hidden="false" name="eng_kg" vbProcedure="false">'Calc Engine'!$AG$5:$AG$193</definedName>
    <definedName function="false" hidden="false" name="eng_label" vbProcedure="false">'Calc Engine'!$B$5:$B$193</definedName>
    <definedName function="false" hidden="false" name="eng_lenutil" vbProcedure="false">'Calc Engine'!$EF$5:$EF$193</definedName>
    <definedName function="false" hidden="false" name="eng_maxexw_3460" vbProcedure="false">'Calc Engine'!$DQ$5:$DQ$193</definedName>
    <definedName function="false" hidden="false" name="eng_maxexw_3463" vbProcedure="false">'Calc Engine'!$DP$5:$DP$193</definedName>
    <definedName function="false" hidden="false" name="eng_maxexw_3464" vbProcedure="false">'Calc Engine'!$DO$5:$DO$193</definedName>
    <definedName function="false" hidden="false" name="eng_max_ocean" vbProcedure="false">'Calc Engine'!$DY$5:$DY$193</definedName>
    <definedName function="false" hidden="false" name="eng_MPF" vbProcedure="false">'Calc Engine'!$BC$5:$BC$193</definedName>
    <definedName function="false" hidden="false" name="eng_mpf_marg" vbProcedure="false">'Calc Engine'!$DR$5:$DR$193</definedName>
    <definedName function="false" hidden="false" name="eng_n" vbProcedure="false">'Calc Engine'!$G$5:$G$193</definedName>
    <definedName function="false" hidden="false" name="eng_nonvatdays" vbProcedure="false">'Calc Engine'!$CV$5:$CV$193</definedName>
    <definedName function="false" hidden="false" name="eng_OCEAN" vbProcedure="false">'Calc Engine'!$AU$5:$AU$193</definedName>
    <definedName function="false" hidden="false" name="eng_oceanfac" vbProcedure="false">'Calc Engine'!$M$5:$M$193</definedName>
    <definedName function="false" hidden="false" name="eng_ocean_ctr" vbProcedure="false">'Calc Engine'!$AT$5:$AT$193</definedName>
    <definedName function="false" hidden="false" name="eng_ORIGIN" vbProcedure="false">'Calc Engine'!$AR$5:$AR$193</definedName>
    <definedName function="false" hidden="false" name="eng_orig_ctr" vbProcedure="false">'Calc Engine'!$AP$5:$AP$193</definedName>
    <definedName function="false" hidden="false" name="eng_orig_shp" vbProcedure="false">'Calc Engine'!$AQ$5:$AQ$193</definedName>
    <definedName function="false" hidden="false" name="eng_out0" vbProcedure="false">'Calc Engine'!$CP$5:$CP$193</definedName>
    <definedName function="false" hidden="false" name="eng_out1" vbProcedure="false">'Calc Engine'!$CQ$5:$CQ$193</definedName>
    <definedName function="false" hidden="false" name="eng_out2" vbProcedure="false">'Calc Engine'!$CR$5:$CR$193</definedName>
    <definedName function="false" hidden="false" name="eng_out3" vbProcedure="false">'Calc Engine'!$CS$5:$CS$193</definedName>
    <definedName function="false" hidden="false" name="eng_o_3460" vbProcedure="false">'Calc Engine'!$DN$5:$DN$193</definedName>
    <definedName function="false" hidden="false" name="eng_o_3463" vbProcedure="false">'Calc Engine'!$DM$5:$DM$193</definedName>
    <definedName function="false" hidden="false" name="eng_o_3464" vbProcedure="false">'Calc Engine'!$DL$5:$DL$193</definedName>
    <definedName function="false" hidden="false" name="eng_pdiff" vbProcedure="false">'Calc Engine'!$AS$5:$AS$193</definedName>
    <definedName function="false" hidden="false" name="eng_PEAK" vbProcedure="false">'Calc Engine'!$DB$5:$DB$193</definedName>
    <definedName function="false" hidden="false" name="eng_port" vbProcedure="false">'Calc Engine'!$H$5:$H$193</definedName>
    <definedName function="false" hidden="false" name="eng_pricefac" vbProcedure="false">'Calc Engine'!$N$5:$N$193</definedName>
    <definedName function="false" hidden="false" name="eng_price_3460" vbProcedure="false">'Calc Engine'!$CC$5:$CC$193</definedName>
    <definedName function="false" hidden="false" name="eng_price_3463" vbProcedure="false">'Calc Engine'!$CB$5:$CB$193</definedName>
    <definedName function="false" hidden="false" name="eng_price_3464" vbProcedure="false">'Calc Engine'!$CA$5:$CA$193</definedName>
    <definedName function="false" hidden="false" name="eng_p_u" vbProcedure="false">'Calc Engine'!$EB$5:$EB$193</definedName>
    <definedName function="false" hidden="false" name="eng_req" vbProcedure="false">'Calc Engine'!$AH$5:$AH$193</definedName>
    <definedName function="false" hidden="false" name="eng_REV" vbProcedure="false">'Calc Engine'!$CD$5:$CD$193</definedName>
    <definedName function="false" hidden="false" name="eng_s301" vbProcedure="false">'Calc Engine'!$L$5:$L$193</definedName>
    <definedName function="false" hidden="false" name="eng_SALE" vbProcedure="false">'Calc Engine'!$BW$5:$BW$193</definedName>
    <definedName function="false" hidden="false" name="eng_sale_3460" vbProcedure="false">'Calc Engine'!$BV$5:$BV$193</definedName>
    <definedName function="false" hidden="false" name="eng_sale_3463" vbProcedure="false">'Calc Engine'!$BU$5:$BU$193</definedName>
    <definedName function="false" hidden="false" name="eng_sale_3464" vbProcedure="false">'Calc Engine'!$BT$5:$BT$193</definedName>
    <definedName function="false" hidden="false" name="eng_scen" vbProcedure="false">'Calc Engine'!$C$5:$C$193</definedName>
    <definedName function="false" hidden="false" name="eng_SELL_FIX" vbProcedure="false">'Calc Engine'!$CI$5:$CI$193</definedName>
    <definedName function="false" hidden="false" name="eng_SELL_VAR" vbProcedure="false">'Calc Engine'!$CH$5:$CH$193</definedName>
    <definedName function="false" hidden="false" name="eng_shared_admin" vbProcedure="false">'Calc Engine'!$BO$5:$BO$193</definedName>
    <definedName function="false" hidden="false" name="eng_shared_space" vbProcedure="false">'Calc Engine'!$BN$5:$BN$193</definedName>
    <definedName function="false" hidden="false" name="eng_STB" vbProcedure="false">'Calc Engine'!$BE$5:$BE$193</definedName>
    <definedName function="false" hidden="false" name="eng_SUP" vbProcedure="false">'Calc Engine'!$AL$5:$AL$193</definedName>
    <definedName function="false" hidden="false" name="eng_supfac" vbProcedure="false">'Calc Engine'!$J$5:$J$193</definedName>
    <definedName function="false" hidden="false" name="eng_sup_3460" vbProcedure="false">'Calc Engine'!$AK$5:$AK$193</definedName>
    <definedName function="false" hidden="false" name="eng_sup_3463" vbProcedure="false">'Calc Engine'!$AJ$5:$AJ$193</definedName>
    <definedName function="false" hidden="false" name="eng_sup_3464" vbProcedure="false">'Calc Engine'!$AI$5:$AI$193</definedName>
    <definedName function="false" hidden="false" name="eng_t1" vbProcedure="false">'Calc Engine'!$CJ$5:$CJ$193</definedName>
    <definedName function="false" hidden="false" name="eng_t2" vbProcedure="false">'Calc Engine'!$CK$5:$CK$193</definedName>
    <definedName function="false" hidden="false" name="eng_t3" vbProcedure="false">'Calc Engine'!$CL$5:$CL$193</definedName>
    <definedName function="false" hidden="false" name="eng_t4" vbProcedure="false">'Calc Engine'!$CM$5:$CM$193</definedName>
    <definedName function="false" hidden="false" name="eng_testfac" vbProcedure="false">'Calc Engine'!$X$5:$X$193</definedName>
    <definedName function="false" hidden="false" name="eng_tooling" vbProcedure="false">'Calc Engine'!$AO$5:$AO$193</definedName>
    <definedName function="false" hidden="false" name="eng_tref" vbProcedure="false">'Calc Engine'!$CN$5:$CN$193</definedName>
    <definedName function="false" hidden="false" name="eng_truckfac" vbProcedure="false">'Calc Engine'!$V$5:$V$193</definedName>
    <definedName function="false" hidden="false" name="eng_U" vbProcedure="false">'Calc Engine'!$AB$5:$AB$193</definedName>
    <definedName function="false" hidden="false" name="eng_unitflag" vbProcedure="false">'Calc Engine'!$EG$5:$EG$193</definedName>
    <definedName function="false" hidden="false" name="eng_unitsfac" vbProcedure="false">'Calc Engine'!$O$5:$O$193</definedName>
    <definedName function="false" hidden="false" name="eng_units_3460" vbProcedure="false">'Calc Engine'!$AA$5:$AA$193</definedName>
    <definedName function="false" hidden="false" name="eng_units_3463" vbProcedure="false">'Calc Engine'!$Z$5:$Z$193</definedName>
    <definedName function="false" hidden="false" name="eng_units_3464" vbProcedure="false">'Calc Engine'!$Y$5:$Y$193</definedName>
    <definedName function="false" hidden="false" name="eng_UNLOAD" vbProcedure="false">'Calc Engine'!$BL$5:$BL$193</definedName>
    <definedName function="false" hidden="false" name="eng_unloadfac" vbProcedure="false">'Calc Engine'!$Q$5:$Q$193</definedName>
    <definedName function="false" hidden="false" name="eng_US_CTR" vbProcedure="false">'Calc Engine'!$BJ$5:$BJ$193</definedName>
    <definedName function="false" hidden="false" name="eng_US_SHP" vbProcedure="false">'Calc Engine'!$BF$5:$BF$193</definedName>
    <definedName function="false" hidden="false" name="eng_u_be_0" vbProcedure="false">'Calc Engine'!$ED$5:$ED$193</definedName>
    <definedName function="false" hidden="false" name="eng_u_be_t" vbProcedure="false">'Calc Engine'!$EC$5:$EC$193</definedName>
    <definedName function="false" hidden="false" name="eng_V" vbProcedure="false">'Calc Engine'!$AF$5:$AF$193</definedName>
    <definedName function="false" hidden="false" name="eng_var_pct" vbProcedure="false">'Calc Engine'!$CG$5:$CG$193</definedName>
    <definedName function="false" hidden="false" name="eng_var_u" vbProcedure="false">'Calc Engine'!$DZ$5:$DZ$193</definedName>
    <definedName function="false" hidden="false" name="eng_vatdays" vbProcedure="false">'Calc Engine'!$CU$5:$CU$193</definedName>
    <definedName function="false" hidden="false" name="eng_vatmode" vbProcedure="false">'Calc Engine'!$K$5:$K$193</definedName>
    <definedName function="false" hidden="false" name="eng_vatref" vbProcedure="false">'Calc Engine'!$CT$5:$CT$193</definedName>
    <definedName function="false" hidden="false" name="eng_VAT_CASH" vbProcedure="false">'Calc Engine'!$AM$5:$AM$193</definedName>
    <definedName function="false" hidden="false" name="eng_VAT_ECON" vbProcedure="false">'Calc Engine'!$AN$5:$AN$193</definedName>
    <definedName function="false" hidden="false" name="eng_vol_3460" vbProcedure="false">'Calc Engine'!$AE$5:$AE$193</definedName>
    <definedName function="false" hidden="false" name="eng_vol_3463" vbProcedure="false">'Calc Engine'!$AD$5:$AD$193</definedName>
    <definedName function="false" hidden="false" name="eng_vol_3464" vbProcedure="false">'Calc Engine'!$AC$5:$AC$193</definedName>
    <definedName function="false" hidden="false" name="fx_active" vbProcedure="false">'Exchange Rates'!$G$11</definedName>
    <definedName function="false" hidden="false" name="fx_date" vbProcedure="false">'Exchange Rates'!$C$24</definedName>
    <definedName function="false" hidden="false" name="fx_eff" vbProcedure="false">'Exchange Rates'!$D$11:$F$11</definedName>
    <definedName function="false" hidden="false" name="in_cus_broker" vbProcedure="false">'U.S. Port &amp; Customs'!$D$6:$F$6</definedName>
    <definedName function="false" hidden="false" name="in_cus_cfc" vbProcedure="false">'U.S. Port &amp; Customs'!$D$11:$F$11</definedName>
    <definedName function="false" hidden="false" name="in_cus_cfc_in_freight" vbProcedure="false">'U.S. Port &amp; Customs'!$D$12:$F$12</definedName>
    <definedName function="false" hidden="false" name="in_cus_dem_days" vbProcedure="false">'U.S. Port &amp; Customs'!$D$16:$F$16</definedName>
    <definedName function="false" hidden="false" name="in_cus_dem_rate" vbProcedure="false">'U.S. Port &amp; Customs'!$D$17:$F$17</definedName>
    <definedName function="false" hidden="false" name="in_cus_do_fee" vbProcedure="false">'U.S. Port &amp; Customs'!$D$13:$F$13</definedName>
    <definedName function="false" hidden="false" name="in_cus_exam" vbProcedure="false">'U.S. Port &amp; Customs'!$D$14:$F$14</definedName>
    <definedName function="false" hidden="false" name="in_cus_exam_dray" vbProcedure="false">'U.S. Port &amp; Customs'!$D$15:$F$15</definedName>
    <definedName function="false" hidden="false" name="in_cus_hmf" vbProcedure="false">'Tariffs &amp; Customs Value'!$D$11:$F$11</definedName>
    <definedName function="false" hidden="false" name="in_cus_isf" vbProcedure="false">'U.S. Port &amp; Customs'!$D$7:$F$7</definedName>
    <definedName function="false" hidden="false" name="in_cus_isf_bond" vbProcedure="false">'U.S. Port &amp; Customs'!$D$10:$F$10</definedName>
    <definedName function="false" hidden="false" name="in_cus_mfn" vbProcedure="false">'Tariffs &amp; Customs Value'!$D$6:$F$6</definedName>
    <definedName function="false" hidden="false" name="in_cus_mpf_max" vbProcedure="false">'Tariffs &amp; Customs Value'!$D$10:$F$10</definedName>
    <definedName function="false" hidden="false" name="in_cus_mpf_min" vbProcedure="false">'Tariffs &amp; Customs Value'!$D$9:$F$9</definedName>
    <definedName function="false" hidden="false" name="in_cus_mpf_rate" vbProcedure="false">'Tariffs &amp; Customs Value'!$D$8:$F$8</definedName>
    <definedName function="false" hidden="false" name="in_cus_s301" vbProcedure="false">'Tariffs &amp; Customs Value'!$D$7:$F$7</definedName>
    <definedName function="false" hidden="false" name="in_cus_stb_min" vbProcedure="false">'U.S. Port &amp; Customs'!$D$9:$F$9</definedName>
    <definedName function="false" hidden="false" name="in_cus_stb_rate" vbProcedure="false">'U.S. Port &amp; Customs'!$D$8:$F$8</definedName>
    <definedName function="false" hidden="false" name="in_dra_chassis_days" vbProcedure="false">'Destination Delivery'!$D$16:$F$16</definedName>
    <definedName function="false" hidden="false" name="in_dra_chassis_in_dray" vbProcedure="false">'Destination Delivery'!$D$20:$F$20</definedName>
    <definedName function="false" hidden="false" name="in_dra_dryrun" vbProcedure="false">'Destination Delivery'!$D$23:$F$23</definedName>
    <definedName function="false" hidden="false" name="in_dra_fsc" vbProcedure="false">'Destination Delivery'!$D$15:$F$15</definedName>
    <definedName function="false" hidden="false" name="in_dra_lcl_cfs_d" vbProcedure="false">'Destination Delivery'!$D$26:$F$26</definedName>
    <definedName function="false" hidden="false" name="in_dra_lcl_deliv" vbProcedure="false">'Destination Delivery'!$D$27:$F$27</definedName>
    <definedName function="false" hidden="false" name="in_dra_prepull" vbProcedure="false">'Destination Delivery'!$D$22:$F$22</definedName>
    <definedName function="false" hidden="false" name="in_dra_split" vbProcedure="false">'Destination Delivery'!$D$19:$F$19</definedName>
    <definedName function="false" hidden="false" name="in_dra_unload_20" vbProcedure="false">'Destination Delivery'!$D$24:$F$24</definedName>
    <definedName function="false" hidden="false" name="in_dra_unload_40" vbProcedure="false">'Destination Delivery'!$D$25:$F$25</definedName>
    <definedName function="false" hidden="false" name="in_dra_unload_in_dray" vbProcedure="false">'Destination Delivery'!$D$21:$F$21</definedName>
    <definedName function="false" hidden="false" name="in_dra_wait_hours" vbProcedure="false">'Destination Delivery'!$D$17:$F$17</definedName>
    <definedName function="false" hidden="false" name="in_dra_wait_rate" vbProcedure="false">'Destination Delivery'!$D$18:$F$18</definedName>
    <definedName function="false" hidden="false" name="in_eng_grammage" vbProcedure="false">'Technical Specifications'!$D$29:$F$29</definedName>
    <definedName function="false" hidden="false" name="in_eng_k_len" vbProcedure="false">'Technical Specifications'!$D$26:$F$26</definedName>
    <definedName function="false" hidden="false" name="in_eng_net_area" vbProcedure="false">'Technical Specifications'!$D$28:$F$28</definedName>
    <definedName function="false" hidden="false" name="in_eng_per_bundle" vbProcedure="false">'Technical Specifications'!$D$31:$F$31</definedName>
    <definedName function="false" hidden="false" name="in_eng_pitch" vbProcedure="false">'Technical Specifications'!$D$30:$F$30</definedName>
    <definedName function="false" hidden="false" name="in_eng_wrap_kg" vbProcedure="false">'Technical Specifications'!$D$33:$F$33</definedName>
    <definedName function="false" hidden="false" name="in_eng_wrap_mm" vbProcedure="false">'Technical Specifications'!$D$32:$F$32</definedName>
    <definedName function="false" hidden="false" name="in_eng_w_allow" vbProcedure="false">'Technical Specifications'!$D$27:$F$27</definedName>
    <definedName function="false" hidden="false" name="in_fx_cbe" vbProcedure="false">'Exchange Rates'!$D$6:$F$6</definedName>
    <definedName function="false" hidden="false" name="in_fx_spread" vbProcedure="false">'Exchange Rates'!$D$7:$F$7</definedName>
    <definedName function="false" hidden="false" name="in_mkt_dist_margin" vbProcedure="false">'Competitor Benchmark'!$D$26:$F$26</definedName>
    <definedName function="false" hidden="false" name="in_mkt_eflute_disc" vbProcedure="false">'Competitor Benchmark'!$D$25:$F$25</definedName>
    <definedName function="false" hidden="false" name="in_mkt_listing_3460" vbProcedure="false">'Competitor Benchmark'!$D$24:$F$24</definedName>
    <definedName function="false" hidden="false" name="in_mkt_listing_3463" vbProcedure="false">'Competitor Benchmark'!$D$23:$F$23</definedName>
    <definedName function="false" hidden="false" name="in_mkt_listing_3464" vbProcedure="false">'Competitor Benchmark'!$D$22:$F$22</definedName>
    <definedName function="false" hidden="false" name="in_oce_ams" vbProcedure="false">'Ocean Freight'!$D$9:$F$9</definedName>
    <definedName function="false" hidden="false" name="in_oce_ins_in_other" vbProcedure="false">'Ocean Freight'!$D$14:$F$14</definedName>
    <definedName function="false" hidden="false" name="in_oce_ins_min" vbProcedure="false">'Ocean Freight'!$D$13:$F$13</definedName>
    <definedName function="false" hidden="false" name="in_oce_ins_rate" vbProcedure="false">'Ocean Freight'!$D$11:$F$11</definedName>
    <definedName function="false" hidden="false" name="in_oce_ins_uplift" vbProcedure="false">'Ocean Freight'!$D$12:$F$12</definedName>
    <definedName function="false" hidden="false" name="in_oce_lcl_extra_days" vbProcedure="false">'Ocean Freight'!$D$17:$F$17</definedName>
    <definedName function="false" hidden="false" name="in_oce_lcl_factor" vbProcedure="false">'Ocean Freight'!$D$16:$F$16</definedName>
    <definedName function="false" hidden="false" name="in_oce_lcl_rate" vbProcedure="false">'Ocean Freight'!$D$15:$F$15</definedName>
    <definedName function="false" hidden="false" name="in_oce_rate_20" vbProcedure="false">'Ocean Freight'!$D$6:$F$6</definedName>
    <definedName function="false" hidden="false" name="in_oce_rate_40" vbProcedure="false">'Ocean Freight'!$D$7:$F$7</definedName>
    <definedName function="false" hidden="false" name="in_oce_rate_hc" vbProcedure="false">'Ocean Freight'!$D$8:$F$8</definedName>
    <definedName function="false" hidden="false" name="in_oce_transit" vbProcedure="false">'Ocean Freight'!$D$10:$F$10</definedName>
    <definedName function="false" hidden="false" name="in_ori_bl_fee" vbProcedure="false">'Origin Costs'!$D$15:$F$15</definedName>
    <definedName function="false" hidden="false" name="in_ori_clearance" vbProcedure="false">'Origin Costs'!$D$8:$F$8</definedName>
    <definedName function="false" hidden="false" name="in_ori_coo" vbProcedure="false">'Origin Costs'!$D$9:$F$9</definedName>
    <definedName function="false" hidden="false" name="in_ori_dd_20" vbProcedure="false">'Origin Costs'!$D$19:$F$19</definedName>
    <definedName function="false" hidden="false" name="in_ori_dd_40" vbProcedure="false">'Origin Costs'!$D$20:$F$20</definedName>
    <definedName function="false" hidden="false" name="in_ori_dd_days" vbProcedure="false">'Origin Costs'!$D$18:$F$18</definedName>
    <definedName function="false" hidden="false" name="in_ori_fwd_fee" vbProcedure="false">'Origin Costs'!$D$16:$F$16</definedName>
    <definedName function="false" hidden="false" name="in_ori_inspection" vbProcedure="false">'Origin Costs'!$D$17:$F$17</definedName>
    <definedName function="false" hidden="false" name="in_ori_lcl_cfs_o" vbProcedure="false">'Origin Costs'!$D$26:$F$26</definedName>
    <definedName function="false" hidden="false" name="in_ori_lcl_truck" vbProcedure="false">'Origin Costs'!$D$25:$F$25</definedName>
    <definedName function="false" hidden="false" name="in_ori_loading_egp" vbProcedure="false">'Origin Costs'!$D$21:$F$21</definedName>
    <definedName function="false" hidden="false" name="in_ori_othc_20" vbProcedure="false">'Origin Costs'!$D$11:$F$11</definedName>
    <definedName function="false" hidden="false" name="in_ori_othc_40" vbProcedure="false">'Origin Costs'!$D$12:$F$12</definedName>
    <definedName function="false" hidden="false" name="in_ori_othc_in_freight" vbProcedure="false">'Origin Costs'!$D$13:$F$13</definedName>
    <definedName function="false" hidden="false" name="in_ori_qc" vbProcedure="false">'Origin Costs'!$D$22:$F$22</definedName>
    <definedName function="false" hidden="false" name="in_ori_seal" vbProcedure="false">'Origin Costs'!$D$14:$F$14</definedName>
    <definedName function="false" hidden="false" name="in_ori_terminal" vbProcedure="false">'Origin Costs'!$D$10:$F$10</definedName>
    <definedName function="false" hidden="false" name="in_ori_truck_20" vbProcedure="false">'Origin Costs'!$D$6:$F$6</definedName>
    <definedName function="false" hidden="false" name="in_ori_truck_40" vbProcedure="false">'Origin Costs'!$D$7:$F$7</definedName>
    <definedName function="false" hidden="false" name="in_ori_wires" vbProcedure="false">'Origin Costs'!$D$23:$F$23</definedName>
    <definedName function="false" hidden="false" name="in_ori_wire_fee" vbProcedure="false">'Origin Costs'!$D$24:$F$24</definedName>
    <definedName function="false" hidden="false" name="in_sel_admin" vbProcedure="false">'Pricing &amp; Margin'!$D$13:$F$13</definedName>
    <definedName function="false" hidden="false" name="in_sel_bad_debt" vbProcedure="false">'Pricing &amp; Margin'!$D$8:$F$8</definedName>
    <definedName function="false" hidden="false" name="in_sel_commission" vbProcedure="false">'Pricing &amp; Margin'!$D$6:$F$6</definedName>
    <definedName function="false" hidden="false" name="in_sel_credit_days" vbProcedure="false">'Pricing &amp; Margin'!$D$9:$F$9</definedName>
    <definedName function="false" hidden="false" name="in_sel_damage" vbProcedure="false">'Pricing &amp; Margin'!$D$11:$F$11</definedName>
    <definedName function="false" hidden="false" name="in_sel_fin_rate" vbProcedure="false">'Pricing &amp; Margin'!$D$10:$F$10</definedName>
    <definedName function="false" hidden="false" name="in_sel_processing" vbProcedure="false">'Pricing &amp; Margin'!$D$7:$F$7</definedName>
    <definedName function="false" hidden="false" name="in_sel_setup" vbProcedure="false">'Pricing &amp; Margin'!$D$14:$F$14</definedName>
    <definedName function="false" hidden="false" name="in_sel_testing" vbProcedure="false">'Pricing &amp; Margin'!$D$12:$F$12</definedName>
    <definedName function="false" hidden="false" name="in_sup_advance" vbProcedure="false">'Supplier Quotation'!$D$48:$F$48</definedName>
    <definedName function="false" hidden="false" name="in_sup_lead_days" vbProcedure="false">'Supplier Quotation'!$D$50:$F$50</definedName>
    <definedName function="false" hidden="false" name="in_sup_requote" vbProcedure="false">'Supplier Quotation'!$D$44:$F$44</definedName>
    <definedName function="false" hidden="false" name="in_sup_tooling_egp" vbProcedure="false">'Supplier Quotation'!$D$49:$F$49</definedName>
    <definedName function="false" hidden="false" name="in_sup_vat_lag" vbProcedure="false">'Supplier Quotation'!$D$47:$F$47</definedName>
    <definedName function="false" hidden="false" name="in_sup_vat_mode" vbProcedure="false">'Supplier Quotation'!$D$46:$F$46</definedName>
    <definedName function="false" hidden="false" name="in_sup_vat_rate" vbProcedure="false">'Supplier Quotation'!$D$45:$F$45</definedName>
    <definedName function="false" hidden="false" name="in_use_efficiency" vbProcedure="false">'Container Specifications'!$D$16:$F$16</definedName>
    <definedName function="false" hidden="false" name="in_use_hgt_ded" vbProcedure="false">'Container Specifications'!$D$15:$F$15</definedName>
    <definedName function="false" hidden="false" name="in_use_len_ded" vbProcedure="false">'Container Specifications'!$D$13:$F$13</definedName>
    <definedName function="false" hidden="false" name="in_use_wid_ded" vbProcedure="false">'Container Specifications'!$D$14:$F$14</definedName>
    <definedName function="false" hidden="false" name="led_cash" vbProcedure="false">'Landed Cost by SKU'!$O$7:$O$46</definedName>
    <definedName function="false" hidden="false" name="led_cat" vbProcedure="false">'Landed Cost by SKU'!$B$7:$B$46</definedName>
    <definedName function="false" hidden="false" name="led_chk_alloc" vbProcedure="false">'Landed Cost by SKU'!$J$65</definedName>
    <definedName function="false" hidden="false" name="led_chk_cogs" vbProcedure="false">'Landed Cost by SKU'!$Q$48</definedName>
    <definedName function="false" hidden="false" name="led_chk_delivery" vbProcedure="false">'Landed Cost by SKU'!$Q$53</definedName>
    <definedName function="false" hidden="false" name="led_chk_dup" vbProcedure="false">'Landed Cost by SKU'!$Q$49</definedName>
    <definedName function="false" hidden="false" name="led_chk_duty" vbProcedure="false">'Landed Cost by SKU'!$Q$52</definedName>
    <definedName function="false" hidden="false" name="led_chk_ocean" vbProcedure="false">'Landed Cost by SKU'!$Q$51</definedName>
    <definedName function="false" hidden="false" name="led_chk_origin" vbProcedure="false">'Landed Cost by SKU'!$Q$50</definedName>
    <definedName function="false" hidden="false" name="led_chk_recon" vbProcedure="false">'Landed Cost by SKU'!$E$91</definedName>
    <definedName function="false" hidden="false" name="led_econ" vbProcedure="false">'Landed Cost by SKU'!$P$7:$P$46</definedName>
    <definedName function="false" hidden="false" name="led_ids" vbProcedure="false">'Landed Cost by SKU'!$A$7:$A$46</definedName>
    <definedName function="false" hidden="false" name="led_incl" vbProcedure="false">'Landed Cost by SKU'!$Q$7:$Q$46</definedName>
    <definedName function="false" hidden="false" name="led_total_cash" vbProcedure="false">'Landed Cost by SKU'!$O$47</definedName>
    <definedName function="false" hidden="false" name="led_total_econ" vbProcedure="false">'Landed Cost by SKU'!$P$47</definedName>
    <definedName function="false" hidden="false" name="lg_a_3460" vbProcedure="false">'Loading Geometry'!$P$12:$P$14</definedName>
    <definedName function="false" hidden="false" name="lg_a_3463" vbProcedure="false">'Loading Geometry'!$P$9:$P$11</definedName>
    <definedName function="false" hidden="false" name="lg_a_3464" vbProcedure="false">'Loading Geometry'!$P$6:$P$8</definedName>
    <definedName function="false" hidden="false" name="lg_bkg_3460" vbProcedure="false">'Loading Geometry'!$U$12:$U$14</definedName>
    <definedName function="false" hidden="false" name="lg_bkg_3463" vbProcedure="false">'Loading Geometry'!$U$9:$U$11</definedName>
    <definedName function="false" hidden="false" name="lg_bkg_3464" vbProcedure="false">'Loading Geometry'!$U$6:$U$8</definedName>
    <definedName function="false" hidden="false" name="lg_blankkg_3460" vbProcedure="false">'Loading Geometry'!$N$12:$N$14</definedName>
    <definedName function="false" hidden="false" name="lg_blankkg_3463" vbProcedure="false">'Loading Geometry'!$N$9:$N$11</definedName>
    <definedName function="false" hidden="false" name="lg_blankkg_3464" vbProcedure="false">'Loading Geometry'!$N$6:$N$8</definedName>
    <definedName function="false" hidden="false" name="lg_blankL_3460" vbProcedure="false">'Loading Geometry'!$I$12:$I$14</definedName>
    <definedName function="false" hidden="false" name="lg_blankL_3463" vbProcedure="false">'Loading Geometry'!$I$9:$I$11</definedName>
    <definedName function="false" hidden="false" name="lg_blankL_3464" vbProcedure="false">'Loading Geometry'!$I$6:$I$8</definedName>
    <definedName function="false" hidden="false" name="lg_blankW_3460" vbProcedure="false">'Loading Geometry'!$J$12:$J$14</definedName>
    <definedName function="false" hidden="false" name="lg_blankW_3463" vbProcedure="false">'Loading Geometry'!$J$9:$J$11</definedName>
    <definedName function="false" hidden="false" name="lg_blankW_3464" vbProcedure="false">'Loading Geometry'!$J$6:$J$8</definedName>
    <definedName function="false" hidden="false" name="lg_bvol_3460" vbProcedure="false">'Loading Geometry'!$V$12:$V$14</definedName>
    <definedName function="false" hidden="false" name="lg_bvol_3463" vbProcedure="false">'Loading Geometry'!$V$9:$V$11</definedName>
    <definedName function="false" hidden="false" name="lg_bvol_3464" vbProcedure="false">'Loading Geometry'!$V$6:$V$8</definedName>
    <definedName function="false" hidden="false" name="lg_b_3460" vbProcedure="false">'Loading Geometry'!$Q$12:$Q$14</definedName>
    <definedName function="false" hidden="false" name="lg_b_3463" vbProcedure="false">'Loading Geometry'!$Q$9:$Q$11</definedName>
    <definedName function="false" hidden="false" name="lg_b_3464" vbProcedure="false">'Loading Geometry'!$Q$6:$Q$8</definedName>
    <definedName function="false" hidden="false" name="lg_cube_20GP" vbProcedure="false">'Loading Geometry'!$O$18:$O$20</definedName>
    <definedName function="false" hidden="false" name="lg_cube_40GP" vbProcedure="false">'Loading Geometry'!$O$21:$O$23</definedName>
    <definedName function="false" hidden="false" name="lg_cube_40HC" vbProcedure="false">'Loading Geometry'!$O$24:$O$26</definedName>
    <definedName function="false" hidden="false" name="lg_Hu_20GP" vbProcedure="false">'Loading Geometry'!$M$18:$M$20</definedName>
    <definedName function="false" hidden="false" name="lg_Hu_40GP" vbProcedure="false">'Loading Geometry'!$M$21:$M$23</definedName>
    <definedName function="false" hidden="false" name="lg_Hu_40HC" vbProcedure="false">'Loading Geometry'!$M$24:$M$26</definedName>
    <definedName function="false" hidden="false" name="lg_h_3460" vbProcedure="false">'Loading Geometry'!$T$12:$T$14</definedName>
    <definedName function="false" hidden="false" name="lg_h_3463" vbProcedure="false">'Loading Geometry'!$T$9:$T$11</definedName>
    <definedName function="false" hidden="false" name="lg_h_3464" vbProcedure="false">'Loading Geometry'!$T$6:$T$8</definedName>
    <definedName function="false" hidden="false" name="lg_kpu_3460" vbProcedure="false">'Loading Geometry'!$X$12:$X$14</definedName>
    <definedName function="false" hidden="false" name="lg_kpu_3463" vbProcedure="false">'Loading Geometry'!$X$9:$X$11</definedName>
    <definedName function="false" hidden="false" name="lg_kpu_3464" vbProcedure="false">'Loading Geometry'!$X$6:$X$8</definedName>
    <definedName function="false" hidden="false" name="lg_layers_3460_20GP" vbProcedure="false">'Loading Geometry'!$N$48:$N$50</definedName>
    <definedName function="false" hidden="false" name="lg_layers_3460_40GP" vbProcedure="false">'Loading Geometry'!$N$51:$N$53</definedName>
    <definedName function="false" hidden="false" name="lg_layers_3460_40HC" vbProcedure="false">'Loading Geometry'!$N$54:$N$56</definedName>
    <definedName function="false" hidden="false" name="lg_layers_3463_20GP" vbProcedure="false">'Loading Geometry'!$N$39:$N$41</definedName>
    <definedName function="false" hidden="false" name="lg_layers_3463_40GP" vbProcedure="false">'Loading Geometry'!$N$42:$N$44</definedName>
    <definedName function="false" hidden="false" name="lg_layers_3463_40HC" vbProcedure="false">'Loading Geometry'!$N$45:$N$47</definedName>
    <definedName function="false" hidden="false" name="lg_layers_3464_20GP" vbProcedure="false">'Loading Geometry'!$N$30:$N$32</definedName>
    <definedName function="false" hidden="false" name="lg_layers_3464_40GP" vbProcedure="false">'Loading Geometry'!$N$33:$N$35</definedName>
    <definedName function="false" hidden="false" name="lg_layers_3464_40HC" vbProcedure="false">'Loading Geometry'!$N$36:$N$38</definedName>
    <definedName function="false" hidden="false" name="lg_Lu_20GP" vbProcedure="false">'Loading Geometry'!$K$18:$K$20</definedName>
    <definedName function="false" hidden="false" name="lg_Lu_40GP" vbProcedure="false">'Loading Geometry'!$K$21:$K$23</definedName>
    <definedName function="false" hidden="false" name="lg_Lu_40HC" vbProcedure="false">'Loading Geometry'!$K$24:$K$26</definedName>
    <definedName function="false" hidden="false" name="lg_n_3460" vbProcedure="false">'Loading Geometry'!$R$12:$R$14</definedName>
    <definedName function="false" hidden="false" name="lg_n_3463" vbProcedure="false">'Loading Geometry'!$R$9:$R$11</definedName>
    <definedName function="false" hidden="false" name="lg_n_3464" vbProcedure="false">'Loading Geometry'!$R$6:$R$8</definedName>
    <definedName function="false" hidden="false" name="lg_pos_3460_20GP" vbProcedure="false">'Loading Geometry'!$R$48:$R$50</definedName>
    <definedName function="false" hidden="false" name="lg_pos_3460_40GP" vbProcedure="false">'Loading Geometry'!$R$51:$R$53</definedName>
    <definedName function="false" hidden="false" name="lg_pos_3460_40HC" vbProcedure="false">'Loading Geometry'!$R$54:$R$56</definedName>
    <definedName function="false" hidden="false" name="lg_pos_3463_20GP" vbProcedure="false">'Loading Geometry'!$R$39:$R$41</definedName>
    <definedName function="false" hidden="false" name="lg_pos_3463_40GP" vbProcedure="false">'Loading Geometry'!$R$42:$R$44</definedName>
    <definedName function="false" hidden="false" name="lg_pos_3463_40HC" vbProcedure="false">'Loading Geometry'!$R$45:$R$47</definedName>
    <definedName function="false" hidden="false" name="lg_pos_3464_20GP" vbProcedure="false">'Loading Geometry'!$R$30:$R$32</definedName>
    <definedName function="false" hidden="false" name="lg_pos_3464_40GP" vbProcedure="false">'Loading Geometry'!$R$33:$R$35</definedName>
    <definedName function="false" hidden="false" name="lg_pos_3464_40HC" vbProcedure="false">'Loading Geometry'!$R$36:$R$38</definedName>
    <definedName function="false" hidden="false" name="lg_real_3460_20GP" vbProcedure="false">'Loading Geometry'!$AB$48:$AB$50</definedName>
    <definedName function="false" hidden="false" name="lg_real_3460_40GP" vbProcedure="false">'Loading Geometry'!$AB$51:$AB$53</definedName>
    <definedName function="false" hidden="false" name="lg_real_3460_40HC" vbProcedure="false">'Loading Geometry'!$AB$54:$AB$56</definedName>
    <definedName function="false" hidden="false" name="lg_real_3463_20GP" vbProcedure="false">'Loading Geometry'!$AB$39:$AB$41</definedName>
    <definedName function="false" hidden="false" name="lg_real_3463_40GP" vbProcedure="false">'Loading Geometry'!$AB$42:$AB$44</definedName>
    <definedName function="false" hidden="false" name="lg_real_3463_40HC" vbProcedure="false">'Loading Geometry'!$AB$45:$AB$47</definedName>
    <definedName function="false" hidden="false" name="lg_real_3464_20GP" vbProcedure="false">'Loading Geometry'!$AB$30:$AB$32</definedName>
    <definedName function="false" hidden="false" name="lg_real_3464_40GP" vbProcedure="false">'Loading Geometry'!$AB$33:$AB$35</definedName>
    <definedName function="false" hidden="false" name="lg_real_3464_40HC" vbProcedure="false">'Loading Geometry'!$AB$36:$AB$38</definedName>
    <definedName function="false" hidden="false" name="lg_road_20GP" vbProcedure="false">'Loading Geometry'!$N$18:$N$20</definedName>
    <definedName function="false" hidden="false" name="lg_road_40GP" vbProcedure="false">'Loading Geometry'!$N$21:$N$23</definedName>
    <definedName function="false" hidden="false" name="lg_road_40HC" vbProcedure="false">'Loading Geometry'!$N$24:$N$26</definedName>
    <definedName function="false" hidden="false" name="lg_validation" vbProcedure="false">'Loading Geometry'!$AH$30:$AH$56</definedName>
    <definedName function="false" hidden="false" name="lg_vpu_3460" vbProcedure="false">'Loading Geometry'!$W$12:$W$14</definedName>
    <definedName function="false" hidden="false" name="lg_vpu_3463" vbProcedure="false">'Loading Geometry'!$W$9:$W$11</definedName>
    <definedName function="false" hidden="false" name="lg_vpu_3464" vbProcedure="false">'Loading Geometry'!$W$6:$W$8</definedName>
    <definedName function="false" hidden="false" name="lg_Wu_20GP" vbProcedure="false">'Loading Geometry'!$L$18:$L$20</definedName>
    <definedName function="false" hidden="false" name="lg_Wu_40GP" vbProcedure="false">'Loading Geometry'!$L$21:$L$23</definedName>
    <definedName function="false" hidden="false" name="lg_Wu_40HC" vbProcedure="false">'Loading Geometry'!$L$24:$L$26</definedName>
    <definedName function="false" hidden="false" name="mkt_ldp_lb" vbProcedure="false">'Competitor Benchmark'!$D$36</definedName>
    <definedName function="false" hidden="false" name="mkt_price_3460" vbProcedure="false">'Competitor Benchmark'!$D$32:$F$32</definedName>
    <definedName function="false" hidden="false" name="mkt_price_3463" vbProcedure="false">'Competitor Benchmark'!$D$31:$F$31</definedName>
    <definedName function="false" hidden="false" name="mkt_price_3464" vbProcedure="false">'Competitor Benchmark'!$D$30:$F$30</definedName>
    <definedName function="false" hidden="false" name="port_name" vbProcedure="false">'Ocean Freight'!$B$21:$B$24</definedName>
    <definedName function="false" hidden="false" name="q_anomaly" vbProcedure="false">'Supplier Quotation'!$F$40</definedName>
    <definedName function="false" hidden="false" name="q_chk_qty" vbProcedure="false">'Supplier Quotation'!$E$30</definedName>
    <definedName function="false" hidden="false" name="q_chk_subtotal" vbProcedure="false">'Supplier Quotation'!$E$27</definedName>
    <definedName function="false" hidden="false" name="q_chk_tax" vbProcedure="false">'Supplier Quotation'!$E$28</definedName>
    <definedName function="false" hidden="false" name="q_chk_total" vbProcedure="false">'Supplier Quotation'!$E$29</definedName>
    <definedName function="false" hidden="false" name="q_date" vbProcedure="false">'Supplier Quotation'!$B$6</definedName>
    <definedName function="false" hidden="false" name="q_diff" vbProcedure="false">'Supplier Quotation'!$K$21:$K$23</definedName>
    <definedName function="false" hidden="false" name="q_H_3460" vbProcedure="false">'Supplier Quotation'!$F$23</definedName>
    <definedName function="false" hidden="false" name="q_H_3463" vbProcedure="false">'Supplier Quotation'!$F$22</definedName>
    <definedName function="false" hidden="false" name="q_H_3464" vbProcedure="false">'Supplier Quotation'!$F$21</definedName>
    <definedName function="false" hidden="false" name="q_L_3460" vbProcedure="false">'Supplier Quotation'!$D$23</definedName>
    <definedName function="false" hidden="false" name="q_L_3463" vbProcedure="false">'Supplier Quotation'!$D$22</definedName>
    <definedName function="false" hidden="false" name="q_L_3464" vbProcedure="false">'Supplier Quotation'!$D$21</definedName>
    <definedName function="false" hidden="false" name="q_price_3460" vbProcedure="false">'Supplier Quotation'!$H$23</definedName>
    <definedName function="false" hidden="false" name="q_price_3463" vbProcedure="false">'Supplier Quotation'!$H$22</definedName>
    <definedName function="false" hidden="false" name="q_price_3464" vbProcedure="false">'Supplier Quotation'!$H$21</definedName>
    <definedName function="false" hidden="false" name="q_qty_3460" vbProcedure="false">'Supplier Quotation'!$G$23</definedName>
    <definedName function="false" hidden="false" name="q_qty_3463" vbProcedure="false">'Supplier Quotation'!$G$22</definedName>
    <definedName function="false" hidden="false" name="q_qty_3464" vbProcedure="false">'Supplier Quotation'!$G$21</definedName>
    <definedName function="false" hidden="false" name="q_qty_total" vbProcedure="false">'Supplier Quotation'!$G$24</definedName>
    <definedName function="false" hidden="false" name="q_status" vbProcedure="false">'Supplier Quotation'!$B$17</definedName>
    <definedName function="false" hidden="false" name="q_subtotal" vbProcedure="false">'Supplier Quotation'!$B$27</definedName>
    <definedName function="false" hidden="false" name="q_sub_calc" vbProcedure="false">'Supplier Quotation'!$J$24</definedName>
    <definedName function="false" hidden="false" name="q_tax_rate" vbProcedure="false">'Supplier Quotation'!$B$9</definedName>
    <definedName function="false" hidden="false" name="q_total_3460" vbProcedure="false">'Supplier Quotation'!$I$23</definedName>
    <definedName function="false" hidden="false" name="q_total_3463" vbProcedure="false">'Supplier Quotation'!$I$22</definedName>
    <definedName function="false" hidden="false" name="q_total_3464" vbProcedure="false">'Supplier Quotation'!$I$21</definedName>
    <definedName function="false" hidden="false" name="q_valid_until" vbProcedure="false">'Supplier Quotation'!$B$7</definedName>
    <definedName function="false" hidden="false" name="q_W_3460" vbProcedure="false">'Supplier Quotation'!$E$23</definedName>
    <definedName function="false" hidden="false" name="q_W_3463" vbProcedure="false">'Supplier Quotation'!$E$22</definedName>
    <definedName function="false" hidden="false" name="q_W_3464" vbProcedure="false">'Supplier Quotation'!$E$21</definedName>
    <definedName function="false" hidden="false" name="rfq_blocks" vbProcedure="false">'Quote Requests &amp; Missing Data'!$H$5:$H$23</definedName>
    <definedName function="false" hidden="false" name="rfq_status" vbProcedure="false">'Quote Requests &amp; Missing Data'!$J$5:$J$23</definedName>
    <definedName function="false" hidden="false" name="scomp_cfgname" vbProcedure="false">'Scenario Comparison'!$B$60:$B$69</definedName>
    <definedName function="false" hidden="false" name="scomp_cm" vbProcedure="false">'Scenario Comparison'!$M$60:$M$69</definedName>
    <definedName function="false" hidden="false" name="scomp_contrib" vbProcedure="false">'Scenario Comparison'!$L$60:$L$69</definedName>
    <definedName function="false" hidden="false" name="scomp_cpb" vbProcedure="false">'Scenario Comparison'!$N$60:$N$69</definedName>
    <definedName function="false" hidden="false" name="scomp_rank" vbProcedure="false">'Scenario Comparison'!$K$60:$K$69</definedName>
    <definedName function="false" hidden="false" name="sel_cfg" vbProcedure="false">'Executive Dashboard'!$B$6</definedName>
    <definedName function="false" hidden="false" name="sel_dest" vbProcedure="false">'Executive Dashboard'!$B$7</definedName>
    <definedName function="false" hidden="false" name="sel_row" vbProcedure="false">'Executive Dashboard'!$B$8</definedName>
    <definedName function="false" hidden="false" name="sel_scen" vbProcedure="false">'Executive Dashboard'!$B$5</definedName>
    <definedName function="false" hidden="false" name="ship_fullmix_fits" vbProcedure="false">'Shipment Configuration'!$T$9:$V$14</definedName>
    <definedName function="false" hidden="false" name="ship_lcl_be_m3" vbProcedure="false">'Shipment Configuration'!$C$24</definedName>
    <definedName function="false" hidden="false" name="ship_reco" vbProcedure="false">'Shipment Configuration'!$C$21</definedName>
    <definedName function="false" hidden="false" name="ship_zone_len" vbProcedure="false">'Shipment Configuration'!$AC$31:$AC$111</definedName>
    <definedName function="false" hidden="false" name="sku_flute_3460" vbProcedure="false">'Product &amp; SKU Master'!$U$7</definedName>
    <definedName function="false" hidden="false" name="sku_flute_3463" vbProcedure="false">'Product &amp; SKU Master'!$U$6</definedName>
    <definedName function="false" hidden="false" name="sku_flute_3464" vbProcedure="false">'Product &amp; SKU Master'!$U$5</definedName>
    <definedName function="false" hidden="false" name="tar_cv_check" vbProcedure="false">'Tariffs &amp; Customs Value'!$G$39</definedName>
    <definedName function="false" hidden="false" name="tar_cv_total" vbProcedure="false">'Tariffs &amp; Customs Value'!$F$39</definedName>
    <definedName function="false" hidden="false" name="tbl_dest_chassis" vbProcedure="false">'Destination Delivery'!$K$6:$M$10</definedName>
    <definedName function="false" hidden="false" name="tbl_dest_line" vbProcedure="false">'Destination Delivery'!$E$6:$G$10</definedName>
    <definedName function="false" hidden="false" name="tbl_dest_tolls" vbProcedure="false">'Destination Delivery'!$H$6:$J$10</definedName>
    <definedName function="false" hidden="false" name="tbl_ocean_rate" vbProcedure="false">'Ocean Freight'!$D$6:$F$8</definedName>
    <definedName function="false" hidden="false" name="tbl_port_diff" vbProcedure="false">'Ocean Freight'!$D$21:$F$24</definedName>
    <definedName function="false" hidden="false" name="thr_blockers_max" vbProcedure="false">'Executive Dashboard'!$B$64</definedName>
    <definedName function="false" hidden="false" name="thr_cm_min" vbProcedure="false">'Executive Dashboard'!$B$60</definedName>
    <definedName function="false" hidden="false" name="thr_cost_max" vbProcedure="false">'Executive Dashboard'!$B$61</definedName>
    <definedName function="false" hidden="false" name="thr_demand_min" vbProcedure="false">'Executive Dashboard'!$B$63</definedName>
    <definedName function="false" hidden="false" name="thr_gm_cond" vbProcedure="false">'Executive Dashboard'!$B$59</definedName>
    <definedName function="false" hidden="false" name="thr_gm_go" vbProcedure="false">'Executive Dashboard'!$B$58</definedName>
    <definedName function="false" hidden="false" name="thr_util_min" vbProcedure="false">'Executive Dashboard'!$B$62</definedName>
    <definedName function="false" hidden="false" name="val_date" vbProcedure="false">'Executive Dashboard'!$B$9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<sst xmlns="http://schemas.openxmlformats.org/spreadsheetml/2006/main" count="6287" uniqueCount="3393">
  <si>
    <t xml:space="preserve">BigBoxPizza – Egypt→US pizza-box import: Executive Dashboard</t>
  </si>
  <si>
    <t xml:space="preserve">Change the three selectors (yellow). Every figure below is a formula on the engine. Evidence status of inputs is shown on each input sheet and in the Assumptions Register.</t>
  </si>
  <si>
    <t xml:space="preserve">Selections</t>
  </si>
  <si>
    <t xml:space="preserve">Scenario (1 = LOW, 2 = BASE, 3 = STRESS)</t>
  </si>
  <si>
    <t xml:space="preserve">Shipment configuration (1–10)</t>
  </si>
  <si>
    <t xml:space="preserve">Destination (1–5)</t>
  </si>
  <si>
    <t xml:space="preserve">Engine row (calculated)</t>
  </si>
  <si>
    <t xml:space="preserve">Valuation date</t>
  </si>
  <si>
    <t xml:space="preserve">Verdict</t>
  </si>
  <si>
    <t xml:space="preserve">Analyst verdict (see report §18)</t>
  </si>
  <si>
    <t xml:space="preserve">NO-GO under modeled conditions, for the quoted 60,000-box order (configuration 1) and for the planned full 40' HC of mixed sizes (configuration 4, shown by default). Do not pay any advance. Re-open only if the stated re-entry conditions are met (report §18–19).</t>
  </si>
  <si>
    <t xml:space="preserve">Threshold test for the selected case (formula)</t>
  </si>
  <si>
    <t xml:space="preserve">Key results – selected case (USD unless stated)</t>
  </si>
  <si>
    <t xml:space="preserve">Metric</t>
  </si>
  <si>
    <t xml:space="preserve">Value</t>
  </si>
  <si>
    <t xml:space="preserve">3464</t>
  </si>
  <si>
    <t xml:space="preserve">3463</t>
  </si>
  <si>
    <t xml:space="preserve">3460</t>
  </si>
  <si>
    <t xml:space="preserve">Unit</t>
  </si>
  <si>
    <t xml:space="preserve">Note</t>
  </si>
  <si>
    <t xml:space="preserve">Units shipped</t>
  </si>
  <si>
    <t xml:space="preserve">boxes</t>
  </si>
  <si>
    <t xml:space="preserve">Saleable units (after damage/rejection)</t>
  </si>
  <si>
    <t xml:space="preserve">Containers</t>
  </si>
  <si>
    <t xml:space="preserve">Load fits physically?</t>
  </si>
  <si>
    <t xml:space="preserve">PROVISIONAL geometry</t>
  </si>
  <si>
    <t xml:space="preserve">DELIVERED COST per saleable box</t>
  </si>
  <si>
    <t xml:space="preserve">USD/box</t>
  </si>
  <si>
    <t xml:space="preserve">Customer-delivered, fully landed</t>
  </si>
  <si>
    <t xml:space="preserve">Delivered cost per 1,000 boxes</t>
  </si>
  <si>
    <t xml:space="preserve">USD/1,000</t>
  </si>
  <si>
    <t xml:space="preserve">Delivered cost per box in EGP</t>
  </si>
  <si>
    <t xml:space="preserve">EGP/box</t>
  </si>
  <si>
    <t xml:space="preserve">at scenario FX</t>
  </si>
  <si>
    <t xml:space="preserve">Achievable wholesale price (benchmark)</t>
  </si>
  <si>
    <t xml:space="preserve">Derived – not a buyer quote</t>
  </si>
  <si>
    <t xml:space="preserve">Total delivered COGS</t>
  </si>
  <si>
    <t xml:space="preserve">USD</t>
  </si>
  <si>
    <t xml:space="preserve">Revenue at benchmark price</t>
  </si>
  <si>
    <t xml:space="preserve">Gross profit</t>
  </si>
  <si>
    <t xml:space="preserve">Gross margin</t>
  </si>
  <si>
    <t xml:space="preserve">%</t>
  </si>
  <si>
    <t xml:space="preserve">(P − COGS)/P</t>
  </si>
  <si>
    <t xml:space="preserve">Contribution after selling &amp; financing</t>
  </si>
  <si>
    <t xml:space="preserve">Contribution margin</t>
  </si>
  <si>
    <t xml:space="preserve">Price increase needed to break even</t>
  </si>
  <si>
    <t xml:space="preserve">contribution = 0</t>
  </si>
  <si>
    <t xml:space="preserve">Supplier price change needed for target GM</t>
  </si>
  <si>
    <t xml:space="preserve">% vs quote</t>
  </si>
  <si>
    <t xml:space="preserve">linearised</t>
  </si>
  <si>
    <t xml:space="preserve">Section 301 duty in this case</t>
  </si>
  <si>
    <t xml:space="preserve">12.5% of customs value (BASE)</t>
  </si>
  <si>
    <t xml:space="preserve">Cash required before shipment</t>
  </si>
  <si>
    <t xml:space="preserve">advance + VAT + testing</t>
  </si>
  <si>
    <t xml:space="preserve">Cash required at export</t>
  </si>
  <si>
    <t xml:space="preserve">balance + origin + freight + insurance</t>
  </si>
  <si>
    <t xml:space="preserve">Cash required before US release</t>
  </si>
  <si>
    <t xml:space="preserve">duty + fees</t>
  </si>
  <si>
    <t xml:space="preserve">Cash required at delivery</t>
  </si>
  <si>
    <t xml:space="preserve">drayage + unloading</t>
  </si>
  <si>
    <t xml:space="preserve">TOTAL transaction cash outflow</t>
  </si>
  <si>
    <t xml:space="preserve">incl. recoverable VAT</t>
  </si>
  <si>
    <t xml:space="preserve">PEAK working capital</t>
  </si>
  <si>
    <t xml:space="preserve">before customer receipt</t>
  </si>
  <si>
    <t xml:space="preserve">Go / no-go threshold tests (provisional thresholds – edit in yellow)</t>
  </si>
  <si>
    <t xml:space="preserve">Test</t>
  </si>
  <si>
    <t xml:space="preserve">Threshold</t>
  </si>
  <si>
    <t xml:space="preserve">Actual</t>
  </si>
  <si>
    <t xml:space="preserve">Result</t>
  </si>
  <si>
    <t xml:space="preserve">Basis</t>
  </si>
  <si>
    <t xml:space="preserve">Gross margin at benchmark price ≥</t>
  </si>
  <si>
    <t xml:space="preserve">Provisional: 25% GO; 15% CONDITIONAL floor</t>
  </si>
  <si>
    <t xml:space="preserve">Contribution margin ≥</t>
  </si>
  <si>
    <t xml:space="preserve">After commission, bad debt, testing, admin, financing</t>
  </si>
  <si>
    <t xml:space="preserve">Delivered cost ÷ benchmark price ≤</t>
  </si>
  <si>
    <t xml:space="preserve">Average delivered cost per saleable box vs achievable price</t>
  </si>
  <si>
    <t xml:space="preserve">Container length utilisation ≥</t>
  </si>
  <si>
    <t xml:space="preserve">LCL treated as 100%</t>
  </si>
  <si>
    <t xml:space="preserve">Buyer demand committed (share of shipment) ≥</t>
  </si>
  <si>
    <t xml:space="preserve">Written POs/LOIs before balance payment</t>
  </si>
  <si>
    <t xml:space="preserve">Unresolved shipment-blocking items ≤</t>
  </si>
  <si>
    <t xml:space="preserve">From 'Quote Requests &amp; Missing Data'</t>
  </si>
  <si>
    <t xml:space="preserve">Load physically fits</t>
  </si>
  <si>
    <t xml:space="preserve">TRUE</t>
  </si>
  <si>
    <t xml:space="preserve">Geometry model</t>
  </si>
  <si>
    <t xml:space="preserve">Threshold inputs (provisional – no client targets supplied)</t>
  </si>
  <si>
    <t xml:space="preserve">GO gross-margin threshold</t>
  </si>
  <si>
    <t xml:space="preserve">CONDITIONAL gross-margin floor</t>
  </si>
  <si>
    <t xml:space="preserve">Minimum contribution margin</t>
  </si>
  <si>
    <t xml:space="preserve">Maximum delivered cost ÷ benchmark price</t>
  </si>
  <si>
    <t xml:space="preserve">Minimum container utilisation</t>
  </si>
  <si>
    <t xml:space="preserve">Minimum committed buyer demand</t>
  </si>
  <si>
    <t xml:space="preserve">Max unresolved shipment-blocking items</t>
  </si>
  <si>
    <t xml:space="preserve">Buyer demand committed today (share of shipment)</t>
  </si>
  <si>
    <t xml:space="preserve">Warnings</t>
  </si>
  <si>
    <t xml:space="preserve">Supplier quotation validity</t>
  </si>
  <si>
    <t xml:space="preserve">Supplier price anomaly</t>
  </si>
  <si>
    <t xml:space="preserve">Supplier identity</t>
  </si>
  <si>
    <t xml:space="preserve">Decision-relevant inputs that are ASSUMED/UNRESOLVED/ESTIMATED</t>
  </si>
  <si>
    <t xml:space="preserve">Model integrity checks</t>
  </si>
  <si>
    <t xml:space="preserve">Physical feasibility of selected case</t>
  </si>
  <si>
    <t xml:space="preserve">Recommended equipment for quoted order</t>
  </si>
  <si>
    <t xml:space="preserve">Selected configuration &amp; destination under LOW / BASE / STRESS</t>
  </si>
  <si>
    <t xml:space="preserve">LOW</t>
  </si>
  <si>
    <t xml:space="preserve">BASE</t>
  </si>
  <si>
    <t xml:space="preserve">STRESS</t>
  </si>
  <si>
    <t xml:space="preserve">Delivered cost per saleable box</t>
  </si>
  <si>
    <t xml:space="preserve">Achievable price per box</t>
  </si>
  <si>
    <t xml:space="preserve">Contribution (USD)</t>
  </si>
  <si>
    <t xml:space="preserve">Peak working capital</t>
  </si>
  <si>
    <t xml:space="preserve">Load fits?</t>
  </si>
  <si>
    <t xml:space="preserve">Best options in the selected scenario (by contribution, physically feasible, selected destination)</t>
  </si>
  <si>
    <t xml:space="preserve">Rank</t>
  </si>
  <si>
    <t xml:space="preserve">Configuration</t>
  </si>
  <si>
    <t xml:space="preserve">Contribution</t>
  </si>
  <si>
    <t xml:space="preserve">Delivered cost/box</t>
  </si>
  <si>
    <t xml:space="preserve">Read Me &amp; Instructions</t>
  </si>
  <si>
    <t xml:space="preserve">How to use, audit and update the BigBoxPizza landed-cost model</t>
  </si>
  <si>
    <t xml:space="preserve">PURPOSE</t>
  </si>
  <si>
    <t xml:space="preserve">Decision model for importing flat-packed corrugated pizza boxes from Nile Factory Carton (6th of October, Egypt) to wholesale customers on the US East Coast. It traces every cost from the factory gate to the customer's dock, compares delivered cost with evidence-based selling prices, and shows cash needs.</t>
  </si>
  <si>
    <t xml:space="preserve">STATUS</t>
  </si>
  <si>
    <t xml:space="preserve">PROVISIONAL. The NFC quotation expired on 30-Sep-2026; no freight, broker, trucking or buyer quotations were available; NFC technical data and bundle geometry are missing. Results are model outputs, NOT actual expenses.</t>
  </si>
  <si>
    <t xml:space="preserve">HOW TO USE</t>
  </si>
  <si>
    <t xml:space="preserve">1) On 'Executive Dashboard' choose Scenario (1 LOW, 2 BASE, 3 STRESS), Configuration (1–10) and Destination (1–5). 2) Read the KPI block, threshold tests and warnings. 3) Use 'Scenario Comparison', 'Container Profitability' and 'Sensitivity Analysis' for options.</t>
  </si>
  <si>
    <t xml:space="preserve">COLOUR CODE</t>
  </si>
  <si>
    <t xml:space="preserve">Yellow fill + blue font = editable input. Grey fill = formula (do not overwrite). Orange fill = value written by a script (geometry optimiser / DP validation / market snapshot). Green/amber/red = evidence status or check result.</t>
  </si>
  <si>
    <t xml:space="preserve">INPUTS</t>
  </si>
  <si>
    <t xml:space="preserve">Inputs live on the input sheets (Supplier Quotation, Technical Specifications, Exchange Rates, Container Specifications, Origin Costs, Ocean Freight, U.S. Port &amp; Customs, Tariffs &amp; Customs Value, Destination Delivery, Pricing &amp; Margin, Competitor Benchmark). Each has LOW/BASE/STRESS columns, evidence class and source IDs.</t>
  </si>
  <si>
    <t xml:space="preserve">EVIDENCE CLASSES</t>
  </si>
  <si>
    <t xml:space="preserve">VERIFIED_OFFICIAL, VERIFIED_QUOTE, VERIFIED_SUPPLIER, VERIFIED_MARKET, CALCULATED, ESTIMATED, ASSUMED, UNRESOLVED (brief §3.4). A formula result is never 'verified' just because it calculates.</t>
  </si>
  <si>
    <t xml:space="preserve">CALC ENGINE</t>
  </si>
  <si>
    <t xml:space="preserve">'Calc Engine' holds one row per scenario × configuration × destination (150 rows) plus sensitivity (33) and combination (6) rows. All views read from it by INDEX/MATCH. 'Model Checks' reconciles the engine with the detailed ledger on 'Landed Cost by SKU'.</t>
  </si>
  <si>
    <t xml:space="preserve">ALLOCATION</t>
  </si>
  <si>
    <t xml:space="preserve">Supplier price, VAT, duty: direct by SKU. MPF/HMF: by customs value. Insurance: by supplier value. Container-driven costs (origin per container, ocean, US per-container, drayage, unloading): by cube (bundle volume). Per-shipment admin (origin docs, broker, ISF, bonds, DO): by units.</t>
  </si>
  <si>
    <t xml:space="preserve">GEOMETRY</t>
  </si>
  <si>
    <t xml:space="preserve">Blank and bundle sizes are ESTIMATED from a calibrated die-line rule (length = 2L + 4.5H, width = W + 2H + 13 mm; 50 blanks/bundle; 1.6 mm pitch BASE). Floor patterns are formulas; an exhaustive guillotine DP in scripts/loading_model.py validates them (orange column). The equal-mix maxima (orange) come from the script; if you change geometry inputs, re-run scripts/build_all.py – the FITS columns re-test the values automatically.</t>
  </si>
  <si>
    <t xml:space="preserve">DEFINITIONS</t>
  </si>
  <si>
    <t xml:space="preserve">Gross margin = (price − COGS)/price. Markup = (price − COGS)/COGS. Contribution = gross profit − commission − payment processing − bad debt − samples/testing − sales admin − financing cost. COGS = customer-delivered economic cost (recoverable VAT excluded).</t>
  </si>
  <si>
    <t xml:space="preserve">TAX VIEWS</t>
  </si>
  <si>
    <t xml:space="preserve">VAT mode 1 = zero-rated direct export (no VAT); mode 2 = VAT paid and refunded (cash only; financing cost); mode 3 = VAT paid and not recoverable (economic cost, and added to customs value). Selected by scenario or by sensitivity rows.</t>
  </si>
  <si>
    <t xml:space="preserve">CUSTOMS VALUE</t>
  </si>
  <si>
    <t xml:space="preserve">Customs value = EXW/FCA price (+ non-recoverable VAT in mode 3, + tooling). Egyptian inland freight is not added for proven ex-factory sales (19 CFR 152.103(a)(5)); international freight and insurance are excluded. Duty = MFN (Free) + Section 301 Egypt 12.5% (BASE).</t>
  </si>
  <si>
    <t xml:space="preserve">RECALCULATION</t>
  </si>
  <si>
    <t xml:space="preserve">The delivered file was recalculated with LibreOffice 24.2 (headless) and re-opened programmatically; values were compared with the independent Python engine (scripts/engine.py). Excel recalculates on open (fullCalcOnLoad).</t>
  </si>
  <si>
    <t xml:space="preserve">REBUILD</t>
  </si>
  <si>
    <t xml:space="preserve">python3 BigBoxPizza/scripts/build_all.py  – rebuilds geometry diagrams, workbook, recalculation, validation, CSV source register and Markdown deliverables.</t>
  </si>
  <si>
    <t xml:space="preserve">IMPORTER OF RECORD</t>
  </si>
  <si>
    <t xml:space="preserve">Options: BigBoxPizza as foreign IOR (CBP-assigned number, bond, broker POA); new US entity; third-party IOR service; or sell FCA/FOB to a US distributor who imports. A customs broker does not assume the IOR's legal obligations. See 'U.S. Port &amp; Customs' §5.</t>
  </si>
  <si>
    <t xml:space="preserve">LIMITATIONS</t>
  </si>
  <si>
    <t xml:space="preserve">Direct access to official websites was blocked in the research environment; sources were read via search-engine extracts (see Source Register). Re-verify all VERIFIED_OFFICIAL items on the live sites before shipment. Not legal or tax advice.</t>
  </si>
  <si>
    <t xml:space="preserve">SHEET MAP</t>
  </si>
  <si>
    <t xml:space="preserve">• Executive Dashboard</t>
  </si>
  <si>
    <t xml:space="preserve">• Read Me &amp; Instructions</t>
  </si>
  <si>
    <t xml:space="preserve">• Product &amp; SKU Master</t>
  </si>
  <si>
    <t xml:space="preserve">• Supplier Quotation</t>
  </si>
  <si>
    <t xml:space="preserve">• Technical Specifications</t>
  </si>
  <si>
    <t xml:space="preserve">• Exchange Rates</t>
  </si>
  <si>
    <t xml:space="preserve">• Container Specifications</t>
  </si>
  <si>
    <t xml:space="preserve">• Loading Geometry</t>
  </si>
  <si>
    <t xml:space="preserve">• Shipment Configuration</t>
  </si>
  <si>
    <t xml:space="preserve">• Origin Costs</t>
  </si>
  <si>
    <t xml:space="preserve">• Ocean Freight</t>
  </si>
  <si>
    <t xml:space="preserve">• U.S. Port &amp; Customs</t>
  </si>
  <si>
    <t xml:space="preserve">• Destination Delivery</t>
  </si>
  <si>
    <t xml:space="preserve">• Tariffs &amp; Customs Value</t>
  </si>
  <si>
    <t xml:space="preserve">• Landed Cost by SKU</t>
  </si>
  <si>
    <t xml:space="preserve">• Pricing &amp; Margin</t>
  </si>
  <si>
    <t xml:space="preserve">• Container Profitability</t>
  </si>
  <si>
    <t xml:space="preserve">• Sensitivity Analysis</t>
  </si>
  <si>
    <t xml:space="preserve">• Scenario Comparison</t>
  </si>
  <si>
    <t xml:space="preserve">• Cash Flow &amp; Working Capital</t>
  </si>
  <si>
    <t xml:space="preserve">• Competitor Benchmark</t>
  </si>
  <si>
    <t xml:space="preserve">• Risk Register</t>
  </si>
  <si>
    <t xml:space="preserve">• Assumptions Register</t>
  </si>
  <si>
    <t xml:space="preserve">• Source Register</t>
  </si>
  <si>
    <t xml:space="preserve">• Quote Requests &amp; Missing Data</t>
  </si>
  <si>
    <t xml:space="preserve">• Calc Engine</t>
  </si>
  <si>
    <t xml:space="preserve">• Model Checks</t>
  </si>
  <si>
    <t xml:space="preserve">Product &amp; SKU Master</t>
  </si>
  <si>
    <t xml:space="preserve">Descriptions preserved exactly as printed. Dimensions from the quotation (mm, inside/outside UNCONFIRMED).</t>
  </si>
  <si>
    <t xml:space="preserve">SKU</t>
  </si>
  <si>
    <t xml:space="preserve">Description (verbatim Arabic)</t>
  </si>
  <si>
    <t xml:space="preserve">Literal English rendering</t>
  </si>
  <si>
    <t xml:space="preserve">Brief's transcription</t>
  </si>
  <si>
    <t xml:space="preserve">Discrepancy / flag</t>
  </si>
  <si>
    <t xml:space="preserve">L mm</t>
  </si>
  <si>
    <t xml:space="preserve">W mm</t>
  </si>
  <si>
    <t xml:space="preserve">H mm</t>
  </si>
  <si>
    <t xml:space="preserve">L in</t>
  </si>
  <si>
    <t xml:space="preserve">W in</t>
  </si>
  <si>
    <t xml:space="preserve">H in</t>
  </si>
  <si>
    <t xml:space="preserve">US nominal</t>
  </si>
  <si>
    <t xml:space="preserve">Plan area m²</t>
  </si>
  <si>
    <t xml:space="preserve">Unit EGP</t>
  </si>
  <si>
    <t xml:space="preserve">EGP per m² plan</t>
  </si>
  <si>
    <t xml:space="preserve">USD per m² plan</t>
  </si>
  <si>
    <t xml:space="preserve">Est. blank L (BASE)</t>
  </si>
  <si>
    <t xml:space="preserve">Est. blank W</t>
  </si>
  <si>
    <t xml:space="preserve">Est. board m² (net)</t>
  </si>
  <si>
    <t xml:space="preserve">EGP per m² board</t>
  </si>
  <si>
    <t xml:space="preserve">Benchmark flute</t>
  </si>
  <si>
    <r>
      <rPr>
        <sz val="10"/>
        <rFont val="FreeSans"/>
        <family val="2"/>
      </rPr>
      <t xml:space="preserve">علبة بيتزا </t>
    </r>
    <r>
      <rPr>
        <sz val="10"/>
        <rFont val="Calibri"/>
        <family val="0"/>
        <charset val="1"/>
      </rPr>
      <t xml:space="preserve">5*35.5*35.5</t>
    </r>
  </si>
  <si>
    <t xml:space="preserve">Pizza box 5*35.5*35.5 (no unit printed)</t>
  </si>
  <si>
    <t xml:space="preserve">5 × 5 × 5.5 inch pizza box</t>
  </si>
  <si>
    <t xml:space="preserve">Brief says '5 × 5 × 5.5 inch'; document says 5*35.5*35.5 (consistent with 355×355×50 mm). Confirm nominal size, unit, inside/outside dims.</t>
  </si>
  <si>
    <t xml:space="preserve">14"</t>
  </si>
  <si>
    <t xml:space="preserve">B</t>
  </si>
  <si>
    <r>
      <rPr>
        <sz val="10"/>
        <rFont val="FreeSans"/>
        <family val="2"/>
      </rPr>
      <t xml:space="preserve">علبة بيتزا </t>
    </r>
    <r>
      <rPr>
        <sz val="10"/>
        <rFont val="Calibri"/>
        <family val="0"/>
        <charset val="1"/>
      </rPr>
      <t xml:space="preserve">5*40.5*40.5</t>
    </r>
  </si>
  <si>
    <t xml:space="preserve">Pizza box 5*40.5*40.5 (no unit printed)</t>
  </si>
  <si>
    <t xml:space="preserve">5 × 40.5 × 40.5 cm pizza box</t>
  </si>
  <si>
    <t xml:space="preserve">405 mm = 15.94 in; if outside dimension, a 16-inch pizza may not fit. Priced BELOW the smaller 3464.</t>
  </si>
  <si>
    <t xml:space="preserve">16"</t>
  </si>
  <si>
    <r>
      <rPr>
        <sz val="10"/>
        <rFont val="FreeSans"/>
        <family val="2"/>
      </rPr>
      <t xml:space="preserve">بيتزا </t>
    </r>
    <r>
      <rPr>
        <sz val="10"/>
        <rFont val="Calibri"/>
        <family val="0"/>
        <charset val="1"/>
      </rPr>
      <t xml:space="preserve">5*30.5*30.5</t>
    </r>
  </si>
  <si>
    <t xml:space="preserve">Pizza 5*30.5*30.5 (word 'box' absent)</t>
  </si>
  <si>
    <t xml:space="preserve">5 × 30.5 × 30.5 cm pizza box</t>
  </si>
  <si>
    <r>
      <rPr>
        <b val="true"/>
        <sz val="10"/>
        <color rgb="FF9C0006"/>
        <rFont val="Calibri"/>
        <family val="0"/>
        <charset val="1"/>
      </rPr>
      <t xml:space="preserve">Description lacks the word 'box' (</t>
    </r>
    <r>
      <rPr>
        <b val="true"/>
        <sz val="10"/>
        <color rgb="FF9C0006"/>
        <rFont val="FreeSans"/>
        <family val="2"/>
      </rPr>
      <t xml:space="preserve">علبة</t>
    </r>
    <r>
      <rPr>
        <b val="true"/>
        <sz val="10"/>
        <color rgb="FF9C0006"/>
        <rFont val="Calibri"/>
        <family val="0"/>
        <charset val="1"/>
      </rPr>
      <t xml:space="preserve">). Confirm item is a complete pizza box.</t>
    </r>
  </si>
  <si>
    <t xml:space="preserve">12"</t>
  </si>
  <si>
    <t xml:space="preserve">E</t>
  </si>
  <si>
    <t xml:space="preserve">Notes</t>
  </si>
  <si>
    <t xml:space="preserve">Plan-area prices are a preliminary comparison only; they do not measure board consumption. Board area uses the PROVISIONAL blank estimate (Loading Geometry).</t>
  </si>
  <si>
    <t xml:space="preserve">305/355/405 mm ≈ 12.0/14.0/15.9 in. US pizza boxes are specified by INSIDE size; if these are outside dimensions the usable size is smaller.</t>
  </si>
  <si>
    <t xml:space="preserve">Benchmark flute = flute of the US listing used as price benchmark (B-flute listings are discounted to E-flute equivalence).</t>
  </si>
  <si>
    <t xml:space="preserve">Supplier Quotation – NFC-OFFER-2026-0120 (as printed) with arithmetic checks</t>
  </si>
  <si>
    <t xml:space="preserve">Source S001: BigBoxPizza/evidence/NFC-OFFER-2026-0120_original.pdf (image PDF, transcribed). Blue = input as printed; grey = formula.</t>
  </si>
  <si>
    <t xml:space="preserve">1. Quotation header (verbatim)</t>
  </si>
  <si>
    <t xml:space="preserve">Quotation number</t>
  </si>
  <si>
    <t xml:space="preserve">NFC-OFFER-2026-0120</t>
  </si>
  <si>
    <t xml:space="preserve">Quotation date</t>
  </si>
  <si>
    <t xml:space="preserve">Valid until (printed)</t>
  </si>
  <si>
    <t xml:space="preserve">Currency</t>
  </si>
  <si>
    <t xml:space="preserve">EGP</t>
  </si>
  <si>
    <t xml:space="preserve">Tax rate printed</t>
  </si>
  <si>
    <t xml:space="preserve">Payment terms printed</t>
  </si>
  <si>
    <t xml:space="preserve">advance_50</t>
  </si>
  <si>
    <t xml:space="preserve">Incoterm printed</t>
  </si>
  <si>
    <t xml:space="preserve">NONE STATED (EXW is only the brief's working assumption)</t>
  </si>
  <si>
    <t xml:space="preserve">Shipping printed</t>
  </si>
  <si>
    <t xml:space="preserve">— (dash)</t>
  </si>
  <si>
    <t xml:space="preserve">Client printed</t>
  </si>
  <si>
    <r>
      <rPr>
        <sz val="10"/>
        <color rgb="FF0000FF"/>
        <rFont val="FreeSans"/>
        <family val="2"/>
      </rPr>
      <t xml:space="preserve">ا</t>
    </r>
    <r>
      <rPr>
        <sz val="10"/>
        <color rgb="FF0000FF"/>
        <rFont val="Calibri"/>
        <family val="0"/>
        <charset val="1"/>
      </rPr>
      <t xml:space="preserve">/ </t>
    </r>
    <r>
      <rPr>
        <sz val="10"/>
        <color rgb="FF0000FF"/>
        <rFont val="FreeSans"/>
        <family val="2"/>
      </rPr>
      <t xml:space="preserve">انيس شركة توريدات – </t>
    </r>
    <r>
      <rPr>
        <sz val="10"/>
        <color rgb="FF0000FF"/>
        <rFont val="Calibri"/>
        <family val="0"/>
        <charset val="1"/>
      </rPr>
      <t xml:space="preserve">Alexandria – code C330 – tax ID blank</t>
    </r>
  </si>
  <si>
    <t xml:space="preserve">Bank printed</t>
  </si>
  <si>
    <t xml:space="preserve">FAP MISR BANK, SWIFT NBADEGCAXXX, IBAN EG59 0019 0021 0000 0000 7554 9000 3 (mod-97 valid)</t>
  </si>
  <si>
    <t xml:space="preserve">Signatory</t>
  </si>
  <si>
    <t xml:space="preserve">Script 'Abdelrahman Darwish' over printed name 'Mahmoud Bakr'</t>
  </si>
  <si>
    <t xml:space="preserve">Supplier address</t>
  </si>
  <si>
    <t xml:space="preserve">199 6th Ext. Industrial Zone, 6 October City, Giza – Tax ID 552-782-209</t>
  </si>
  <si>
    <t xml:space="preserve">Validity status at valuation date</t>
  </si>
  <si>
    <t xml:space="preserve">2. Line items (as printed) and arithmetic checks</t>
  </si>
  <si>
    <t xml:space="preserve">Code</t>
  </si>
  <si>
    <t xml:space="preserve">Spec</t>
  </si>
  <si>
    <t xml:space="preserve">Qty</t>
  </si>
  <si>
    <t xml:space="preserve">Line total EGP (printed)</t>
  </si>
  <si>
    <t xml:space="preserve">Line total = Qty × Unit</t>
  </si>
  <si>
    <t xml:space="preserve">Difference</t>
  </si>
  <si>
    <t xml:space="preserve">USD per box (active FX)</t>
  </si>
  <si>
    <t xml:space="preserve">USD line value</t>
  </si>
  <si>
    <t xml:space="preserve">EGP per 1,000</t>
  </si>
  <si>
    <t xml:space="preserve">EGP per m² plan area</t>
  </si>
  <si>
    <t xml:space="preserve">Unit EGP incl. 14% tax</t>
  </si>
  <si>
    <t xml:space="preserve">SINGLE-E</t>
  </si>
  <si>
    <t xml:space="preserve">Totals</t>
  </si>
  <si>
    <t xml:space="preserve">Check</t>
  </si>
  <si>
    <t xml:space="preserve">Printed EGP</t>
  </si>
  <si>
    <t xml:space="preserve">Recomputed EGP</t>
  </si>
  <si>
    <t xml:space="preserve">Status</t>
  </si>
  <si>
    <t xml:space="preserve">Subtotal (printed)</t>
  </si>
  <si>
    <t xml:space="preserve">Tax 14% (printed)</t>
  </si>
  <si>
    <t xml:space="preserve">Total (printed)</t>
  </si>
  <si>
    <t xml:space="preserve">Total quantity = 60,000</t>
  </si>
  <si>
    <t xml:space="preserve">3. Price sanity statistics (formula)</t>
  </si>
  <si>
    <t xml:space="preserve">Weighted average quoted price, EGP/box (excl. tax)</t>
  </si>
  <si>
    <t xml:space="preserve">Weighted average, USD/box at active FX</t>
  </si>
  <si>
    <t xml:space="preserve">Weighted average incl. 14% tax, EGP/box</t>
  </si>
  <si>
    <t xml:space="preserve">Total quoted product value, USD (excl. tax, active FX)</t>
  </si>
  <si>
    <t xml:space="preserve">Quoted value per 1,000 boxes, EGP</t>
  </si>
  <si>
    <t xml:space="preserve">3464 (355 mm) vs 3463 (405 mm) unit price difference</t>
  </si>
  <si>
    <t xml:space="preserve">3460 (305 mm) vs 3463 (405 mm) unit price difference</t>
  </si>
  <si>
    <t xml:space="preserve">ANOMALY FLAG: smaller 3464 priced above larger 3463?</t>
  </si>
  <si>
    <t xml:space="preserve">4. Supplier commercial &amp; tax inputs (scenario-dependent)</t>
  </si>
  <si>
    <t xml:space="preserve">ID</t>
  </si>
  <si>
    <t xml:space="preserve">Input</t>
  </si>
  <si>
    <t xml:space="preserve">ACTIVE (selected scenario)</t>
  </si>
  <si>
    <t xml:space="preserve">Evidence</t>
  </si>
  <si>
    <t xml:space="preserve">Source IDs</t>
  </si>
  <si>
    <t xml:space="preserve">Notes / method</t>
  </si>
  <si>
    <t xml:space="preserve">SUP-01</t>
  </si>
  <si>
    <t xml:space="preserve">Re-quote price change vs expired quote</t>
  </si>
  <si>
    <t xml:space="preserve">ASSUMED</t>
  </si>
  <si>
    <t xml:space="preserve">S001;S068</t>
  </si>
  <si>
    <t xml:space="preserve">Quote expired 30-Sep-2026. Upward pressure: diesel +17% since Oct-2025; LOW assumes 5% negotiated discount.</t>
  </si>
  <si>
    <t xml:space="preserve">SUP-02</t>
  </si>
  <si>
    <t xml:space="preserve">Egyptian VAT rate on domestic supply</t>
  </si>
  <si>
    <t xml:space="preserve">VERIFIED_QUOTE</t>
  </si>
  <si>
    <t xml:space="preserve">S001;S060</t>
  </si>
  <si>
    <t xml:space="preserve">SUP-03</t>
  </si>
  <si>
    <t xml:space="preserve">VAT treatment (1=zero-rated direct export; 2=paid &amp; refunded; 3=paid, not recoverable)</t>
  </si>
  <si>
    <t xml:space="preserve">mode</t>
  </si>
  <si>
    <t xml:space="preserve">UNRESOLVED</t>
  </si>
  <si>
    <t xml:space="preserve">S060;S061;S062</t>
  </si>
  <si>
    <t xml:space="preserve">Depends on who is exporter of record. Quote is addressed to a domestic Alexandria buyer with 14% VAT.</t>
  </si>
  <si>
    <t xml:space="preserve">SUP-04</t>
  </si>
  <si>
    <t xml:space="preserve">VAT refund lag after export</t>
  </si>
  <si>
    <t xml:space="preserve">days</t>
  </si>
  <si>
    <t xml:space="preserve">ESTIMATED</t>
  </si>
  <si>
    <t xml:space="preserve">S060;S061</t>
  </si>
  <si>
    <t xml:space="preserve">Statutory 45 days after documented application; ETA target 20 days; delays plausible.</t>
  </si>
  <si>
    <t xml:space="preserve">SUP-05</t>
  </si>
  <si>
    <t xml:space="preserve">Advance payment share</t>
  </si>
  <si>
    <t xml:space="preserve">S001</t>
  </si>
  <si>
    <t xml:space="preserve">'advance_50' printed; meaning to be confirmed.</t>
  </si>
  <si>
    <t xml:space="preserve">SUP-06</t>
  </si>
  <si>
    <t xml:space="preserve">Tooling / dies / plates (one-off)</t>
  </si>
  <si>
    <t xml:space="preserve">Not mentioned on quote; plain standard sizes assumed to need none.</t>
  </si>
  <si>
    <t xml:space="preserve">SUP-07</t>
  </si>
  <si>
    <t xml:space="preserve">Production lead time (order to collection)</t>
  </si>
  <si>
    <t xml:space="preserve">Not stated on quote.</t>
  </si>
  <si>
    <t xml:space="preserve">5. Quotation clarification checklist for NFC (send with RFQ 1)</t>
  </si>
  <si>
    <t xml:space="preserve">Q01</t>
  </si>
  <si>
    <t xml:space="preserve">Confirm the quotation is re-issued, dated and valid ≥30 days; state whether prices change with kraft-paper prices.</t>
  </si>
  <si>
    <t xml:space="preserve">Q02</t>
  </si>
  <si>
    <t xml:space="preserve">Confirm Incoterm 2020 and named place: FCA [factory address, 6th of October] preferred (NFC loads and clears export). Quote EXW and FCA separately.</t>
  </si>
  <si>
    <t xml:space="preserve">Q03</t>
  </si>
  <si>
    <t xml:space="preserve">Confirm whether NFC (as a registered exporter) will invoice the foreign buyer directly with VAT zero-rating, or whether VAT 14% will be charged.</t>
  </si>
  <si>
    <t xml:space="preserve">Q04</t>
  </si>
  <si>
    <r>
      <rPr>
        <sz val="10"/>
        <rFont val="Calibri"/>
        <family val="0"/>
        <charset val="1"/>
      </rPr>
      <t xml:space="preserve">Issue the quote to the actual buying entity (the quote is addressed to '</t>
    </r>
    <r>
      <rPr>
        <sz val="10"/>
        <rFont val="FreeSans"/>
        <family val="2"/>
      </rPr>
      <t xml:space="preserve">ا</t>
    </r>
    <r>
      <rPr>
        <sz val="10"/>
        <rFont val="Calibri"/>
        <family val="0"/>
        <charset val="1"/>
      </rPr>
      <t xml:space="preserve">/ </t>
    </r>
    <r>
      <rPr>
        <sz val="10"/>
        <rFont val="FreeSans"/>
        <family val="2"/>
      </rPr>
      <t xml:space="preserve">انيس شركة توريدات</t>
    </r>
    <r>
      <rPr>
        <sz val="10"/>
        <rFont val="Calibri"/>
        <family val="0"/>
        <charset val="1"/>
      </rPr>
      <t xml:space="preserve">', Alexandria, tax ID blank).</t>
    </r>
  </si>
  <si>
    <t xml:space="preserve">Q05</t>
  </si>
  <si>
    <t xml:space="preserve">Confirm SKU 3464 nominal size (document: 5*35.5*35.5; brief: '5 × 5 × 5.5 inch') and whether 305/355/405 × 50 mm are INSIDE or OUTSIDE dimensions.</t>
  </si>
  <si>
    <t xml:space="preserve">Q06</t>
  </si>
  <si>
    <r>
      <rPr>
        <sz val="10"/>
        <rFont val="Calibri"/>
        <family val="0"/>
        <charset val="1"/>
      </rPr>
      <t xml:space="preserve">Confirm SKU 3460 is a complete pizza box (description lacks '</t>
    </r>
    <r>
      <rPr>
        <sz val="10"/>
        <rFont val="FreeSans"/>
        <family val="2"/>
      </rPr>
      <t xml:space="preserve">علبة</t>
    </r>
    <r>
      <rPr>
        <sz val="10"/>
        <rFont val="Calibri"/>
        <family val="0"/>
        <charset val="1"/>
      </rPr>
      <t xml:space="preserve">').</t>
    </r>
  </si>
  <si>
    <t xml:space="preserve">Q07</t>
  </si>
  <si>
    <t xml:space="preserve">Explain why 3464 (355 mm) is priced at EGP 8.365 versus EGP 7.900 for the larger 3463 (405 mm).</t>
  </si>
  <si>
    <t xml:space="preserve">Q08</t>
  </si>
  <si>
    <t xml:space="preserve">Define 'SINGLE-E': flute profile, liner and medium grammage, recycled content, food-contact surface, total g/m², caliper, ECT.</t>
  </si>
  <si>
    <t xml:space="preserve">Q09</t>
  </si>
  <si>
    <t xml:space="preserve">Provide die-line drawings, flat blank dimensions, blanks per bundle, bundle size and weight, palletisation options.</t>
  </si>
  <si>
    <t xml:space="preserve">Q10</t>
  </si>
  <si>
    <t xml:space="preserve">Provide container load plan: units per 20', 40', 40' HC for each SKU and for the 60,000 mix.</t>
  </si>
  <si>
    <t xml:space="preserve">Q11</t>
  </si>
  <si>
    <t xml:space="preserve">Confirm payment terms: is 'advance_50' a 50% advance with balance against documents? Accept LC or escrow?</t>
  </si>
  <si>
    <t xml:space="preserve">Q12</t>
  </si>
  <si>
    <t xml:space="preserve">Confirm tooling, die, plate, printing, sampling, packing or loading charges not shown on the quote.</t>
  </si>
  <si>
    <t xml:space="preserve">Q13</t>
  </si>
  <si>
    <t xml:space="preserve">Confirm loading of export container at factory, labour included, loading time window.</t>
  </si>
  <si>
    <t xml:space="preserve">Q14</t>
  </si>
  <si>
    <t xml:space="preserve">Provide food-contact documentation: declaration of compliance with 21 CFR 176.170/176.260, PFAS-free statement, heavy-metal (TPCH) certificate, test reports.</t>
  </si>
  <si>
    <t xml:space="preserve">Q15</t>
  </si>
  <si>
    <t xml:space="preserve">Confirm 'Made in Egypt' marking on every bundle wrap/outer pack.</t>
  </si>
  <si>
    <t xml:space="preserve">Q16</t>
  </si>
  <si>
    <t xml:space="preserve">Confirm production lead time, capacity per week and QC/AQL procedure; accept third-party pre-shipment inspection.</t>
  </si>
  <si>
    <t xml:space="preserve">Q17</t>
  </si>
  <si>
    <t xml:space="preserve">Provide company registration documents (commercial registry extract, tax card, industrial registry) and a bank letter confirming the beneficiary account.</t>
  </si>
  <si>
    <t xml:space="preserve">Q18</t>
  </si>
  <si>
    <t xml:space="preserve">Confirm the authorised signatory (signature 'Abdelrahman Darwish' vs printed name 'Mahmoud Bakr').</t>
  </si>
  <si>
    <t xml:space="preserve">Technical Specifications – what is known, what is assumed, what must be tested</t>
  </si>
  <si>
    <t xml:space="preserve">'SINGLE-E' most likely means single-wall E-flute corrugated board, but it does not prove construction, grammage, food-contact status or performance.</t>
  </si>
  <si>
    <t xml:space="preserve">1. Specification status per SKU</t>
  </si>
  <si>
    <t xml:space="preserve">#</t>
  </si>
  <si>
    <t xml:space="preserve">Specification item</t>
  </si>
  <si>
    <t xml:space="preserve">Provisional value in model</t>
  </si>
  <si>
    <t xml:space="preserve">Who supplies</t>
  </si>
  <si>
    <t xml:space="preserve">Why it matters</t>
  </si>
  <si>
    <t xml:space="preserve">T01</t>
  </si>
  <si>
    <t xml:space="preserve">Finished internal dimensions</t>
  </si>
  <si>
    <t xml:space="preserve">unknown</t>
  </si>
  <si>
    <t xml:space="preserve">Quoted L×W×H used</t>
  </si>
  <si>
    <t xml:space="preserve">NFC / lab</t>
  </si>
  <si>
    <t xml:space="preserve">Fit of 12/14/16" pizzas</t>
  </si>
  <si>
    <t xml:space="preserve">T02</t>
  </si>
  <si>
    <t xml:space="preserve">Finished external dimensions</t>
  </si>
  <si>
    <t xml:space="preserve">355×355×50 / 405×405×50 / 305×305×50 (basis unknown)</t>
  </si>
  <si>
    <t xml:space="preserve">As quoted</t>
  </si>
  <si>
    <t xml:space="preserve">Stacking, shelf space</t>
  </si>
  <si>
    <t xml:space="preserve">T03</t>
  </si>
  <si>
    <t xml:space="preserve">Lid height / base depth</t>
  </si>
  <si>
    <t xml:space="preserve">50 mm total (split unknown)</t>
  </si>
  <si>
    <t xml:space="preserve">50 mm</t>
  </si>
  <si>
    <t xml:space="preserve">Topping clearance</t>
  </si>
  <si>
    <t xml:space="preserve">T04</t>
  </si>
  <si>
    <t xml:space="preserve">Die-cut blank dimensions / flat pattern</t>
  </si>
  <si>
    <t xml:space="preserve">not supplied</t>
  </si>
  <si>
    <t xml:space="preserve">Estimated 2L+4.5H × W+2H+13</t>
  </si>
  <si>
    <t xml:space="preserve">Container capacity</t>
  </si>
  <si>
    <t xml:space="preserve">T05</t>
  </si>
  <si>
    <t xml:space="preserve">Board type / flute profile</t>
  </si>
  <si>
    <t xml:space="preserve">'SINGLE-E' (printed)</t>
  </si>
  <si>
    <t xml:space="preserve">Single-wall E-flute</t>
  </si>
  <si>
    <t xml:space="preserve">Rigidity, insulation</t>
  </si>
  <si>
    <t xml:space="preserve">T06</t>
  </si>
  <si>
    <t xml:space="preserve">Liner &amp; medium composition, grammage</t>
  </si>
  <si>
    <t xml:space="preserve">≈420 g/m² combined (calibrated)</t>
  </si>
  <si>
    <t xml:space="preserve">Weight, strength, cost</t>
  </si>
  <si>
    <t xml:space="preserve">T07</t>
  </si>
  <si>
    <t xml:space="preserve">Recycled vs virgin fibre; food-contact surface</t>
  </si>
  <si>
    <t xml:space="preserve">Recycled likely</t>
  </si>
  <si>
    <t xml:space="preserve">21 CFR 176.260 / buyer acceptance</t>
  </si>
  <si>
    <t xml:space="preserve">T08</t>
  </si>
  <si>
    <t xml:space="preserve">Total caliper (thickness)</t>
  </si>
  <si>
    <t xml:space="preserve">1.6 mm stacking pitch</t>
  </si>
  <si>
    <t xml:space="preserve">Units per container</t>
  </si>
  <si>
    <t xml:space="preserve">T09</t>
  </si>
  <si>
    <t xml:space="preserve">Moisture / grease / wet-strength performance</t>
  </si>
  <si>
    <t xml:space="preserve">Not assumed</t>
  </si>
  <si>
    <t xml:space="preserve">Hot, greasy pizza</t>
  </si>
  <si>
    <t xml:space="preserve">T10</t>
  </si>
  <si>
    <t xml:space="preserve">Edge crush / compression strength</t>
  </si>
  <si>
    <t xml:space="preserve">Stacking in delivery</t>
  </si>
  <si>
    <t xml:space="preserve">T11</t>
  </si>
  <si>
    <t xml:space="preserve">Printing, inks, adhesives, coatings</t>
  </si>
  <si>
    <t xml:space="preserve">not supplied (likely plain)</t>
  </si>
  <si>
    <t xml:space="preserve">Plain</t>
  </si>
  <si>
    <t xml:space="preserve">Food contact, TPCH, odour</t>
  </si>
  <si>
    <t xml:space="preserve">T12</t>
  </si>
  <si>
    <t xml:space="preserve">Tolerances</t>
  </si>
  <si>
    <t xml:space="preserve">–</t>
  </si>
  <si>
    <t xml:space="preserve">Fit, machinability</t>
  </si>
  <si>
    <t xml:space="preserve">T13</t>
  </si>
  <si>
    <t xml:space="preserve">Food-contact declarations &amp; test data</t>
  </si>
  <si>
    <t xml:space="preserve">Testing budget in selling costs</t>
  </si>
  <si>
    <t xml:space="preserve">Legal &amp; buyer requirement</t>
  </si>
  <si>
    <t xml:space="preserve">T14</t>
  </si>
  <si>
    <t xml:space="preserve">PFAS-free declaration / total fluorine</t>
  </si>
  <si>
    <t xml:space="preserve">Test in budget</t>
  </si>
  <si>
    <t xml:space="preserve">NY ECL 37-0209, MD law</t>
  </si>
  <si>
    <t xml:space="preserve">T15</t>
  </si>
  <si>
    <t xml:space="preserve">Heavy metals (Pb+Cd+Hg+Cr⁶⁺ ≤100 ppm)</t>
  </si>
  <si>
    <t xml:space="preserve">TPCH states incl. NY/NJ</t>
  </si>
  <si>
    <t xml:space="preserve">T16</t>
  </si>
  <si>
    <t xml:space="preserve">Blanks per bundle; bundle dims &amp; weight</t>
  </si>
  <si>
    <t xml:space="preserve">50; estimated</t>
  </si>
  <si>
    <t xml:space="preserve">Loading, handling</t>
  </si>
  <si>
    <t xml:space="preserve">T17</t>
  </si>
  <si>
    <t xml:space="preserve">Palletisation</t>
  </si>
  <si>
    <t xml:space="preserve">not specified</t>
  </si>
  <si>
    <t xml:space="preserve">Floor-loaded bundles</t>
  </si>
  <si>
    <t xml:space="preserve">Unloading, capacity</t>
  </si>
  <si>
    <t xml:space="preserve">2. Blank &amp; bundle estimation parameters (used by Loading Geometry)</t>
  </si>
  <si>
    <t xml:space="preserve">ENG-01</t>
  </si>
  <si>
    <t xml:space="preserve">Blank length = 2×L + k×H : k</t>
  </si>
  <si>
    <t xml:space="preserve">×H</t>
  </si>
  <si>
    <t xml:space="preserve">S080</t>
  </si>
  <si>
    <t xml:space="preserve">Calibrated on Arvco 14×14×1.75 in box listed with 36×18 in pack (36 = 2×14 + 4.57×1.75). Replace with NFC die-line.</t>
  </si>
  <si>
    <t xml:space="preserve">ENG-02</t>
  </si>
  <si>
    <t xml:space="preserve">Blank width = W + 2×H + allowance</t>
  </si>
  <si>
    <t xml:space="preserve">mm</t>
  </si>
  <si>
    <t xml:space="preserve">18 in = 14 + 2×1.75 + 0.5 in (12.7 mm) on the Arvco calibration point.</t>
  </si>
  <si>
    <t xml:space="preserve">ENG-03</t>
  </si>
  <si>
    <t xml:space="preserve">Net board area / bounding rectangle</t>
  </si>
  <si>
    <t xml:space="preserve">ratio</t>
  </si>
  <si>
    <t xml:space="preserve">Die-cut corner and flap cut-outs removed from bounding rectangle.</t>
  </si>
  <si>
    <t xml:space="preserve">ENG-04</t>
  </si>
  <si>
    <t xml:space="preserve">Combined board grammage (SINGLE-E)</t>
  </si>
  <si>
    <t xml:space="preserve">g/m²</t>
  </si>
  <si>
    <t xml:space="preserve">S074;S082</t>
  </si>
  <si>
    <t xml:space="preserve">Base calibrated to WebstaurantStore 12×12×2 E-flute: 15 lb per 50 = 136 g/box ⇒ ≈420 g/m² net.</t>
  </si>
  <si>
    <t xml:space="preserve">ENG-05</t>
  </si>
  <si>
    <t xml:space="preserve">Stacking pitch per flat blank</t>
  </si>
  <si>
    <t xml:space="preserve">S082</t>
  </si>
  <si>
    <t xml:space="preserve">E-flute caliper 1.2–1.8 mm; effective pitch in a strapped bundle. NFC must confirm bundle height.</t>
  </si>
  <si>
    <t xml:space="preserve">ENG-06</t>
  </si>
  <si>
    <t xml:space="preserve">Blanks per bundle</t>
  </si>
  <si>
    <t xml:space="preserve">pcs</t>
  </si>
  <si>
    <t xml:space="preserve">S073;S074;S080</t>
  </si>
  <si>
    <t xml:space="preserve">US norm is 50/bundle; NFC bundle count not stated.</t>
  </si>
  <si>
    <t xml:space="preserve">ENG-07</t>
  </si>
  <si>
    <t xml:space="preserve">Bundle footprint allowance (strap/wrap)</t>
  </si>
  <si>
    <t xml:space="preserve">ENG-08</t>
  </si>
  <si>
    <t xml:space="preserve">Bundle wrap/strap weight</t>
  </si>
  <si>
    <t xml:space="preserve">kg</t>
  </si>
  <si>
    <t xml:space="preserve">3. Specification-equivalence matrix (US comparables)</t>
  </si>
  <si>
    <t xml:space="preserve">Comparable product</t>
  </si>
  <si>
    <t xml:space="preserve">Size</t>
  </si>
  <si>
    <t xml:space="preserve">Flute</t>
  </si>
  <si>
    <t xml:space="preserve">Fibre</t>
  </si>
  <si>
    <t xml:space="preserve">Weight / box</t>
  </si>
  <si>
    <t xml:space="preserve">Pack</t>
  </si>
  <si>
    <t xml:space="preserve">Price $/box</t>
  </si>
  <si>
    <t xml:space="preserve">Reliable comparison?</t>
  </si>
  <si>
    <t xml:space="preserve">Comment</t>
  </si>
  <si>
    <t xml:space="preserve">E01</t>
  </si>
  <si>
    <t xml:space="preserve">WebstaurantStore Choice 12×12×2 E-flute kraft</t>
  </si>
  <si>
    <t xml:space="preserve">100% recycled</t>
  </si>
  <si>
    <t xml:space="preserve">≈136 g</t>
  </si>
  <si>
    <t xml:space="preserve">50</t>
  </si>
  <si>
    <t xml:space="preserve">$0.30–0.32</t>
  </si>
  <si>
    <t xml:space="preserve">YES for 3460</t>
  </si>
  <si>
    <t xml:space="preserve">Same flute; PFAS-free claim; online price</t>
  </si>
  <si>
    <t xml:space="preserve">E02</t>
  </si>
  <si>
    <t xml:space="preserve">WebstaurantStore Choice 12×12×2 B-flute kraft</t>
  </si>
  <si>
    <t xml:space="preserve">Recycled</t>
  </si>
  <si>
    <t xml:space="preserve">n/a</t>
  </si>
  <si>
    <t xml:space="preserve">$0.30–0.40</t>
  </si>
  <si>
    <t xml:space="preserve">Partial</t>
  </si>
  <si>
    <t xml:space="preserve">Heavier board; used to derive E/B ratio 0.80</t>
  </si>
  <si>
    <t xml:space="preserve">E03</t>
  </si>
  <si>
    <t xml:space="preserve">WebstaurantStore Choice 14×14×2 B-flute kraft</t>
  </si>
  <si>
    <t xml:space="preserve">≈189 g</t>
  </si>
  <si>
    <t xml:space="preserve">$0.39–0.42</t>
  </si>
  <si>
    <t xml:space="preserve">Partial for 3464</t>
  </si>
  <si>
    <t xml:space="preserve">Stronger board than SINGLE-E – discounted 20%</t>
  </si>
  <si>
    <t xml:space="preserve">E04</t>
  </si>
  <si>
    <t xml:space="preserve">WebstaurantStore Choice 16×16×2 kraft/white</t>
  </si>
  <si>
    <t xml:space="preserve">B (class)</t>
  </si>
  <si>
    <t xml:space="preserve">$0.45–0.46</t>
  </si>
  <si>
    <t xml:space="preserve">Partial for 3463</t>
  </si>
  <si>
    <t xml:space="preserve">Discounted 20% to E-flute equivalence</t>
  </si>
  <si>
    <t xml:space="preserve">E05</t>
  </si>
  <si>
    <t xml:space="preserve">Arvco 14"/16" E-flute kraft (Imperial Dade)</t>
  </si>
  <si>
    <t xml:space="preserve">14"/16"</t>
  </si>
  <si>
    <t xml:space="preserve">login</t>
  </si>
  <si>
    <t xml:space="preserve">YES (spec) – no price</t>
  </si>
  <si>
    <t xml:space="preserve">Shows E-flute 14/16 is sold in US</t>
  </si>
  <si>
    <t xml:space="preserve">E06</t>
  </si>
  <si>
    <t xml:space="preserve">Uline 12"/14" white</t>
  </si>
  <si>
    <t xml:space="preserve">12"/14"</t>
  </si>
  <si>
    <t xml:space="preserve">B (white)</t>
  </si>
  <si>
    <t xml:space="preserve">$0.78–1.08</t>
  </si>
  <si>
    <t xml:space="preserve">NO</t>
  </si>
  <si>
    <t xml:space="preserve">Premium white industrial catalogue</t>
  </si>
  <si>
    <t xml:space="preserve">4. Minimum pre-shipment testing plan (commonly used methods – not legally mandatory unless stated)</t>
  </si>
  <si>
    <t xml:space="preserve">Method (indicative)</t>
  </si>
  <si>
    <t xml:space="preserve">Why</t>
  </si>
  <si>
    <t xml:space="preserve">Mandatory?</t>
  </si>
  <si>
    <t xml:space="preserve">Indicative cost</t>
  </si>
  <si>
    <t xml:space="preserve">Source</t>
  </si>
  <si>
    <t xml:space="preserve">Dimensions &amp; fit with real 12/14/16" pizzas</t>
  </si>
  <si>
    <t xml:space="preserve">Measure inside dims; trial fit</t>
  </si>
  <si>
    <t xml:space="preserve">Size risk (inside vs outside)</t>
  </si>
  <si>
    <t xml:space="preserve">No – commercial</t>
  </si>
  <si>
    <t xml:space="preserve">$0–200</t>
  </si>
  <si>
    <t xml:space="preserve">Do on samples first</t>
  </si>
  <si>
    <t xml:space="preserve">Board construction, grammage, caliper</t>
  </si>
  <si>
    <t xml:space="preserve">ISO 536 (grammage), ISO 3034 (thickness)</t>
  </si>
  <si>
    <t xml:space="preserve">Confirms SINGLE-E spec &amp; weight</t>
  </si>
  <si>
    <t xml:space="preserve">No</t>
  </si>
  <si>
    <t xml:space="preserve">$100–300</t>
  </si>
  <si>
    <t xml:space="preserve">Analyst knowledge – verify with lab</t>
  </si>
  <si>
    <t xml:space="preserve">Edge crush / flat crush</t>
  </si>
  <si>
    <t xml:space="preserve">ISO 3037 / TAPPI T 811 (ECT); ISO 3035 (FCT)</t>
  </si>
  <si>
    <t xml:space="preserve">Strength vs US B-flute norm</t>
  </si>
  <si>
    <t xml:space="preserve">No – buyer spec</t>
  </si>
  <si>
    <t xml:space="preserve">Water absorption (Cobb) &amp; grease resistance</t>
  </si>
  <si>
    <t xml:space="preserve">ISO 535 / TAPPI T 441 (Cobb); TAPPI T 559 (kit test)</t>
  </si>
  <si>
    <t xml:space="preserve">Hot/greasy pizza performance</t>
  </si>
  <si>
    <t xml:space="preserve">Only if a grease-resistance claim is made</t>
  </si>
  <si>
    <t xml:space="preserve">PFAS screening</t>
  </si>
  <si>
    <t xml:space="preserve">Total (organic) fluorine screening</t>
  </si>
  <si>
    <t xml:space="preserve">NY/MD PFAS bans; buyer requirement</t>
  </si>
  <si>
    <t xml:space="preserve">Legal in NY/MD (no intentionally added PFAS)</t>
  </si>
  <si>
    <t xml:space="preserve">a few hundred $ per sample</t>
  </si>
  <si>
    <t xml:space="preserve">S092</t>
  </si>
  <si>
    <t xml:space="preserve">Heavy metals (Pb, Cd, Hg, Cr⁶⁺)</t>
  </si>
  <si>
    <t xml:space="preserve">Total metals by acid digestion + ICP</t>
  </si>
  <si>
    <t xml:space="preserve">TPCH ≤100 ppm combined</t>
  </si>
  <si>
    <t xml:space="preserve">Legal in TPCH states</t>
  </si>
  <si>
    <t xml:space="preserve">$150–300</t>
  </si>
  <si>
    <t xml:space="preserve">S035</t>
  </si>
  <si>
    <t xml:space="preserve">Food-contact documentation review</t>
  </si>
  <si>
    <t xml:space="preserve">Supplier DoC vs 21 CFR 176.170 / 176.260 / 175.105</t>
  </si>
  <si>
    <t xml:space="preserve">FDA food-additive compliance</t>
  </si>
  <si>
    <t xml:space="preserve">Compliance with FDA regs is legally required; the format of evidence is commercial</t>
  </si>
  <si>
    <t xml:space="preserve">$0–1,000 (consultant)</t>
  </si>
  <si>
    <t xml:space="preserve">S030</t>
  </si>
  <si>
    <t xml:space="preserve">Odour / taint (if printed or recycled)</t>
  </si>
  <si>
    <t xml:space="preserve">EN 1230 sensory test</t>
  </si>
  <si>
    <t xml:space="preserve">Food acceptability</t>
  </si>
  <si>
    <t xml:space="preserve">$200–500</t>
  </si>
  <si>
    <t xml:space="preserve">Assembly &amp; flat-pack integrity; real pizza trial</t>
  </si>
  <si>
    <t xml:space="preserve">Practical trial at a pizzeria</t>
  </si>
  <si>
    <t xml:space="preserve">Usability &amp; heat/steam behaviour</t>
  </si>
  <si>
    <t xml:space="preserve">Do with target buyer</t>
  </si>
  <si>
    <t xml:space="preserve">Exchange Rates – dated, editable inputs</t>
  </si>
  <si>
    <t xml:space="preserve">EGP per USD. BASE = Central Bank of Egypt buy rate 15-Oct-2026 (S063). Effective rate = CBE × (1 − bank spread).</t>
  </si>
  <si>
    <t xml:space="preserve">1. FX inputs</t>
  </si>
  <si>
    <t xml:space="preserve">FX-01</t>
  </si>
  <si>
    <t xml:space="preserve">EGP per USD (CBE official buy rate basis)</t>
  </si>
  <si>
    <t xml:space="preserve">EGP/USD</t>
  </si>
  <si>
    <t xml:space="preserve">VERIFIED_OFFICIAL</t>
  </si>
  <si>
    <t xml:space="preserve">S063;S064;S065</t>
  </si>
  <si>
    <t xml:space="preserve">BASE = CBE buy 53.04 (15-Oct-2026). LOW = 2026 high ~54.6 (late March, weaker EGP favours USD buyer). STRESS = 49.0 (Reuters poll, EGP appreciation).</t>
  </si>
  <si>
    <t xml:space="preserve">FX-02</t>
  </si>
  <si>
    <t xml:space="preserve">Bank FX spread vs CBE rate</t>
  </si>
  <si>
    <t xml:space="preserve">Effective rate = CBE × (1 − spread).</t>
  </si>
  <si>
    <t xml:space="preserve">2. Effective EGP per USD by scenario</t>
  </si>
  <si>
    <t xml:space="preserve">Measure</t>
  </si>
  <si>
    <t xml:space="preserve">ACTIVE</t>
  </si>
  <si>
    <t xml:space="preserve">Effective EGP per USD = CBE × (1 − spread)</t>
  </si>
  <si>
    <t xml:space="preserve">3. Dated observations (evidence)</t>
  </si>
  <si>
    <t xml:space="preserve">Date</t>
  </si>
  <si>
    <t xml:space="preserve">Observation</t>
  </si>
  <si>
    <t xml:space="preserve">Type</t>
  </si>
  <si>
    <t xml:space="preserve">2026-02-22</t>
  </si>
  <si>
    <t xml:space="preserve">Pre-conflict level (press)</t>
  </si>
  <si>
    <t xml:space="preserve">S064</t>
  </si>
  <si>
    <t xml:space="preserve">Press</t>
  </si>
  <si>
    <t xml:space="preserve">2026-03 (late)</t>
  </si>
  <si>
    <t xml:space="preserve">Dollar breaks 53.50; NBE quote 54.6</t>
  </si>
  <si>
    <t xml:space="preserve">Press / bank quote</t>
  </si>
  <si>
    <t xml:space="preserve">Used as LOW (favourable to USD buyer)</t>
  </si>
  <si>
    <t xml:space="preserve">2026-05-14</t>
  </si>
  <si>
    <t xml:space="preserve">CBE ~52.83 buy / 52.97 sell</t>
  </si>
  <si>
    <t xml:space="preserve">2026-07-16</t>
  </si>
  <si>
    <t xml:space="preserve">Pound firms below 51 (~50.6)</t>
  </si>
  <si>
    <t xml:space="preserve">2026-10-11</t>
  </si>
  <si>
    <t xml:space="preserve">Aggregator 52.53 buy / 52.66 sell</t>
  </si>
  <si>
    <t xml:space="preserve">S063</t>
  </si>
  <si>
    <t xml:space="preserve">Aggregator</t>
  </si>
  <si>
    <t xml:space="preserve">2026-10-14</t>
  </si>
  <si>
    <t xml:space="preserve">CBE homepage 53.0544 buy / 53.1544 sell</t>
  </si>
  <si>
    <t xml:space="preserve">Official (via search extract)</t>
  </si>
  <si>
    <t xml:space="preserve">2026-10-15</t>
  </si>
  <si>
    <t xml:space="preserve">CBE 53.04 buy / 53.18 sell (press report)</t>
  </si>
  <si>
    <t xml:space="preserve">Official via press</t>
  </si>
  <si>
    <t xml:space="preserve">2027-06 (forecast)</t>
  </si>
  <si>
    <t xml:space="preserve">Reuters poll: 49 by end-June 2027</t>
  </si>
  <si>
    <t xml:space="preserve">S065</t>
  </si>
  <si>
    <t xml:space="preserve">Forecast</t>
  </si>
  <si>
    <t xml:space="preserve">Used as STRESS (EGP appreciation)</t>
  </si>
  <si>
    <t xml:space="preserve">FX date used for BASE</t>
  </si>
  <si>
    <t xml:space="preserve">Container Specifications</t>
  </si>
  <si>
    <t xml:space="preserve">Representative dry-container data (DSV, S041; cross-check Maersk S042). US road cargo limits (S043, S096). Verify the actual unit's CSC plate.</t>
  </si>
  <si>
    <t xml:space="preserve">1. Equipment (mm, kg, m³)</t>
  </si>
  <si>
    <t xml:space="preserve">Key</t>
  </si>
  <si>
    <t xml:space="preserve">Container</t>
  </si>
  <si>
    <t xml:space="preserve">Inside L</t>
  </si>
  <si>
    <t xml:space="preserve">Inside W</t>
  </si>
  <si>
    <t xml:space="preserve">Inside H</t>
  </si>
  <si>
    <t xml:space="preserve">Door W</t>
  </si>
  <si>
    <t xml:space="preserve">Door H</t>
  </si>
  <si>
    <t xml:space="preserve">Tare kg</t>
  </si>
  <si>
    <t xml:space="preserve">Max payload kg</t>
  </si>
  <si>
    <t xml:space="preserve">Cube m³</t>
  </si>
  <si>
    <t xml:space="preserve">TEU</t>
  </si>
  <si>
    <t xml:space="preserve">US road cargo limit kg</t>
  </si>
  <si>
    <t xml:space="preserve">Road limit lb</t>
  </si>
  <si>
    <t xml:space="preserve">Road-limit note</t>
  </si>
  <si>
    <t xml:space="preserve">Sources</t>
  </si>
  <si>
    <t xml:space="preserve">20GP</t>
  </si>
  <si>
    <t xml:space="preserve">20' dry (GP)</t>
  </si>
  <si>
    <t xml:space="preserve">38,000 lb practical cargo limit on standard chassis (tri-axle needed above)</t>
  </si>
  <si>
    <t xml:space="preserve">S041;S042;S043;S096</t>
  </si>
  <si>
    <t xml:space="preserve">40GP</t>
  </si>
  <si>
    <t xml:space="preserve">40' dry (GP)</t>
  </si>
  <si>
    <t xml:space="preserve">44,000 lb practical cargo limit (80,000 lb GVW)</t>
  </si>
  <si>
    <t xml:space="preserve">40HC</t>
  </si>
  <si>
    <t xml:space="preserve">40' high-cube (HC)</t>
  </si>
  <si>
    <t xml:space="preserve">LCL</t>
  </si>
  <si>
    <t xml:space="preserve">LCL (consolidated)</t>
  </si>
  <si>
    <t xml:space="preserve">No container; TEU-based charges not applied</t>
  </si>
  <si>
    <t xml:space="preserve">2. Usable envelope and loading-efficiency inputs</t>
  </si>
  <si>
    <t xml:space="preserve">USE-01</t>
  </si>
  <si>
    <t xml:space="preserve">Usable length deduction (door/securing)</t>
  </si>
  <si>
    <t xml:space="preserve">USE-02</t>
  </si>
  <si>
    <t xml:space="preserve">Usable width deduction (wall corrugation/tolerance)</t>
  </si>
  <si>
    <t xml:space="preserve">USE-03</t>
  </si>
  <si>
    <t xml:space="preserve">Top clearance for hand stacking</t>
  </si>
  <si>
    <t xml:space="preserve">Usable height = MIN(internal − clearance, door height).</t>
  </si>
  <si>
    <t xml:space="preserve">USE-04</t>
  </si>
  <si>
    <t xml:space="preserve">Operational loading efficiency vs geometric maximum</t>
  </si>
  <si>
    <t xml:space="preserve">Hand-stacked loose bundles; voids, dunnage/airbags, dimensional variation.</t>
  </si>
  <si>
    <t xml:space="preserve">Usable length = inside length − deduction; usable width = inside width − deduction; usable height = MIN(inside height − top clearance, door height).</t>
  </si>
  <si>
    <t xml:space="preserve">Ocean payload (25–28.6 t) is never binding: the US road limit (~17.2 t 20', ~20.0 t 40'/HC on standard chassis) binds first.</t>
  </si>
  <si>
    <t xml:space="preserve">Loading efficiency reserves capacity for hand-stacked loose bundles (dimensional variation, dunnage, airbags). Required bundles are divided by efficiency before the geometric fit.</t>
  </si>
  <si>
    <t xml:space="preserve">Loading Geometry – PROVISIONAL physical model (formula-driven)</t>
  </si>
  <si>
    <t xml:space="preserve">Blank sizes are a calibrated die-line ESTIMATE (2L + k·H by W + 2H + allowance), not NFC data. Replace with NFC die-lines/bundle data (RFQ 1). Orange = value written by scripts/loading_model.py.</t>
  </si>
  <si>
    <t xml:space="preserve">A. Flat blank and bundle per SKU and scenario</t>
  </si>
  <si>
    <t xml:space="preserve">Scenario</t>
  </si>
  <si>
    <t xml:space="preserve">Scen#</t>
  </si>
  <si>
    <t xml:space="preserve">k (×H)</t>
  </si>
  <si>
    <t xml:space="preserve">W allow</t>
  </si>
  <si>
    <t xml:space="preserve">Blank L mm</t>
  </si>
  <si>
    <t xml:space="preserve">Blank W mm</t>
  </si>
  <si>
    <t xml:space="preserve">Bounding m²</t>
  </si>
  <si>
    <t xml:space="preserve">Net factor</t>
  </si>
  <si>
    <t xml:space="preserve">Blank kg</t>
  </si>
  <si>
    <t xml:space="preserve">Wrap mm</t>
  </si>
  <si>
    <t xml:space="preserve">Bundle a mm</t>
  </si>
  <si>
    <t xml:space="preserve">Bundle b mm</t>
  </si>
  <si>
    <t xml:space="preserve">Blanks/bundle</t>
  </si>
  <si>
    <t xml:space="preserve">Pitch mm</t>
  </si>
  <si>
    <t xml:space="preserve">Bundle h mm</t>
  </si>
  <si>
    <t xml:space="preserve">Bundle kg</t>
  </si>
  <si>
    <t xml:space="preserve">Bundle m³</t>
  </si>
  <si>
    <t xml:space="preserve">m³ per box</t>
  </si>
  <si>
    <t xml:space="preserve">kg per box</t>
  </si>
  <si>
    <t xml:space="preserve">B. Usable container envelope by scenario</t>
  </si>
  <si>
    <t xml:space="preserve">Ctr</t>
  </si>
  <si>
    <t xml:space="preserve">Len ded</t>
  </si>
  <si>
    <t xml:space="preserve">Wid ded</t>
  </si>
  <si>
    <t xml:space="preserve">Top clr</t>
  </si>
  <si>
    <t xml:space="preserve">Usable L</t>
  </si>
  <si>
    <t xml:space="preserve">Usable W</t>
  </si>
  <si>
    <t xml:space="preserve">Usable H</t>
  </si>
  <si>
    <t xml:space="preserve">Road kg</t>
  </si>
  <si>
    <t xml:space="preserve">Efficiency</t>
  </si>
  <si>
    <t xml:space="preserve">C. Single-SKU capacity per container (row-mix floor pattern; exact guillotine DP shown for validation)</t>
  </si>
  <si>
    <t xml:space="preserve">a mm</t>
  </si>
  <si>
    <t xml:space="preserve">b mm</t>
  </si>
  <si>
    <t xml:space="preserve">h mm</t>
  </si>
  <si>
    <t xml:space="preserve">Blanks/bdl</t>
  </si>
  <si>
    <t xml:space="preserve">Layers</t>
  </si>
  <si>
    <t xml:space="preserve">Pos n2=0</t>
  </si>
  <si>
    <t xml:space="preserve">Pos n2=1</t>
  </si>
  <si>
    <t xml:space="preserve">Pos n2=2</t>
  </si>
  <si>
    <t xml:space="preserve">Floor positions</t>
  </si>
  <si>
    <t xml:space="preserve">Best n2</t>
  </si>
  <si>
    <t xml:space="preserve">Theo bundles</t>
  </si>
  <si>
    <t xml:space="preserve">Theo units</t>
  </si>
  <si>
    <t xml:space="preserve">Oper. bundles</t>
  </si>
  <si>
    <t xml:space="preserve">Oper. units</t>
  </si>
  <si>
    <t xml:space="preserve">Weight-limit bdl</t>
  </si>
  <si>
    <t xml:space="preserve">Weight-limit units</t>
  </si>
  <si>
    <t xml:space="preserve">REALISTIC units</t>
  </si>
  <si>
    <t xml:space="preserve">Binding constraint</t>
  </si>
  <si>
    <t xml:space="preserve">Cargo kg</t>
  </si>
  <si>
    <t xml:space="preserve">Cube util</t>
  </si>
  <si>
    <t xml:space="preserve">Payload util</t>
  </si>
  <si>
    <t xml:space="preserve">DP positions (script)</t>
  </si>
  <si>
    <t xml:space="preserve">Validation</t>
  </si>
  <si>
    <t xml:space="preserve">D. Loading schematics (top view, BASE scenario, produced by scripts/loading_model.py – illustrative, not a verified load plan)</t>
  </si>
  <si>
    <t xml:space="preserve">Shipment Configuration – quoted order vs optimised full-container options</t>
  </si>
  <si>
    <t xml:space="preserve">Units per SKU by scenario; feasibility tested with formula zone layouts (each SKU in its own block of container length). Orange = maximum equal-mix quantity solved by scripts/loading_model.py (re-run if geometry inputs change; the FITS columns re-test it).</t>
  </si>
  <si>
    <t xml:space="preserve">A. Configurations (rows = configuration index 1–10)</t>
  </si>
  <si>
    <t xml:space="preserve">Ctr#</t>
  </si>
  <si>
    <t xml:space="preserve">Qty ctr</t>
  </si>
  <si>
    <t xml:space="preserve">Kind</t>
  </si>
  <si>
    <t xml:space="preserve">3464 LOW</t>
  </si>
  <si>
    <t xml:space="preserve">3464 BASE</t>
  </si>
  <si>
    <t xml:space="preserve">3464 STRESS</t>
  </si>
  <si>
    <t xml:space="preserve">3463 LOW</t>
  </si>
  <si>
    <t xml:space="preserve">3463 BASE</t>
  </si>
  <si>
    <t xml:space="preserve">3463 STRESS</t>
  </si>
  <si>
    <t xml:space="preserve">3460 LOW</t>
  </si>
  <si>
    <t xml:space="preserve">3460 BASE</t>
  </si>
  <si>
    <t xml:space="preserve">3460 STRESS</t>
  </si>
  <si>
    <t xml:space="preserve">Total LOW</t>
  </si>
  <si>
    <t xml:space="preserve">Total BASE</t>
  </si>
  <si>
    <t xml:space="preserve">Total STRESS</t>
  </si>
  <si>
    <t xml:space="preserve">FITS LOW</t>
  </si>
  <si>
    <t xml:space="preserve">FITS BASE</t>
  </si>
  <si>
    <t xml:space="preserve">FITS STRESS</t>
  </si>
  <si>
    <t xml:space="preserve">Len util LOW</t>
  </si>
  <si>
    <t xml:space="preserve">Len util BASE</t>
  </si>
  <si>
    <t xml:space="preserve">Len util STRESS</t>
  </si>
  <si>
    <t xml:space="preserve">C1 Quoted 60,000 mix in one 40' HC</t>
  </si>
  <si>
    <t xml:space="preserve">fixed</t>
  </si>
  <si>
    <t xml:space="preserve">C2 Quoted 60,000 mix in one 40' GP</t>
  </si>
  <si>
    <t xml:space="preserve">C3 Quoted 60,000 mix split over two 20' GP</t>
  </si>
  <si>
    <t xml:space="preserve">C4 Full 40' HC – equal-units mix (max)</t>
  </si>
  <si>
    <t xml:space="preserve">fullmix</t>
  </si>
  <si>
    <t xml:space="preserve">C5 Full 40' HC – 3464 (14") only</t>
  </si>
  <si>
    <t xml:space="preserve">fullsku</t>
  </si>
  <si>
    <t xml:space="preserve">C6 Full 40' HC – 3463 (16") only</t>
  </si>
  <si>
    <t xml:space="preserve">C7 Full 40' HC – 3460 (12") only</t>
  </si>
  <si>
    <t xml:space="preserve">C8 Full 40' GP – equal-units mix (max)</t>
  </si>
  <si>
    <t xml:space="preserve">C9 Full 20' GP – equal-units mix (max)</t>
  </si>
  <si>
    <t xml:space="preserve">C10 LCL pilot – 10,000 mix (3,350/3,350/3,300 = 200 bundles)</t>
  </si>
  <si>
    <t xml:space="preserve">B. Physical-feasibility answers (formula)</t>
  </si>
  <si>
    <t xml:space="preserve">Quoted 60,000 mix fits ONE 40' HC (LOW / BASE / STRESS)</t>
  </si>
  <si>
    <t xml:space="preserve">Quoted 60,000 mix fits ONE 40' GP (LOW / BASE / STRESS)</t>
  </si>
  <si>
    <t xml:space="preserve">Quoted 60,000 mix fits TWO 20' GP (LOW / BASE / STRESS)</t>
  </si>
  <si>
    <t xml:space="preserve">Recommended equipment for the quoted order</t>
  </si>
  <si>
    <t xml:space="preserve">Length utilisation of 40' HC by quoted order (BASE)</t>
  </si>
  <si>
    <t xml:space="preserve">Max equal-mix units per 40' HC (BASE)</t>
  </si>
  <si>
    <t xml:space="preserve">LCL vs one 20' FCL – volume at which FCL becomes cheaper (active scenario, NY/NJ→Edison)</t>
  </si>
  <si>
    <t xml:space="preserve">m³ of bundles</t>
  </si>
  <si>
    <t xml:space="preserve">… equivalent equal-mix boxes (BASE m³/box)</t>
  </si>
  <si>
    <t xml:space="preserve">boxes (LCL rates are ASSUMED – RFQ 2)</t>
  </si>
  <si>
    <t xml:space="preserve">C. Zone-layout calculation per container (each SKU occupies a block of length; candidate-length method, validated against exact search in scripts/loading_model.py)</t>
  </si>
  <si>
    <t xml:space="preserve">Cfg#</t>
  </si>
  <si>
    <t xml:space="preserve">Units</t>
  </si>
  <si>
    <t xml:space="preserve">Units/ctr</t>
  </si>
  <si>
    <t xml:space="preserve">Bundles/ctr</t>
  </si>
  <si>
    <t xml:space="preserve">Eff.</t>
  </si>
  <si>
    <t xml:space="preserve">Stacks</t>
  </si>
  <si>
    <t xml:space="preserve">a</t>
  </si>
  <si>
    <t xml:space="preserve">b</t>
  </si>
  <si>
    <t xml:space="preserve">n1 (n2=0)</t>
  </si>
  <si>
    <t xml:space="preserve">i0 (n2=0)</t>
  </si>
  <si>
    <t xml:space="preserve">j0 (n2=0)</t>
  </si>
  <si>
    <t xml:space="preserve">Lmin (n2=0)</t>
  </si>
  <si>
    <t xml:space="preserve">n1 (n2=1)</t>
  </si>
  <si>
    <t xml:space="preserve">i0 (n2=1)</t>
  </si>
  <si>
    <t xml:space="preserve">j0 (n2=1)</t>
  </si>
  <si>
    <t xml:space="preserve">Lmin (n2=1)</t>
  </si>
  <si>
    <t xml:space="preserve">n1 (n2=2)</t>
  </si>
  <si>
    <t xml:space="preserve">i0 (n2=2)</t>
  </si>
  <si>
    <t xml:space="preserve">j0 (n2=2)</t>
  </si>
  <si>
    <t xml:space="preserve">Lmin (n2=2)</t>
  </si>
  <si>
    <t xml:space="preserve">Zone length mm</t>
  </si>
  <si>
    <t xml:space="preserve">Zone kg</t>
  </si>
  <si>
    <t xml:space="preserve">Zone m³</t>
  </si>
  <si>
    <t xml:space="preserve">D. Feasibility per configuration and scenario (one container; multi-container configs split units evenly)</t>
  </si>
  <si>
    <t xml:space="preserve">Σ zone length</t>
  </si>
  <si>
    <t xml:space="preserve">Fits length</t>
  </si>
  <si>
    <t xml:space="preserve">kg / ctr</t>
  </si>
  <si>
    <t xml:space="preserve">Fits weight</t>
  </si>
  <si>
    <t xml:space="preserve">FITS</t>
  </si>
  <si>
    <t xml:space="preserve">Length util</t>
  </si>
  <si>
    <t xml:space="preserve">Origin Costs – Egypt (from the supplier's premises to vessel loading)</t>
  </si>
  <si>
    <t xml:space="preserve">Inputs by scenario. EGP items convert at the scenario's effective FX. The selected-case ledger is on 'Landed Cost by SKU'.</t>
  </si>
  <si>
    <t xml:space="preserve">1. Origin cost inputs</t>
  </si>
  <si>
    <t xml:space="preserve">ORI-01</t>
  </si>
  <si>
    <t xml:space="preserve">Inland trucking factory→Alexandria/Dekheila, 20'</t>
  </si>
  <si>
    <t xml:space="preserve">EGP/ctr</t>
  </si>
  <si>
    <t xml:space="preserve">S066;S067;S068</t>
  </si>
  <si>
    <t xml:space="preserve">2025 association tariff scaled for ~200 km and diesel +17%.</t>
  </si>
  <si>
    <t xml:space="preserve">ORI-02</t>
  </si>
  <si>
    <t xml:space="preserve">Inland trucking factory→Alexandria/Dekheila, 40'/HC</t>
  </si>
  <si>
    <t xml:space="preserve">Sadat/Tanta ≈ EGP 9,500 (2025, ~125 km) → +25% distance → +7% fuel → + loading wait time.</t>
  </si>
  <si>
    <t xml:space="preserve">ORI-03</t>
  </si>
  <si>
    <t xml:space="preserve">Export customs clearance &amp; documentation (broker)</t>
  </si>
  <si>
    <t xml:space="preserve">EGP/shpt</t>
  </si>
  <si>
    <t xml:space="preserve">S062</t>
  </si>
  <si>
    <t xml:space="preserve">No published tariff found; RFQ item.</t>
  </si>
  <si>
    <t xml:space="preserve">ORI-04</t>
  </si>
  <si>
    <t xml:space="preserve">Certificate of origin / chamber (optional for US)</t>
  </si>
  <si>
    <t xml:space="preserve">Not legally required for US MFN entry.</t>
  </si>
  <si>
    <t xml:space="preserve">ORI-05</t>
  </si>
  <si>
    <t xml:space="preserve">Terminal receiving + VGM weighing</t>
  </si>
  <si>
    <t xml:space="preserve">USD/ctr</t>
  </si>
  <si>
    <t xml:space="preserve">VERIFIED_MARKET</t>
  </si>
  <si>
    <t xml:space="preserve">S069</t>
  </si>
  <si>
    <t xml:space="preserve">ACCHC from 1-Sep-2026: entry USD 15–20; weighing USD 30–60.</t>
  </si>
  <si>
    <t xml:space="preserve">ORI-06</t>
  </si>
  <si>
    <t xml:space="preserve">Origin THC, 20'</t>
  </si>
  <si>
    <t xml:space="preserve">S050</t>
  </si>
  <si>
    <t xml:space="preserve">Hapag-Lloyd Alexandria/Damietta.</t>
  </si>
  <si>
    <t xml:space="preserve">ORI-07</t>
  </si>
  <si>
    <t xml:space="preserve">Origin THC, 40'/HC</t>
  </si>
  <si>
    <t xml:space="preserve">ORI-08</t>
  </si>
  <si>
    <t xml:space="preserve">Origin THC already included in ocean quote? (1=yes)</t>
  </si>
  <si>
    <t xml:space="preserve">flag</t>
  </si>
  <si>
    <t xml:space="preserve">S047</t>
  </si>
  <si>
    <t xml:space="preserve">Ocean estimate is built EXCLUDING origin THC; set 1 if forwarder quote includes it (double-count control).</t>
  </si>
  <si>
    <t xml:space="preserve">ORI-09</t>
  </si>
  <si>
    <t xml:space="preserve">Container seal</t>
  </si>
  <si>
    <t xml:space="preserve">ORI-10</t>
  </si>
  <si>
    <t xml:space="preserve">B/L &amp; carrier documentation fee</t>
  </si>
  <si>
    <t xml:space="preserve">USD/shpt</t>
  </si>
  <si>
    <t xml:space="preserve">Fee exists on carrier local tariffs; amount not retrieved.</t>
  </si>
  <si>
    <t xml:space="preserve">ORI-11</t>
  </si>
  <si>
    <t xml:space="preserve">Forwarder origin handling fee</t>
  </si>
  <si>
    <t xml:space="preserve">ORI-12</t>
  </si>
  <si>
    <t xml:space="preserve">Egyptian export inspection (if selected)</t>
  </si>
  <si>
    <t xml:space="preserve">ORI-13</t>
  </si>
  <si>
    <t xml:space="preserve">Origin detention days beyond free time</t>
  </si>
  <si>
    <t xml:space="preserve">S070</t>
  </si>
  <si>
    <t xml:space="preserve">ORI-14</t>
  </si>
  <si>
    <t xml:space="preserve">Origin detention rate, 20'</t>
  </si>
  <si>
    <t xml:space="preserve">USD/day</t>
  </si>
  <si>
    <t xml:space="preserve">Maersk Egypt days 4–10.</t>
  </si>
  <si>
    <t xml:space="preserve">ORI-15</t>
  </si>
  <si>
    <t xml:space="preserve">Origin detention rate, 40'/HC</t>
  </si>
  <si>
    <t xml:space="preserve">ORI-16</t>
  </si>
  <si>
    <t xml:space="preserve">Factory loading labour (if NFC charges under EXW)</t>
  </si>
  <si>
    <t xml:space="preserve">S072</t>
  </si>
  <si>
    <t xml:space="preserve">Under EXW the seller has no loading obligation.</t>
  </si>
  <si>
    <t xml:space="preserve">ORI-17</t>
  </si>
  <si>
    <t xml:space="preserve">Pre-shipment QC inspection (third party)</t>
  </si>
  <si>
    <t xml:space="preserve">ORI-18</t>
  </si>
  <si>
    <t xml:space="preserve">Bank wires (count)</t>
  </si>
  <si>
    <t xml:space="preserve">count</t>
  </si>
  <si>
    <t xml:space="preserve">Advance + balance + forwarder + broker.</t>
  </si>
  <si>
    <t xml:space="preserve">ORI-19</t>
  </si>
  <si>
    <t xml:space="preserve">Bank wire fee</t>
  </si>
  <si>
    <t xml:space="preserve">USD/wire</t>
  </si>
  <si>
    <t xml:space="preserve">ORI-20</t>
  </si>
  <si>
    <t xml:space="preserve">LCL: trucking factory→CFS</t>
  </si>
  <si>
    <t xml:space="preserve">ORI-21</t>
  </si>
  <si>
    <t xml:space="preserve">LCL: origin fixed charges (documents, export declaration at CFS)</t>
  </si>
  <si>
    <t xml:space="preserve">Per-W-M CFS handling is inside the LCL all-in rate; this line holds per-shipment fixed fees only.</t>
  </si>
  <si>
    <t xml:space="preserve">2. Selected case – origin cost summary (formula)</t>
  </si>
  <si>
    <t xml:space="preserve">Item</t>
  </si>
  <si>
    <t xml:space="preserve">Per box</t>
  </si>
  <si>
    <t xml:space="preserve">Per-container origin costs (trucking, terminal/VGM, THC, seal, inspection, detention, loading)</t>
  </si>
  <si>
    <t xml:space="preserve">Per-shipment origin costs (clearance, CoO, B/L, forwarder, QC, bank wires)</t>
  </si>
  <si>
    <t xml:space="preserve">TOTAL ORIGIN COSTS</t>
  </si>
  <si>
    <t xml:space="preserve">3. EXW versus FCA – why the working assumption is fragile</t>
  </si>
  <si>
    <t xml:space="preserve">EXW (Incoterms 2020): seller only makes goods available at its premises; no obligation to load or to clear for export. Buyer handles export formalities (S072).</t>
  </si>
  <si>
    <t xml:space="preserve">Egypt: exports may only be made by parties registered in the Exporters Register (Law 118/1975, Art. 4; S062). A foreign buyer without an Egyptian registered exporter cannot itself clear an EXW purchase for export.</t>
  </si>
  <si>
    <t xml:space="preserve">ICC strongly encourages FCA instead of EXW when goods cross a border. Under FCA (named place = NFC factory) the seller loads the container and clears export; the buyer's forwarder takes over at the factory gate.</t>
  </si>
  <si>
    <t xml:space="preserve">Recommendation: request FCA [NFC factory, 6th of October] Incoterms 2020 with NFC as exporter of record (VAT zero-rated export invoice), and an EXW price for comparison. Do not silently replace EXW – the model keeps EXW pricing and adds origin costs explicitly.</t>
  </si>
  <si>
    <t xml:space="preserve">Customs value (19 CFR 152.103(a)(5)): if the sale is genuinely ex-factory, Egyptian inland freight is not added to customs value; under FCA-factory the same applies if inland freight is invoiced separately by the forwarder.</t>
  </si>
  <si>
    <t xml:space="preserve">Ocean Freight &amp; Insurance – Egypt (Alexandria / Damietta) → US East Coast</t>
  </si>
  <si>
    <t xml:space="preserve">No written quote was obtained. Rates are ESTIMATED from carrier tariff notices and market indices (see evidence table). Base port rate + port differential.</t>
  </si>
  <si>
    <t xml:space="preserve">1. Ocean &amp; insurance inputs (first three rows form the rate table by container: 20', 40', 40' HC)</t>
  </si>
  <si>
    <t xml:space="preserve">OCE-01</t>
  </si>
  <si>
    <t xml:space="preserve">Ocean freight Egypt→USEC base port, 20' (incl. BAF &amp; DTHC, excl. OTHC)</t>
  </si>
  <si>
    <t xml:space="preserve">S045;S046;S047;S048;S049</t>
  </si>
  <si>
    <t xml:space="preserve">LOW ≈ N.Europe–USEC spot parity; BASE = CMA CGM Med→NY FAK $2,750 + ~$250 surcharges; STRESS = BASE + HL Egypt GRI $300 + ~$600.</t>
  </si>
  <si>
    <t xml:space="preserve">OCE-02</t>
  </si>
  <si>
    <t xml:space="preserve">Ocean freight, 40' GP</t>
  </si>
  <si>
    <t xml:space="preserve">S044;S045;S046;S047;S048;S095</t>
  </si>
  <si>
    <t xml:space="preserve">LOW ≈ FBX22 $2,723 / Xeneta $2,741; BASE = CMA CGM FAK $3,600 + ~$300 bunker/other; STRESS = BASE + HL GRI $600 + ~$400.</t>
  </si>
  <si>
    <t xml:space="preserve">OCE-03</t>
  </si>
  <si>
    <t xml:space="preserve">Ocean freight, 40' HC</t>
  </si>
  <si>
    <t xml:space="preserve">S047;S048</t>
  </si>
  <si>
    <t xml:space="preserve">40' GP + $100 HC premium (assumed).</t>
  </si>
  <si>
    <t xml:space="preserve">OCE-04</t>
  </si>
  <si>
    <t xml:space="preserve">AMS / manifest filing fee</t>
  </si>
  <si>
    <t xml:space="preserve">USD/B/L</t>
  </si>
  <si>
    <t xml:space="preserve">OCE-05</t>
  </si>
  <si>
    <t xml:space="preserve">Transit time Egypt→USEC</t>
  </si>
  <si>
    <t xml:space="preserve">S049;S051</t>
  </si>
  <si>
    <t xml:space="preserve">Indicative 25–33 days; 22–35 with transshipment.</t>
  </si>
  <si>
    <t xml:space="preserve">OCE-06</t>
  </si>
  <si>
    <t xml:space="preserve">Cargo insurance rate on (CIF + 10%)</t>
  </si>
  <si>
    <t xml:space="preserve">S089</t>
  </si>
  <si>
    <t xml:space="preserve">OCE-07</t>
  </si>
  <si>
    <t xml:space="preserve">Insured value uplift</t>
  </si>
  <si>
    <t xml:space="preserve">OCE-08</t>
  </si>
  <si>
    <t xml:space="preserve">Minimum insurance premium</t>
  </si>
  <si>
    <t xml:space="preserve">OCE-09</t>
  </si>
  <si>
    <t xml:space="preserve">Insurance already included in another quote? (1=yes)</t>
  </si>
  <si>
    <t xml:space="preserve">Double-count control: set 1 if the forwarder quote includes cargo insurance.</t>
  </si>
  <si>
    <t xml:space="preserve">OCE-10</t>
  </si>
  <si>
    <t xml:space="preserve">LCL all-in rate (ocean + origin &amp; destination CFS handling)</t>
  </si>
  <si>
    <t xml:space="preserve">USD/W-M</t>
  </si>
  <si>
    <t xml:space="preserve">No Egypt→USEC LCL tariff retrieved (RFQ 2). All-in structure because CFS handling is billed per W-M at both ends; an ocean-only rate would make LCL cheaper than a full 20' FCL, which is implausible.</t>
  </si>
  <si>
    <t xml:space="preserve">OCE-11</t>
  </si>
  <si>
    <t xml:space="preserve">LCL chargeable volume factor vs bundle volume</t>
  </si>
  <si>
    <t xml:space="preserve">OCE-12</t>
  </si>
  <si>
    <t xml:space="preserve">LCL extra transit/consolidation time</t>
  </si>
  <si>
    <t xml:space="preserve">2. Port differential over base port (USD per container)</t>
  </si>
  <si>
    <t xml:space="preserve">Gateway</t>
  </si>
  <si>
    <t xml:space="preserve">New York / New Jersey</t>
  </si>
  <si>
    <t xml:space="preserve">Base port (CMA CGM FAK quoted to New York)</t>
  </si>
  <si>
    <t xml:space="preserve">Baltimore</t>
  </si>
  <si>
    <t xml:space="preserve">Fewer direct Med→Baltimore calls; often via transshipment</t>
  </si>
  <si>
    <t xml:space="preserve">Norfolk (Port of Virginia)</t>
  </si>
  <si>
    <t xml:space="preserve">Usually base-port pricing</t>
  </si>
  <si>
    <t xml:space="preserve">Savannah</t>
  </si>
  <si>
    <t xml:space="preserve">S053</t>
  </si>
  <si>
    <t xml:space="preserve">Savannah peak-season premium $75–200/TEU (S053)</t>
  </si>
  <si>
    <t xml:space="preserve">3. Market evidence used to build the estimates</t>
  </si>
  <si>
    <t xml:space="preserve">Benchmark</t>
  </si>
  <si>
    <t xml:space="preserve">Lane</t>
  </si>
  <si>
    <t xml:space="preserve">20'</t>
  </si>
  <si>
    <t xml:space="preserve">40'</t>
  </si>
  <si>
    <t xml:space="preserve">Use in model</t>
  </si>
  <si>
    <t xml:space="preserve">CMA CGM FAK (incl. O/D THC; excl. bunker, AMS, ETS, PSS)</t>
  </si>
  <si>
    <t xml:space="preserve">Genoa→New York</t>
  </si>
  <si>
    <t xml:space="preserve">from 2026-04-01</t>
  </si>
  <si>
    <t xml:space="preserve">Carrier tariff notice</t>
  </si>
  <si>
    <t xml:space="preserve">BASE anchor + ~$250–300 surcharges</t>
  </si>
  <si>
    <t xml:space="preserve">S048</t>
  </si>
  <si>
    <t xml:space="preserve">Hapag-Lloyd GRI Egypt→North America</t>
  </si>
  <si>
    <t xml:space="preserve">Egypt→NA</t>
  </si>
  <si>
    <t xml:space="preserve">from 2026-07-01</t>
  </si>
  <si>
    <t xml:space="preserve">Carrier notice (increment)</t>
  </si>
  <si>
    <t xml:space="preserve">STRESS add-on</t>
  </si>
  <si>
    <t xml:space="preserve">S045</t>
  </si>
  <si>
    <t xml:space="preserve">FBX22 Europe→US East Coast</t>
  </si>
  <si>
    <t xml:space="preserve">N. Europe→USEC</t>
  </si>
  <si>
    <t xml:space="preserve">2026-10-02</t>
  </si>
  <si>
    <t xml:space="preserve">Index (spot)</t>
  </si>
  <si>
    <t xml:space="preserve">LOW anchor</t>
  </si>
  <si>
    <t xml:space="preserve">S046</t>
  </si>
  <si>
    <t xml:space="preserve">Xeneta N. Europe→USEC</t>
  </si>
  <si>
    <t xml:space="preserve">2026-08-12</t>
  </si>
  <si>
    <t xml:space="preserve">LOW cross-check</t>
  </si>
  <si>
    <t xml:space="preserve">S044</t>
  </si>
  <si>
    <t xml:space="preserve">Drewry WCI Rotterdam→New York</t>
  </si>
  <si>
    <t xml:space="preserve">Rotterdam→NY</t>
  </si>
  <si>
    <t xml:space="preserve">2026-10-08</t>
  </si>
  <si>
    <t xml:space="preserve">Index (spot, all-in)</t>
  </si>
  <si>
    <t xml:space="preserve">Cross-check</t>
  </si>
  <si>
    <t xml:space="preserve">S049</t>
  </si>
  <si>
    <t xml:space="preserve">Globy indicative Alexandria→New York (expired validity)</t>
  </si>
  <si>
    <t xml:space="preserve">Alexandria→NY</t>
  </si>
  <si>
    <t xml:space="preserve">2025–Mar 2026</t>
  </si>
  <si>
    <t xml:space="preserve">Marketplace</t>
  </si>
  <si>
    <t xml:space="preserve">Routing &amp; transit (25–33 days)</t>
  </si>
  <si>
    <t xml:space="preserve">S095</t>
  </si>
  <si>
    <t xml:space="preserve">CMA CGM US/Canada rate-restoration charges from W. Med</t>
  </si>
  <si>
    <t xml:space="preserve">W. Med→US</t>
  </si>
  <si>
    <t xml:space="preserve">from 2026-10-01</t>
  </si>
  <si>
    <t xml:space="preserve">Carrier notice</t>
  </si>
  <si>
    <t xml:space="preserve">Supports STRESS</t>
  </si>
  <si>
    <t xml:space="preserve">4. Selected case – ocean &amp; insurance (formula)</t>
  </si>
  <si>
    <t xml:space="preserve">Ocean freight (container, or LCL all-in W/M)</t>
  </si>
  <si>
    <t xml:space="preserve">AMS / manifest</t>
  </si>
  <si>
    <t xml:space="preserve">Cargo insurance (MAX(min, rate × (supplier + origin + ocean) × 1.1))</t>
  </si>
  <si>
    <t xml:space="preserve">Ocean freight per saleable box</t>
  </si>
  <si>
    <t xml:space="preserve">Transit days (incl. LCL extra if applicable)</t>
  </si>
  <si>
    <t xml:space="preserve">5. Insurance notes</t>
  </si>
  <si>
    <t xml:space="preserve">Insurance is not included in EXW/FCA or in ocean freight quotes unless stated (double-count flag OCE input).</t>
  </si>
  <si>
    <t xml:space="preserve">Insured value basis: CIF + 10% (commercial practice, S089). It is unrelated to US customs value (FOB-type; international freight and insurance are excluded from US transaction value).</t>
  </si>
  <si>
    <t xml:space="preserve">Recommended cover: ICC(A) all risks incl. war/strikes; check exclusions for wetting/condensation of paperboard and inadequate packing; deductible and minimum premium to be quoted (G15).</t>
  </si>
  <si>
    <t xml:space="preserve">U.S. Port &amp; Customs – entry, fees, bond, broker, port charges</t>
  </si>
  <si>
    <t xml:space="preserve">Duty and government ad-valorem fees are on 'Tariffs &amp; Customs Value'. One formal entry per shipment assumed (value &gt; $2,500).</t>
  </si>
  <si>
    <t xml:space="preserve">1. Entry, bond, port and disruption inputs</t>
  </si>
  <si>
    <t xml:space="preserve">USC-01</t>
  </si>
  <si>
    <t xml:space="preserve">Customs broker entry fee</t>
  </si>
  <si>
    <t xml:space="preserve">USD/entry</t>
  </si>
  <si>
    <t xml:space="preserve">S039</t>
  </si>
  <si>
    <t xml:space="preserve">USC-02</t>
  </si>
  <si>
    <t xml:space="preserve">ISF filing fee</t>
  </si>
  <si>
    <t xml:space="preserve">S039;S037</t>
  </si>
  <si>
    <t xml:space="preserve">USC-03</t>
  </si>
  <si>
    <t xml:space="preserve">Single-transaction bond rate</t>
  </si>
  <si>
    <t xml:space="preserve">USD per $1,000</t>
  </si>
  <si>
    <t xml:space="preserve">S038</t>
  </si>
  <si>
    <t xml:space="preserve">Face = value + duties + fees.</t>
  </si>
  <si>
    <t xml:space="preserve">USC-04</t>
  </si>
  <si>
    <t xml:space="preserve">Single-transaction bond minimum premium</t>
  </si>
  <si>
    <t xml:space="preserve">USC-05</t>
  </si>
  <si>
    <t xml:space="preserve">ISF bond (single)</t>
  </si>
  <si>
    <t xml:space="preserve">USC-06</t>
  </si>
  <si>
    <t xml:space="preserve">PANYNJ Cargo Facility Charge (NY/NJ only)</t>
  </si>
  <si>
    <t xml:space="preserve">USD/TEU</t>
  </si>
  <si>
    <t xml:space="preserve">S056</t>
  </si>
  <si>
    <t xml:space="preserve">Often passed through by carrier; check quote.</t>
  </si>
  <si>
    <t xml:space="preserve">USC-07</t>
  </si>
  <si>
    <t xml:space="preserve">CFC already included in ocean freight? (1=yes)</t>
  </si>
  <si>
    <t xml:space="preserve">Double-count control.</t>
  </si>
  <si>
    <t xml:space="preserve">USC-08</t>
  </si>
  <si>
    <t xml:space="preserve">Destination delivery order / arrival handling</t>
  </si>
  <si>
    <t xml:space="preserve">USC-09</t>
  </si>
  <si>
    <t xml:space="preserve">CBP exam (VACIS/tailgate)</t>
  </si>
  <si>
    <t xml:space="preserve">S091</t>
  </si>
  <si>
    <t xml:space="preserve">USC-10</t>
  </si>
  <si>
    <t xml:space="preserve">Exam-site drayage</t>
  </si>
  <si>
    <t xml:space="preserve">USC-11</t>
  </si>
  <si>
    <t xml:space="preserve">Demurrage/storage days beyond free time</t>
  </si>
  <si>
    <t xml:space="preserve">S057</t>
  </si>
  <si>
    <t xml:space="preserve">USC-12</t>
  </si>
  <si>
    <t xml:space="preserve">Demurrage/storage rate</t>
  </si>
  <si>
    <t xml:space="preserve">2. Selected case (formula)</t>
  </si>
  <si>
    <t xml:space="preserve">Single-transaction bond premium</t>
  </si>
  <si>
    <t xml:space="preserve">Per-shipment US fees (broker + ISF + DO + bond + ISF bond)</t>
  </si>
  <si>
    <t xml:space="preserve">PANYNJ CFC (NY/NJ only)</t>
  </si>
  <si>
    <t xml:space="preserve">CBP exam + exam drayage (STRESS)</t>
  </si>
  <si>
    <t xml:space="preserve">Demurrage / storage (STRESS)</t>
  </si>
  <si>
    <t xml:space="preserve">MPF</t>
  </si>
  <si>
    <t xml:space="preserve">HMF</t>
  </si>
  <si>
    <t xml:space="preserve">Duty (MFN + Section 301)</t>
  </si>
  <si>
    <t xml:space="preserve">3. One-time vs per-shipment costs</t>
  </si>
  <si>
    <t xml:space="preserve">Indicative</t>
  </si>
  <si>
    <t xml:space="preserve">Importer identity (CBP Form 5106) – IRS EIN or CBP-assigned number</t>
  </si>
  <si>
    <t xml:space="preserve">One-time</t>
  </si>
  <si>
    <t xml:space="preserve">$0 (form)</t>
  </si>
  <si>
    <t xml:space="preserve">S040</t>
  </si>
  <si>
    <t xml:space="preserve">Foreign entities can obtain a CBP-assigned number</t>
  </si>
  <si>
    <t xml:space="preserve">Broker onboarding, power of attorney, KYC</t>
  </si>
  <si>
    <t xml:space="preserve">$0–250</t>
  </si>
  <si>
    <t xml:space="preserve">US entity formation (optional – LLC + registered agent)</t>
  </si>
  <si>
    <t xml:space="preserve">One-time / annual</t>
  </si>
  <si>
    <t xml:space="preserve">$500–2,500</t>
  </si>
  <si>
    <t xml:space="preserve">Not required to be IOR</t>
  </si>
  <si>
    <t xml:space="preserve">Continuous bond ($50,000 minimum)</t>
  </si>
  <si>
    <t xml:space="preserve">Annual</t>
  </si>
  <si>
    <t xml:space="preserve">$250–600 / yr</t>
  </si>
  <si>
    <t xml:space="preserve">Cheaper than STB above ~5–10 entries a year</t>
  </si>
  <si>
    <t xml:space="preserve">Single-transaction bond + ISF bond</t>
  </si>
  <si>
    <t xml:space="preserve">Per shipment</t>
  </si>
  <si>
    <t xml:space="preserve">≥ $75 + $60</t>
  </si>
  <si>
    <t xml:space="preserve">Used in model</t>
  </si>
  <si>
    <t xml:space="preserve">Customs entry (broker)</t>
  </si>
  <si>
    <t xml:space="preserve">ISF 10+2 filing</t>
  </si>
  <si>
    <t xml:space="preserve">$35–75</t>
  </si>
  <si>
    <t xml:space="preserve">≥24 h before loading; $5,000 liquidated damages</t>
  </si>
  <si>
    <t xml:space="preserve">MPF 0.3464% (min $34.58, max $670.86, FY2027)</t>
  </si>
  <si>
    <t xml:space="preserve">Per entry</t>
  </si>
  <si>
    <t xml:space="preserve">formula</t>
  </si>
  <si>
    <t xml:space="preserve">S024</t>
  </si>
  <si>
    <t xml:space="preserve">HMF 0.125%</t>
  </si>
  <si>
    <t xml:space="preserve">Per entry (ocean)</t>
  </si>
  <si>
    <t xml:space="preserve">S025</t>
  </si>
  <si>
    <t xml:space="preserve">FDA prior notice / food-facility registration</t>
  </si>
  <si>
    <t xml:space="preserve">$0</t>
  </si>
  <si>
    <t xml:space="preserve">S036</t>
  </si>
  <si>
    <t xml:space="preserve">Food-contact substances excluded from 'food' for these rules (read via a secondary summary)</t>
  </si>
  <si>
    <t xml:space="preserve">4. First-shipment compliance checklist (importer of record)</t>
  </si>
  <si>
    <t xml:space="preserve">☐ Decide IOR: BigBoxPizza (foreign IOR with CBP-assigned number), a US entity, a third-party IOR service, or a US distributor that imports (see Read Me §IOR).</t>
  </si>
  <si>
    <t xml:space="preserve">☐ Appoint a licensed customs broker; sign customs power of attorney; file CBP Form 5106.</t>
  </si>
  <si>
    <t xml:space="preserve">☐ Bond: single-transaction (pilot) or continuous ($50k) bond; ISF bond if no continuous bond.</t>
  </si>
  <si>
    <t xml:space="preserve">☐ ISF 10+2 filed ≥24 h before vessel loading in Egypt (seller, buyer, consignee, manufacturer, ship-to, origin, HTS, stuffing location, consolidator, IOR).</t>
  </si>
  <si>
    <t xml:space="preserve">☐ Commercial invoice (seller, buyer, description 'Corrugated paperboard pizza boxes, flat-packed (die-cut, unassembled), sizes…', HTS 4819.10.00, unit &amp; total value, currency, Incoterm, country of origin Egypt), packing list (bundles, weights, dimensions).</t>
  </si>
  <si>
    <t xml:space="preserve">☐ Bill of lading (or sea waybill); arrival notice; delivery order.</t>
  </si>
  <si>
    <t xml:space="preserve">☐ Classification note: 4819.10.0020 (sanitary food containers) vs .0040 – broker to confirm; Chapter 99: 9903.05.36 (Egypt, 12.5%) unless an exemption applies.</t>
  </si>
  <si>
    <t xml:space="preserve">☐ Valuation support: proof of ex-factory/FCA price, payment records, separate freight invoices (foreign inland freight not added for ex-factory sales).</t>
  </si>
  <si>
    <t xml:space="preserve">☐ Origin marking: 'Made in Egypt' on each bundle wrap / outer pack reaching the user (19 CFR 134.24) – broker to confirm.</t>
  </si>
  <si>
    <t xml:space="preserve">☐ Food-contact file: supplier declaration (21 CFR 176.170/176.260), PFAS-free statement and total-fluorine test, TPCH heavy-metal certificate – required by buyers and by NY/MD law for PFAS.</t>
  </si>
  <si>
    <t xml:space="preserve">☐ Wood packaging: if pallets are used they must be ISPM-15 heat-treated and marked (S090).</t>
  </si>
  <si>
    <t xml:space="preserve">☐ Arrange drayage and delivery appointment before arrival; confirm free time; pay duties/fees via broker ACH before release.</t>
  </si>
  <si>
    <t xml:space="preserve">5. Importer-of-record structures (Workstream L) – qualitative comparison</t>
  </si>
  <si>
    <t xml:space="preserve">Structure</t>
  </si>
  <si>
    <t xml:space="preserve">Legal feasibility</t>
  </si>
  <si>
    <t xml:space="preserve">IOR liability</t>
  </si>
  <si>
    <t xml:space="preserve">Cash-flow</t>
  </si>
  <si>
    <t xml:space="preserve">Customer control</t>
  </si>
  <si>
    <t xml:space="preserve">Margin kept</t>
  </si>
  <si>
    <t xml:space="preserve">Complexity</t>
  </si>
  <si>
    <t xml:space="preserve">Set-up / recurring</t>
  </si>
  <si>
    <t xml:space="preserve">Key issues</t>
  </si>
  <si>
    <t xml:space="preserve">BigBoxPizza as foreign IOR</t>
  </si>
  <si>
    <t xml:space="preserve">Feasible (CBP-assigned number + bond + broker)</t>
  </si>
  <si>
    <t xml:space="preserve">BigBoxPizza</t>
  </si>
  <si>
    <t xml:space="preserve">Pays duty/fees before release</t>
  </si>
  <si>
    <t xml:space="preserve">Full</t>
  </si>
  <si>
    <t xml:space="preserve">Medium</t>
  </si>
  <si>
    <t xml:space="preserve">Low / per-entry</t>
  </si>
  <si>
    <t xml:space="preserve">Needs US broker, bond, possibly US tax advice; liability for classification/value</t>
  </si>
  <si>
    <t xml:space="preserve">New US entity (LLC) as IOR</t>
  </si>
  <si>
    <t xml:space="preserve">Feasible</t>
  </si>
  <si>
    <t xml:space="preserve">US entity</t>
  </si>
  <si>
    <t xml:space="preserve">Same; US banking</t>
  </si>
  <si>
    <t xml:space="preserve">High</t>
  </si>
  <si>
    <t xml:space="preserve">$500–2,500 + annual</t>
  </si>
  <si>
    <t xml:space="preserve">US tax filings; better for repeat trade</t>
  </si>
  <si>
    <t xml:space="preserve">Third-party IOR service</t>
  </si>
  <si>
    <t xml:space="preserve">Service provider (contractual)</t>
  </si>
  <si>
    <t xml:space="preserve">Provider fees</t>
  </si>
  <si>
    <t xml:space="preserve">Lower (fees)</t>
  </si>
  <si>
    <t xml:space="preserve">Low</t>
  </si>
  <si>
    <t xml:space="preserve">Per-shipment fee</t>
  </si>
  <si>
    <t xml:space="preserve">Check that the provider genuinely assumes IOR liability; broker ≠ IOR</t>
  </si>
  <si>
    <t xml:space="preserve">US distributor imports (sell FCA/FOB Egypt)</t>
  </si>
  <si>
    <t xml:space="preserve">Distributor</t>
  </si>
  <si>
    <t xml:space="preserve">Distributor pays freight/duty</t>
  </si>
  <si>
    <t xml:space="preserve">Shared</t>
  </si>
  <si>
    <t xml:space="preserve">Lowest</t>
  </si>
  <si>
    <t xml:space="preserve">Minimal</t>
  </si>
  <si>
    <t xml:space="preserve">Buyer bears tariff/logistics risk; BigBoxPizza becomes an export trader</t>
  </si>
  <si>
    <t xml:space="preserve">A customs broker files entries as agent; it does not assume the importer's legal obligations (reasonable care, correct classification and value).</t>
  </si>
  <si>
    <t xml:space="preserve">Destination Delivery – gateway → representative customer location</t>
  </si>
  <si>
    <t xml:space="preserve">Distance-band ESTIMATES (no written trucking quotes). Customer locations are representative ZIP areas, not real customers.</t>
  </si>
  <si>
    <t xml:space="preserve">1. Destinations (rows = destination index 1–5)</t>
  </si>
  <si>
    <t xml:space="preserve">Representative delivery location</t>
  </si>
  <si>
    <t xml:space="preserve">Miles</t>
  </si>
  <si>
    <t xml:space="preserve">Line LOW</t>
  </si>
  <si>
    <t xml:space="preserve">Line BASE</t>
  </si>
  <si>
    <t xml:space="preserve">Line STRESS</t>
  </si>
  <si>
    <t xml:space="preserve">Tolls LOW</t>
  </si>
  <si>
    <t xml:space="preserve">Tolls BASE</t>
  </si>
  <si>
    <t xml:space="preserve">Tolls STRESS</t>
  </si>
  <si>
    <t xml:space="preserve">Chassis $/d LOW</t>
  </si>
  <si>
    <t xml:space="preserve">Chassis BASE</t>
  </si>
  <si>
    <t xml:space="preserve">Chassis STRESS</t>
  </si>
  <si>
    <t xml:space="preserve">Port#</t>
  </si>
  <si>
    <t xml:space="preserve">Per-ctr cost LOW</t>
  </si>
  <si>
    <t xml:space="preserve">New York/New Jersey</t>
  </si>
  <si>
    <t xml:space="preserve">Edison, NJ (ZIP 08837 – Central NJ warehouse cluster)</t>
  </si>
  <si>
    <t xml:space="preserve">Bronx, NY (ZIP 10474 – Hunts Point food-distribution area)</t>
  </si>
  <si>
    <t xml:space="preserve">Jessup, MD (ZIP 20794 – Baltimore–Washington food-distribution hub)</t>
  </si>
  <si>
    <t xml:space="preserve">Richmond, VA (ZIP 23230 metro warehouses)</t>
  </si>
  <si>
    <t xml:space="preserve">Atlanta, GA (ZIP 30336 – west Atlanta distribution corridor)</t>
  </si>
  <si>
    <t xml:space="preserve">Per-ctr cost columns = 40' delivery incl. FSC, tolls, chassis, waiting, accessorials and unloading (for comparison). Sources: S052;S053;S054;S094 (ESTIMATED distance-band anchors)</t>
  </si>
  <si>
    <t xml:space="preserve">2. Drayage, accessorial and unloading inputs</t>
  </si>
  <si>
    <t xml:space="preserve">DRA-01</t>
  </si>
  <si>
    <t xml:space="preserve">Drayage fuel surcharge on linehaul</t>
  </si>
  <si>
    <t xml:space="preserve">S052</t>
  </si>
  <si>
    <t xml:space="preserve">DRA-02</t>
  </si>
  <si>
    <t xml:space="preserve">Chassis days billed</t>
  </si>
  <si>
    <t xml:space="preserve">S054</t>
  </si>
  <si>
    <t xml:space="preserve">DRA-03</t>
  </si>
  <si>
    <t xml:space="preserve">Waiting time beyond 2 free hours (floor-loaded live unload)</t>
  </si>
  <si>
    <t xml:space="preserve">hours</t>
  </si>
  <si>
    <t xml:space="preserve">DRA-04</t>
  </si>
  <si>
    <t xml:space="preserve">Waiting-time rate</t>
  </si>
  <si>
    <t xml:space="preserve">USD/hour</t>
  </si>
  <si>
    <t xml:space="preserve">DRA-05</t>
  </si>
  <si>
    <t xml:space="preserve">Chassis split fee</t>
  </si>
  <si>
    <t xml:space="preserve">DRA-06</t>
  </si>
  <si>
    <t xml:space="preserve">Chassis rental already included in drayage linehaul? (1=yes)</t>
  </si>
  <si>
    <t xml:space="preserve">DRA-07</t>
  </si>
  <si>
    <t xml:space="preserve">Unloading already included in drayage quote? (1=yes)</t>
  </si>
  <si>
    <t xml:space="preserve">Double-count control (most dray quotes exclude unloading).</t>
  </si>
  <si>
    <t xml:space="preserve">DRA-08</t>
  </si>
  <si>
    <t xml:space="preserve">Pre-pull + yard storage (disruption)</t>
  </si>
  <si>
    <t xml:space="preserve">DRA-09</t>
  </si>
  <si>
    <t xml:space="preserve">Dry run / failed delivery</t>
  </si>
  <si>
    <t xml:space="preserve">DRA-10</t>
  </si>
  <si>
    <t xml:space="preserve">Unloading floor-loaded 20' (paid by BigBoxPizza)</t>
  </si>
  <si>
    <t xml:space="preserve">S055</t>
  </si>
  <si>
    <t xml:space="preserve">DRA-11</t>
  </si>
  <si>
    <t xml:space="preserve">Unloading floor-loaded 40'/HC (paid by BigBoxPizza)</t>
  </si>
  <si>
    <t xml:space="preserve">Guide: $350–600 devan.</t>
  </si>
  <si>
    <t xml:space="preserve">DRA-12</t>
  </si>
  <si>
    <t xml:space="preserve">LCL: destination fixed charges (delivery order, documents, CFS minimum)</t>
  </si>
  <si>
    <t xml:space="preserve">Per-W-M devanning/handling is inside the LCL all-in rate.</t>
  </si>
  <si>
    <t xml:space="preserve">DRA-13</t>
  </si>
  <si>
    <t xml:space="preserve">LCL: final truck delivery from CFS</t>
  </si>
  <si>
    <t xml:space="preserve">3. Selected case (formula)</t>
  </si>
  <si>
    <t xml:space="preserve">Delivery (drayage incl. accessorials, or LCL destination fixed charges + delivery)</t>
  </si>
  <si>
    <t xml:space="preserve">Unloading</t>
  </si>
  <si>
    <t xml:space="preserve">Delivery + unloading per saleable box</t>
  </si>
  <si>
    <t xml:space="preserve">4. Delivery model notes</t>
  </si>
  <si>
    <t xml:space="preserve">Principal model: full container drayed from the port terminal directly to the wholesale customer's dock, live-unloaded (floor-loaded bundles), empty returned to the terminal – no long-term storage.</t>
  </si>
  <si>
    <t xml:space="preserve">Floor-loaded flat bundles (≈1,200–1,600 bundles, 10–15 t per 40') must be hand-unloaded; most drayage quotes exclude unloading (flag input). Waiting time beyond 2 free hours is modelled.</t>
  </si>
  <si>
    <t xml:space="preserve">Port arrival cost is NOT the landed cost: customer-delivered cost adds drayage, chassis, tolls, waiting, unloading (and disruption items in STRESS).</t>
  </si>
  <si>
    <t xml:space="preserve">Disruption scenario (STRESS): CBP exam + exam drayage, 3 days demurrage/storage, pre-pull &amp; yard storage, dry run, 5 chassis days, 4 waiting hours.</t>
  </si>
  <si>
    <t xml:space="preserve">Savannah→Atlanta could alternatively use CSX rail to the Appalachian Regional Port (S094 context) – not modelled.</t>
  </si>
  <si>
    <t xml:space="preserve">Tariffs &amp; Customs Value – classification, duty layers, customs valuation</t>
  </si>
  <si>
    <t xml:space="preserve">Statutory rate ≠ applicable treatment ≠ calculated amount ≠ quoted amount ≠ final amount paid. Broker confirmation required (RFQ 3).</t>
  </si>
  <si>
    <t xml:space="preserve">1. Duty and government-fee inputs</t>
  </si>
  <si>
    <t xml:space="preserve">TAR-01</t>
  </si>
  <si>
    <t xml:space="preserve">MFN duty HTS 4819.10.00</t>
  </si>
  <si>
    <t xml:space="preserve">S010;S011;S013</t>
  </si>
  <si>
    <t xml:space="preserve">Column 1 General: Free.</t>
  </si>
  <si>
    <t xml:space="preserve">TAR-02</t>
  </si>
  <si>
    <t xml:space="preserve">Section 301 forced-labor duty, Egypt (9903.05.36)</t>
  </si>
  <si>
    <t xml:space="preserve">S014;S015;S016;S017;S020</t>
  </si>
  <si>
    <t xml:space="preserve">LOW = 0% only if broker confirms an Annex II exemption or the CIT invalidates the action (challenge argued 30-Sep-2026).</t>
  </si>
  <si>
    <t xml:space="preserve">TAR-03</t>
  </si>
  <si>
    <t xml:space="preserve">MPF ad valorem</t>
  </si>
  <si>
    <t xml:space="preserve">TAR-04</t>
  </si>
  <si>
    <t xml:space="preserve">MPF minimum (FY2027)</t>
  </si>
  <si>
    <t xml:space="preserve">TAR-05</t>
  </si>
  <si>
    <t xml:space="preserve">MPF maximum (FY2027)</t>
  </si>
  <si>
    <t xml:space="preserve">TAR-06</t>
  </si>
  <si>
    <t xml:space="preserve">Harbor Maintenance Fee</t>
  </si>
  <si>
    <t xml:space="preserve">2. Classification candidates (HTSUS, 2026 Rev. 13 via mirror)</t>
  </si>
  <si>
    <t xml:space="preserve">Heading / description</t>
  </si>
  <si>
    <t xml:space="preserve">HTS</t>
  </si>
  <si>
    <t xml:space="preserve">MFN (General)</t>
  </si>
  <si>
    <t xml:space="preserve">Chapter 99 (Egypt)</t>
  </si>
  <si>
    <t xml:space="preserve">Confidence</t>
  </si>
  <si>
    <t xml:space="preserve">Reasoning</t>
  </si>
  <si>
    <t xml:space="preserve">1</t>
  </si>
  <si>
    <t xml:space="preserve">Cartons, boxes and cases, of corrugated paper or paperboard – stat. suffix .0020 'Sanitary food and beverage containers' (likely) or .0040 'Other'</t>
  </si>
  <si>
    <t xml:space="preserve">4819.10.00</t>
  </si>
  <si>
    <t xml:space="preserve">Free</t>
  </si>
  <si>
    <t xml:space="preserve">9903.05.36 +12.5%</t>
  </si>
  <si>
    <t xml:space="preserve">High (heading); Medium (suffix)</t>
  </si>
  <si>
    <t xml:space="preserve">S010;S011;S013;S014;S016</t>
  </si>
  <si>
    <t xml:space="preserve">Corrugated E-flute pizza boxes are corrugated boxes; flat die-cut blanks imported unassembled are classified as the complete box under GRI 2(a) (CBP practice for knocked-down boxes).</t>
  </si>
  <si>
    <t xml:space="preserve">2</t>
  </si>
  <si>
    <t xml:space="preserve">Folding cartons of NON-corrugated paperboard</t>
  </si>
  <si>
    <t xml:space="preserve">4819.20.00</t>
  </si>
  <si>
    <t xml:space="preserve">+12.5%</t>
  </si>
  <si>
    <t xml:space="preserve">S013</t>
  </si>
  <si>
    <t xml:space="preserve">Only if 'SINGLE-E' were not corrugated (unlikely) – resolve with specification.</t>
  </si>
  <si>
    <t xml:space="preserve">3</t>
  </si>
  <si>
    <t xml:space="preserve">Other articles of paper (residual)</t>
  </si>
  <si>
    <t xml:space="preserve">4823.90.86</t>
  </si>
  <si>
    <t xml:space="preserve">S101</t>
  </si>
  <si>
    <t xml:space="preserve">Residual heading; rejected because 4819 specifically describes boxes.</t>
  </si>
  <si>
    <t xml:space="preserve">4</t>
  </si>
  <si>
    <t xml:space="preserve">Corrugated paperboard in sheets</t>
  </si>
  <si>
    <t xml:space="preserve">4808.10.00</t>
  </si>
  <si>
    <t xml:space="preserve">Rejected: die-cut, scored blanks for a box have the essential character of the box.</t>
  </si>
  <si>
    <t xml:space="preserve">Conclusion: all plausible headings are MFN Free; the economically relevant layer is the Egypt Section 301 duty, which applies regardless of heading unless an Annex II exemption is confirmed.</t>
  </si>
  <si>
    <t xml:space="preserve">3. Duty layers and trade measures checked (as of research date)</t>
  </si>
  <si>
    <t xml:space="preserve">Legal authority</t>
  </si>
  <si>
    <t xml:space="preserve">Effective</t>
  </si>
  <si>
    <t xml:space="preserve">Applies?</t>
  </si>
  <si>
    <t xml:space="preserve">Rate in model</t>
  </si>
  <si>
    <t xml:space="preserve">Ordinary (MFN) duty, HTS 4819.10.00</t>
  </si>
  <si>
    <t xml:space="preserve">HTSUS column 1</t>
  </si>
  <si>
    <t xml:space="preserve">current</t>
  </si>
  <si>
    <t xml:space="preserve">Yes</t>
  </si>
  <si>
    <t xml:space="preserve">S010;S011</t>
  </si>
  <si>
    <t xml:space="preserve">Section 301 forced-labor action – Egypt (9903.05.36)</t>
  </si>
  <si>
    <t xml:space="preserve">Trade Act 1974 §301; USTR final action FR 2026-15274/15181; CSMS 69326983</t>
  </si>
  <si>
    <t xml:space="preserve">2026-07-24</t>
  </si>
  <si>
    <t xml:space="preserve">Probable (no exemption found)</t>
  </si>
  <si>
    <t xml:space="preserve">12.5% (LOW 0%)</t>
  </si>
  <si>
    <t xml:space="preserve">S014;S015;S016;S017;S018</t>
  </si>
  <si>
    <t xml:space="preserve">Exemptions: Annex II Part A (2,120 codes; energy, critical minerals, precious metals, certain agri inputs, aircraft/pharma use), §232 goods, Ch.98, USMCA. CIT challenge argued 30-Sep-2026.</t>
  </si>
  <si>
    <t xml:space="preserve">IEEPA 'reciprocal' 10% on Egypt</t>
  </si>
  <si>
    <t xml:space="preserve">IEEPA – struck down</t>
  </si>
  <si>
    <t xml:space="preserve">ended 2026-02-23</t>
  </si>
  <si>
    <t xml:space="preserve">0%</t>
  </si>
  <si>
    <t xml:space="preserve">S021</t>
  </si>
  <si>
    <t xml:space="preserve">Learning Resources v. Trump (20-Feb-2026)</t>
  </si>
  <si>
    <t xml:space="preserve">Section 122 global surcharge 10%</t>
  </si>
  <si>
    <t xml:space="preserve">Trade Act 1974 §122</t>
  </si>
  <si>
    <t xml:space="preserve">2026-02-24 to 2026-07-24</t>
  </si>
  <si>
    <t xml:space="preserve">No (expired)</t>
  </si>
  <si>
    <t xml:space="preserve">S022</t>
  </si>
  <si>
    <t xml:space="preserve">Lapsed at 150-day limit</t>
  </si>
  <si>
    <t xml:space="preserve">Section 232 (timber/lumber &amp; derivatives)</t>
  </si>
  <si>
    <t xml:space="preserve">Proclamation 10976</t>
  </si>
  <si>
    <t xml:space="preserve">2025-10</t>
  </si>
  <si>
    <t xml:space="preserve">No (ch. 48 not covered per summaries)</t>
  </si>
  <si>
    <t xml:space="preserve">S023</t>
  </si>
  <si>
    <t xml:space="preserve">AD/CVD – corrugated die-cut (pizza) boxes</t>
  </si>
  <si>
    <t xml:space="preserve">Petitions 9-Sep-2026 (China, Malaysia, Türkiye)</t>
  </si>
  <si>
    <t xml:space="preserve">pending</t>
  </si>
  <si>
    <t xml:space="preserve">No (Egypt not named)</t>
  </si>
  <si>
    <t xml:space="preserve">S097;S098;S100</t>
  </si>
  <si>
    <t xml:space="preserve">Risk if Egyptian imports surge</t>
  </si>
  <si>
    <t xml:space="preserve">QIZ duty-free (US–Israel FTA authority)</t>
  </si>
  <si>
    <t xml:space="preserve">Proclamation 6955 / QIZ protocol</t>
  </si>
  <si>
    <t xml:space="preserve">Unproven</t>
  </si>
  <si>
    <t xml:space="preserve">not used</t>
  </si>
  <si>
    <t xml:space="preserve">S071</t>
  </si>
  <si>
    <t xml:space="preserve">Requires QIZ-registered producer and 10.5% Israeli content; interaction with §301 unconfirmed</t>
  </si>
  <si>
    <t xml:space="preserve">4. Customs value and duty – selected case (formula, per SKU)</t>
  </si>
  <si>
    <t xml:space="preserve">Element</t>
  </si>
  <si>
    <t xml:space="preserve">TOTAL</t>
  </si>
  <si>
    <t xml:space="preserve">Treatment</t>
  </si>
  <si>
    <t xml:space="preserve">Authority</t>
  </si>
  <si>
    <t xml:space="preserve">Price actually paid – EXW/FCA product value (USD)</t>
  </si>
  <si>
    <t xml:space="preserve">Included</t>
  </si>
  <si>
    <t xml:space="preserve">19 USC 1401a; 19 CFR 152.103</t>
  </si>
  <si>
    <t xml:space="preserve">+ Egyptian VAT if paid and NOT refunded (mode 3)</t>
  </si>
  <si>
    <t xml:space="preserve">Conditional</t>
  </si>
  <si>
    <t xml:space="preserve">Price actually paid</t>
  </si>
  <si>
    <t xml:space="preserve">Refunded/zero-rated export VAT excluded</t>
  </si>
  <si>
    <t xml:space="preserve">+ Tooling / dies paid to seller (allocated by units)</t>
  </si>
  <si>
    <t xml:space="preserve">Included (assist/price)</t>
  </si>
  <si>
    <t xml:space="preserve">19 USC 1401a(b)(1)</t>
  </si>
  <si>
    <t xml:space="preserve">+ Packing costs incurred by buyer</t>
  </si>
  <si>
    <t xml:space="preserve">Included if any</t>
  </si>
  <si>
    <t xml:space="preserve">19 USC 1401a(b)(1)(A)</t>
  </si>
  <si>
    <t xml:space="preserve">Bundling assumed in price</t>
  </si>
  <si>
    <t xml:space="preserve">− Egyptian inland freight (ex-factory sale)</t>
  </si>
  <si>
    <t xml:space="preserve">Not added</t>
  </si>
  <si>
    <t xml:space="preserve">19 CFR 152.103(a)(5)(i)</t>
  </si>
  <si>
    <t xml:space="preserve">Must prove ex-factory sale</t>
  </si>
  <si>
    <t xml:space="preserve">− International freight &amp; insurance</t>
  </si>
  <si>
    <t xml:space="preserve">Excluded</t>
  </si>
  <si>
    <t xml:space="preserve">19 USC 1401a(b)(4)(A)</t>
  </si>
  <si>
    <t xml:space="preserve">Not part of US value</t>
  </si>
  <si>
    <t xml:space="preserve">CUSTOMS (DUTIABLE) VALUE</t>
  </si>
  <si>
    <t xml:space="preserve">Check equals sum above</t>
  </si>
  <si>
    <t xml:space="preserve">MFN duty (Free)</t>
  </si>
  <si>
    <t xml:space="preserve">HTS 4819.10.00</t>
  </si>
  <si>
    <t xml:space="preserve">Section 301 duty (9903.05.36)</t>
  </si>
  <si>
    <t xml:space="preserve">USTR final action</t>
  </si>
  <si>
    <t xml:space="preserve">MPF (entry-level min/max, allocated by value)</t>
  </si>
  <si>
    <t xml:space="preserve">19 CFR 24.23; CBP Dec. 26-14</t>
  </si>
  <si>
    <t xml:space="preserve">19 CFR 24.24</t>
  </si>
  <si>
    <t xml:space="preserve">Duty + MPF + HMF per unit shipped</t>
  </si>
  <si>
    <t xml:space="preserve">per box</t>
  </si>
  <si>
    <t xml:space="preserve">5. Duty alternatives – per box effect at selected case (formula)</t>
  </si>
  <si>
    <t xml:space="preserve">Rate</t>
  </si>
  <si>
    <t xml:space="preserve">Duty USD (shipment)</t>
  </si>
  <si>
    <t xml:space="preserve">Duty per saleable box</t>
  </si>
  <si>
    <t xml:space="preserve">Δ GM vs model (pts)</t>
  </si>
  <si>
    <t xml:space="preserve">Evidence needed</t>
  </si>
  <si>
    <t xml:space="preserve">MFN only (Section 301 exempt or invalidated)</t>
  </si>
  <si>
    <t xml:space="preserve">Legally supported alternative</t>
  </si>
  <si>
    <t xml:space="preserve">Broker Annex II check; CIT outcome</t>
  </si>
  <si>
    <t xml:space="preserve">Section 301 at 12.5% (model BASE)</t>
  </si>
  <si>
    <t xml:space="preserve">Most likely applicable</t>
  </si>
  <si>
    <t xml:space="preserve">Broker confirmation</t>
  </si>
  <si>
    <t xml:space="preserve">Hypothetical escalation to 25%</t>
  </si>
  <si>
    <t xml:space="preserve">Not in force – stress test only</t>
  </si>
  <si>
    <t xml:space="preserve">Landed Cost by SKU – cost ledger, allocation and value ladder (selected case)</t>
  </si>
  <si>
    <t xml:space="preserve">Selected on the Dashboard. Every cost line appears once; recoverable taxes are shown as cash but excluded from economic cost unless non-recoverable.</t>
  </si>
  <si>
    <t xml:space="preserve">Case:</t>
  </si>
  <si>
    <t xml:space="preserve">1. Cost ledger (brief §13.1 fields)</t>
  </si>
  <si>
    <t xml:space="preserve">Category</t>
  </si>
  <si>
    <t xml:space="preserve">Description</t>
  </si>
  <si>
    <t xml:space="preserve">Payer</t>
  </si>
  <si>
    <t xml:space="preserve">Trigger</t>
  </si>
  <si>
    <t xml:space="preserve">Unit basis</t>
  </si>
  <si>
    <t xml:space="preserve">Rate / formula basis</t>
  </si>
  <si>
    <t xml:space="preserve">Allocation</t>
  </si>
  <si>
    <t xml:space="preserve">Recoverable?</t>
  </si>
  <si>
    <t xml:space="preserve">Payment timing</t>
  </si>
  <si>
    <t xml:space="preserve">CASH amount USD</t>
  </si>
  <si>
    <t xml:space="preserve">ECONOMIC cost USD</t>
  </si>
  <si>
    <t xml:space="preserve">Include</t>
  </si>
  <si>
    <t xml:space="preserve">O-01</t>
  </si>
  <si>
    <t xml:space="preserve">Supplier</t>
  </si>
  <si>
    <t xml:space="preserve">Product price (EXW/FCA), all SKUs</t>
  </si>
  <si>
    <t xml:space="preserve">PO</t>
  </si>
  <si>
    <t xml:space="preserve">EGP→USD</t>
  </si>
  <si>
    <t xml:space="preserve">q_price × (1+re-quote)</t>
  </si>
  <si>
    <t xml:space="preserve">Direct by SKU</t>
  </si>
  <si>
    <t xml:space="preserve">50% at PO, 50% before collection</t>
  </si>
  <si>
    <t xml:space="preserve">Quote expired 30-Sep-2026; re-quote required</t>
  </si>
  <si>
    <t xml:space="preserve">O-02</t>
  </si>
  <si>
    <t xml:space="preserve">Tax</t>
  </si>
  <si>
    <t xml:space="preserve">Egyptian VAT 14% on supplier invoice (if charged)</t>
  </si>
  <si>
    <t xml:space="preserve">BigBoxPizza / Egyptian exporter</t>
  </si>
  <si>
    <t xml:space="preserve">Invoice</t>
  </si>
  <si>
    <t xml:space="preserve">% of invoice</t>
  </si>
  <si>
    <t xml:space="preserve">14% × invoice (mode 2/3)</t>
  </si>
  <si>
    <t xml:space="preserve">Mode 2: refundable (cash only)</t>
  </si>
  <si>
    <t xml:space="preserve">With supplier payments</t>
  </si>
  <si>
    <t xml:space="preserve">Economic cost only in mode 3</t>
  </si>
  <si>
    <t xml:space="preserve">O-03</t>
  </si>
  <si>
    <t xml:space="preserve">Tooling / dies / plates</t>
  </si>
  <si>
    <t xml:space="preserve">one-off</t>
  </si>
  <si>
    <t xml:space="preserve">INDEX(in_sup_tooling_egp)</t>
  </si>
  <si>
    <t xml:space="preserve">By units</t>
  </si>
  <si>
    <t xml:space="preserve">At PO</t>
  </si>
  <si>
    <t xml:space="preserve">O-04</t>
  </si>
  <si>
    <t xml:space="preserve">Origin</t>
  </si>
  <si>
    <t xml:space="preserve">Inland trucking factory → Alexandria/Dekheila (or CFS for LCL)</t>
  </si>
  <si>
    <t xml:space="preserve">Collection</t>
  </si>
  <si>
    <t xml:space="preserve">per container</t>
  </si>
  <si>
    <t xml:space="preserve">truck_20/40</t>
  </si>
  <si>
    <t xml:space="preserve">By cube</t>
  </si>
  <si>
    <t xml:space="preserve">At export</t>
  </si>
  <si>
    <t xml:space="preserve">O-05</t>
  </si>
  <si>
    <t xml:space="preserve">Gate-in</t>
  </si>
  <si>
    <t xml:space="preserve">USD (paid EGP)</t>
  </si>
  <si>
    <t xml:space="preserve">terminal</t>
  </si>
  <si>
    <t xml:space="preserve">O-06</t>
  </si>
  <si>
    <t xml:space="preserve">Origin THC (if not in freight)</t>
  </si>
  <si>
    <t xml:space="preserve">Loading</t>
  </si>
  <si>
    <t xml:space="preserve">othc_20/40</t>
  </si>
  <si>
    <t xml:space="preserve">Double-count flag on Origin Costs</t>
  </si>
  <si>
    <t xml:space="preserve">O-07</t>
  </si>
  <si>
    <t xml:space="preserve">seal</t>
  </si>
  <si>
    <t xml:space="preserve">O-08</t>
  </si>
  <si>
    <t xml:space="preserve">Inspection</t>
  </si>
  <si>
    <t xml:space="preserve">inspection</t>
  </si>
  <si>
    <t xml:space="preserve">STRESS only</t>
  </si>
  <si>
    <t xml:space="preserve">O-09</t>
  </si>
  <si>
    <t xml:space="preserve">Origin detention beyond free time</t>
  </si>
  <si>
    <t xml:space="preserve">Delay</t>
  </si>
  <si>
    <t xml:space="preserve">per container-day</t>
  </si>
  <si>
    <t xml:space="preserve">dd_days × rate</t>
  </si>
  <si>
    <t xml:space="preserve">O-10</t>
  </si>
  <si>
    <t xml:space="preserve">loading_egp</t>
  </si>
  <si>
    <t xml:space="preserve">O-11</t>
  </si>
  <si>
    <t xml:space="preserve">LCL origin fixed charges (documents, CFS)</t>
  </si>
  <si>
    <t xml:space="preserve">CFS</t>
  </si>
  <si>
    <t xml:space="preserve">per shipment</t>
  </si>
  <si>
    <t xml:space="preserve">lcl_cfs_o</t>
  </si>
  <si>
    <t xml:space="preserve">LCL only</t>
  </si>
  <si>
    <t xml:space="preserve">O-12</t>
  </si>
  <si>
    <t xml:space="preserve">Export customs clearance &amp; documentation</t>
  </si>
  <si>
    <t xml:space="preserve">Export</t>
  </si>
  <si>
    <t xml:space="preserve">clearance</t>
  </si>
  <si>
    <t xml:space="preserve">O-13</t>
  </si>
  <si>
    <t xml:space="preserve">Certificate of origin (optional)</t>
  </si>
  <si>
    <t xml:space="preserve">coo</t>
  </si>
  <si>
    <t xml:space="preserve">O-14</t>
  </si>
  <si>
    <t xml:space="preserve">B/L &amp; carrier documentation</t>
  </si>
  <si>
    <t xml:space="preserve">B/L</t>
  </si>
  <si>
    <t xml:space="preserve">bl_fee</t>
  </si>
  <si>
    <t xml:space="preserve">O-15</t>
  </si>
  <si>
    <t xml:space="preserve">Forwarder origin handling</t>
  </si>
  <si>
    <t xml:space="preserve">Booking</t>
  </si>
  <si>
    <t xml:space="preserve">fwd_fee</t>
  </si>
  <si>
    <t xml:space="preserve">O-16</t>
  </si>
  <si>
    <t xml:space="preserve">Pre-shipment QC inspection</t>
  </si>
  <si>
    <t xml:space="preserve">Before loading</t>
  </si>
  <si>
    <t xml:space="preserve">qc</t>
  </si>
  <si>
    <t xml:space="preserve">O-17</t>
  </si>
  <si>
    <t xml:space="preserve">Bank wire charges</t>
  </si>
  <si>
    <t xml:space="preserve">Payments</t>
  </si>
  <si>
    <t xml:space="preserve">per wire</t>
  </si>
  <si>
    <t xml:space="preserve">wires × fee</t>
  </si>
  <si>
    <t xml:space="preserve">At payments</t>
  </si>
  <si>
    <t xml:space="preserve">F-01</t>
  </si>
  <si>
    <t xml:space="preserve">Ocean</t>
  </si>
  <si>
    <t xml:space="preserve">Ocean freight incl. BAF &amp; destination THC (container), or LCL all-in W/M incl. CFS handling</t>
  </si>
  <si>
    <t xml:space="preserve">INDEX(tbl_ocean_rate) + port diff</t>
  </si>
  <si>
    <t xml:space="preserve">S044-S049</t>
  </si>
  <si>
    <t xml:space="preserve">Medium-Low</t>
  </si>
  <si>
    <t xml:space="preserve">Prepaid at export</t>
  </si>
  <si>
    <t xml:space="preserve">F-02</t>
  </si>
  <si>
    <t xml:space="preserve">AMS / manifest filing</t>
  </si>
  <si>
    <t xml:space="preserve">per B/L</t>
  </si>
  <si>
    <t xml:space="preserve">ams</t>
  </si>
  <si>
    <t xml:space="preserve">F-03</t>
  </si>
  <si>
    <t xml:space="preserve">Insurance</t>
  </si>
  <si>
    <t xml:space="preserve">Cargo insurance ICC(A), (CIF+10%) × rate, min premium</t>
  </si>
  <si>
    <t xml:space="preserve">Shipment</t>
  </si>
  <si>
    <t xml:space="preserve">% insured value</t>
  </si>
  <si>
    <t xml:space="preserve">ins_rate</t>
  </si>
  <si>
    <t xml:space="preserve">By supplier value</t>
  </si>
  <si>
    <t xml:space="preserve">Double-count flag on Ocean Freight</t>
  </si>
  <si>
    <t xml:space="preserve">U-01</t>
  </si>
  <si>
    <t xml:space="preserve">Duty</t>
  </si>
  <si>
    <t xml:space="preserve">MFN duty HTS 4819.10.00 (Free)</t>
  </si>
  <si>
    <t xml:space="preserve">IOR</t>
  </si>
  <si>
    <t xml:space="preserve">Entry</t>
  </si>
  <si>
    <t xml:space="preserve">% customs value</t>
  </si>
  <si>
    <t xml:space="preserve">Direct (customs value)</t>
  </si>
  <si>
    <t xml:space="preserve">Before release</t>
  </si>
  <si>
    <t xml:space="preserve">U-02</t>
  </si>
  <si>
    <t xml:space="preserve">12.5% BASE</t>
  </si>
  <si>
    <t xml:space="preserve">S014;S015;S016</t>
  </si>
  <si>
    <t xml:space="preserve">Medium (coverage)</t>
  </si>
  <si>
    <t xml:space="preserve">No (refund only if invalidated)</t>
  </si>
  <si>
    <t xml:space="preserve">U-03</t>
  </si>
  <si>
    <t xml:space="preserve">Gov. fee</t>
  </si>
  <si>
    <t xml:space="preserve">Merchandise Processing Fee (0.3464%, min/max FY2027)</t>
  </si>
  <si>
    <t xml:space="preserve">% value, min/max</t>
  </si>
  <si>
    <t xml:space="preserve">0.3464%</t>
  </si>
  <si>
    <t xml:space="preserve">By customs value</t>
  </si>
  <si>
    <t xml:space="preserve">Not bundled in brokerage</t>
  </si>
  <si>
    <t xml:space="preserve">U-04</t>
  </si>
  <si>
    <t xml:space="preserve">Harbor Maintenance Fee (0.125%)</t>
  </si>
  <si>
    <t xml:space="preserve">% value</t>
  </si>
  <si>
    <t xml:space="preserve">0.125%</t>
  </si>
  <si>
    <t xml:space="preserve">U-05</t>
  </si>
  <si>
    <t xml:space="preserve">Customs</t>
  </si>
  <si>
    <t xml:space="preserve">per entry</t>
  </si>
  <si>
    <t xml:space="preserve">broker</t>
  </si>
  <si>
    <t xml:space="preserve">U-06</t>
  </si>
  <si>
    <t xml:space="preserve">Pre-loading</t>
  </si>
  <si>
    <t xml:space="preserve">isf</t>
  </si>
  <si>
    <t xml:space="preserve">S037;S039</t>
  </si>
  <si>
    <t xml:space="preserve">U-07</t>
  </si>
  <si>
    <t xml:space="preserve">Single-transaction customs bond</t>
  </si>
  <si>
    <t xml:space="preserve">per $1,000 face</t>
  </si>
  <si>
    <t xml:space="preserve">stb_rate, min</t>
  </si>
  <si>
    <t xml:space="preserve">U-08</t>
  </si>
  <si>
    <t xml:space="preserve">ISF bond</t>
  </si>
  <si>
    <t xml:space="preserve">isf_bond</t>
  </si>
  <si>
    <t xml:space="preserve">U-09</t>
  </si>
  <si>
    <t xml:space="preserve">Port</t>
  </si>
  <si>
    <t xml:space="preserve">Delivery order / arrival handling</t>
  </si>
  <si>
    <t xml:space="preserve">Arrival</t>
  </si>
  <si>
    <t xml:space="preserve">do_fee</t>
  </si>
  <si>
    <t xml:space="preserve">U-10</t>
  </si>
  <si>
    <t xml:space="preserve">IOR / carrier</t>
  </si>
  <si>
    <t xml:space="preserve">Discharge</t>
  </si>
  <si>
    <t xml:space="preserve">per loaded TEU</t>
  </si>
  <si>
    <t xml:space="preserve">14.80</t>
  </si>
  <si>
    <t xml:space="preserve">Double-count flag (often in freight)</t>
  </si>
  <si>
    <t xml:space="preserve">U-11</t>
  </si>
  <si>
    <t xml:space="preserve">Disruption</t>
  </si>
  <si>
    <t xml:space="preserve">CBP exam + exam-site drayage</t>
  </si>
  <si>
    <t xml:space="preserve">Exam</t>
  </si>
  <si>
    <t xml:space="preserve">exam + exam_dray</t>
  </si>
  <si>
    <t xml:space="preserve">U-12</t>
  </si>
  <si>
    <t xml:space="preserve">Demurrage / storage beyond free time</t>
  </si>
  <si>
    <t xml:space="preserve">dem_days × dem_rate</t>
  </si>
  <si>
    <t xml:space="preserve">D-01</t>
  </si>
  <si>
    <t xml:space="preserve">Delivery</t>
  </si>
  <si>
    <t xml:space="preserve">Drayage linehaul incl. fuel surcharge (or LCL destination fixed charges + final delivery)</t>
  </si>
  <si>
    <t xml:space="preserve">line × (1+FSC)</t>
  </si>
  <si>
    <t xml:space="preserve">S052;S053;S094</t>
  </si>
  <si>
    <t xml:space="preserve">At delivery</t>
  </si>
  <si>
    <t xml:space="preserve">D-02</t>
  </si>
  <si>
    <t xml:space="preserve">Tolls</t>
  </si>
  <si>
    <t xml:space="preserve">tolls</t>
  </si>
  <si>
    <t xml:space="preserve">D-03</t>
  </si>
  <si>
    <t xml:space="preserve">Chassis rental (if not in linehaul)</t>
  </si>
  <si>
    <t xml:space="preserve">days × rate</t>
  </si>
  <si>
    <t xml:space="preserve">Double-count flag</t>
  </si>
  <si>
    <t xml:space="preserve">D-04</t>
  </si>
  <si>
    <t xml:space="preserve">Waiting time beyond 2 free hours</t>
  </si>
  <si>
    <t xml:space="preserve">Live unload</t>
  </si>
  <si>
    <t xml:space="preserve">per hour</t>
  </si>
  <si>
    <t xml:space="preserve">hours × rate</t>
  </si>
  <si>
    <t xml:space="preserve">D-05</t>
  </si>
  <si>
    <t xml:space="preserve">Chassis split</t>
  </si>
  <si>
    <t xml:space="preserve">split</t>
  </si>
  <si>
    <t xml:space="preserve">D-06</t>
  </si>
  <si>
    <t xml:space="preserve">Pre-pull + yard storage</t>
  </si>
  <si>
    <t xml:space="preserve">prepull</t>
  </si>
  <si>
    <t xml:space="preserve">D-07</t>
  </si>
  <si>
    <t xml:space="preserve">Failed delivery</t>
  </si>
  <si>
    <t xml:space="preserve">dryrun</t>
  </si>
  <si>
    <t xml:space="preserve">D-08</t>
  </si>
  <si>
    <t xml:space="preserve">Unloading floor-loaded container (if not in dray quote)</t>
  </si>
  <si>
    <t xml:space="preserve">unload_20/40</t>
  </si>
  <si>
    <t xml:space="preserve">TOTAL (included lines)</t>
  </si>
  <si>
    <t xml:space="preserve">Engine COGS (must equal economic total)</t>
  </si>
  <si>
    <t xml:space="preserve">Duplicate cost IDs in ledger (must be 0)</t>
  </si>
  <si>
    <t xml:space="preserve">Origin subtotal = engine ORIGIN</t>
  </si>
  <si>
    <t xml:space="preserve">Ocean + insurance = engine OCEAN + INS</t>
  </si>
  <si>
    <t xml:space="preserve">US duty/fees/port/disruption = engine</t>
  </si>
  <si>
    <t xml:space="preserve">Delivery + disruption(D) = engine DELIV + UNLOAD + EXAM + DEM</t>
  </si>
  <si>
    <t xml:space="preserve">2. Allocation by SKU and delivered cost per saleable box</t>
  </si>
  <si>
    <t xml:space="preserve">Cost group</t>
  </si>
  <si>
    <t xml:space="preserve">Allocation basis</t>
  </si>
  <si>
    <t xml:space="preserve">Engine</t>
  </si>
  <si>
    <t xml:space="preserve">Supplier price</t>
  </si>
  <si>
    <t xml:space="preserve">Direct</t>
  </si>
  <si>
    <t xml:space="preserve">VAT – economic (mode 3 only)</t>
  </si>
  <si>
    <t xml:space="preserve">Tooling</t>
  </si>
  <si>
    <t xml:space="preserve">Duty (MFN + §301)</t>
  </si>
  <si>
    <t xml:space="preserve">MPF + HMF</t>
  </si>
  <si>
    <t xml:space="preserve">Customs value</t>
  </si>
  <si>
    <t xml:space="preserve">Supplier value</t>
  </si>
  <si>
    <t xml:space="preserve">Container-driven: origin/ctr, ocean, US/ctr, delivery, unloading</t>
  </si>
  <si>
    <t xml:space="preserve">Cube</t>
  </si>
  <si>
    <t xml:space="preserve">Per-shipment admin: origin docs, broker, ISF, bonds, DO</t>
  </si>
  <si>
    <t xml:space="preserve">TOTAL DELIVERED COST (economic)</t>
  </si>
  <si>
    <t xml:space="preserve">Saleable units</t>
  </si>
  <si>
    <t xml:space="preserve">Delivered cost per saleable box (USD)</t>
  </si>
  <si>
    <t xml:space="preserve">Delivered cost per 1,000 boxes (USD)</t>
  </si>
  <si>
    <t xml:space="preserve">Delivered cost per box (EGP at scenario FX)</t>
  </si>
  <si>
    <t xml:space="preserve">Supplier price per box (USD)</t>
  </si>
  <si>
    <t xml:space="preserve">Achievable wholesale price (USD)</t>
  </si>
  <si>
    <t xml:space="preserve">3. Value ladder – the eight measures are NOT interchangeable (brief §13.4)</t>
  </si>
  <si>
    <t xml:space="preserve">Composition</t>
  </si>
  <si>
    <t xml:space="preserve">Per saleable box</t>
  </si>
  <si>
    <t xml:space="preserve">Supplier invoice value (excl. VAT)</t>
  </si>
  <si>
    <t xml:space="preserve">Σ units × EGP price × (1+re-quote) / FX</t>
  </si>
  <si>
    <t xml:space="preserve">1b</t>
  </si>
  <si>
    <t xml:space="preserve">Supplier invoice incl. VAT (cash, if charged)</t>
  </si>
  <si>
    <t xml:space="preserve">(1) + VAT cash</t>
  </si>
  <si>
    <t xml:space="preserve">(1) + non-recoverable VAT + tooling</t>
  </si>
  <si>
    <t xml:space="preserve">Dutiable value × duty = duty</t>
  </si>
  <si>
    <t xml:space="preserve">Customs value × (MFN + §301)</t>
  </si>
  <si>
    <t xml:space="preserve">Port-arrival cost</t>
  </si>
  <si>
    <t xml:space="preserve">(1) + econ. VAT + tooling + origin + ocean + insurance</t>
  </si>
  <si>
    <t xml:space="preserve">5</t>
  </si>
  <si>
    <t xml:space="preserve">Cleared-port cost</t>
  </si>
  <si>
    <t xml:space="preserve">(4) + duty + MPF + HMF + broker/ISF/bonds/DO + CFC + exam + demurrage</t>
  </si>
  <si>
    <t xml:space="preserve">6</t>
  </si>
  <si>
    <t xml:space="preserve">Customer-delivered cost (COGS)</t>
  </si>
  <si>
    <t xml:space="preserve">(5) + drayage + accessorials + unloading</t>
  </si>
  <si>
    <t xml:space="preserve">7</t>
  </si>
  <si>
    <t xml:space="preserve">Fully burdened economic cost</t>
  </si>
  <si>
    <t xml:space="preserve">(6) + commission, processing, bad debt, testing, admin, financing</t>
  </si>
  <si>
    <t xml:space="preserve">8</t>
  </si>
  <si>
    <t xml:space="preserve">Total transaction cash needed</t>
  </si>
  <si>
    <t xml:space="preserve">All outflows incl. recoverable VAT (peak WC shown on Cash sheet)</t>
  </si>
  <si>
    <t xml:space="preserve">4. Reconciliation: supplier quotation → shipment value (formula)</t>
  </si>
  <si>
    <t xml:space="preserve">Quoted subtotal EGP (printed)</t>
  </si>
  <si>
    <t xml:space="preserve">Quoted units</t>
  </si>
  <si>
    <t xml:space="preserve">Selected-case units</t>
  </si>
  <si>
    <t xml:space="preserve">Selected-case supplier value EGP = Σ units × price × (1+re-quote) × supplier factor</t>
  </si>
  <si>
    <t xml:space="preserve">… equals quoted subtotal × (1+re-quote) when units = quoted mix?</t>
  </si>
  <si>
    <t xml:space="preserve">Pricing &amp; Margin – required selling prices vs achievable benchmark (selected case)</t>
  </si>
  <si>
    <t xml:space="preserve">Gross margin = (P − COGS)/P. Markup = (P − COGS)/COGS. Contribution margin also deducts selling costs and financing.</t>
  </si>
  <si>
    <t xml:space="preserve">1. Selling-cost and finance inputs</t>
  </si>
  <si>
    <t xml:space="preserve">SEL-01</t>
  </si>
  <si>
    <t xml:space="preserve">Sales commission / broker</t>
  </si>
  <si>
    <t xml:space="preserve">% rev</t>
  </si>
  <si>
    <t xml:space="preserve">No reliable source found.</t>
  </si>
  <si>
    <t xml:space="preserve">SEL-02</t>
  </si>
  <si>
    <t xml:space="preserve">Payment processing</t>
  </si>
  <si>
    <t xml:space="preserve">SEL-03</t>
  </si>
  <si>
    <t xml:space="preserve">Bad-debt allowance</t>
  </si>
  <si>
    <t xml:space="preserve">SEL-04</t>
  </si>
  <si>
    <t xml:space="preserve">Customer credit terms</t>
  </si>
  <si>
    <t xml:space="preserve">SEL-05</t>
  </si>
  <si>
    <t xml:space="preserve">Cost of capital / financing rate</t>
  </si>
  <si>
    <t xml:space="preserve">% p.a.</t>
  </si>
  <si>
    <t xml:space="preserve">SEL-06</t>
  </si>
  <si>
    <t xml:space="preserve">Damage / rejection rate (unsaleable units)</t>
  </si>
  <si>
    <t xml:space="preserve">% units</t>
  </si>
  <si>
    <t xml:space="preserve">SEL-07</t>
  </si>
  <si>
    <t xml:space="preserve">Samples, courier &amp; lab testing (per shipment)</t>
  </si>
  <si>
    <t xml:space="preserve">PFAS screen, heavy metals, food-contact docs review.</t>
  </si>
  <si>
    <t xml:space="preserve">SEL-08</t>
  </si>
  <si>
    <t xml:space="preserve">Sales administration (per shipment)</t>
  </si>
  <si>
    <t xml:space="preserve">SEL-09</t>
  </si>
  <si>
    <t xml:space="preserve">One-time importer set-up (IOR/entity/broker onboarding)</t>
  </si>
  <si>
    <t xml:space="preserve">Shown separately; not in per-box cost.</t>
  </si>
  <si>
    <t xml:space="preserve">2. Margin at benchmark price (selected case)</t>
  </si>
  <si>
    <t xml:space="preserve">Average</t>
  </si>
  <si>
    <t xml:space="preserve">Delivered cost per saleable box (COGS)</t>
  </si>
  <si>
    <t xml:space="preserve">Gross margin at benchmark</t>
  </si>
  <si>
    <t xml:space="preserve">Markup at benchmark</t>
  </si>
  <si>
    <t xml:space="preserve">Headroom = benchmark − cost (USD/box)</t>
  </si>
  <si>
    <t xml:space="preserve">3. Selling price required for target gross margin = COGS / (1 − GM)</t>
  </si>
  <si>
    <t xml:space="preserve">Target GM</t>
  </si>
  <si>
    <t xml:space="preserve">vs benchmark (avg)</t>
  </si>
  <si>
    <t xml:space="preserve">4. Selling price required for target CONTRIBUTION margin = (COGS + fixed selling/box + financing/box) / (1 − variable selling % − CM)</t>
  </si>
  <si>
    <t xml:space="preserve">Target CM</t>
  </si>
  <si>
    <t xml:space="preserve">5. Maximum NFC unit price (EGP, quote basis) that still gives the target GM at the benchmark price (linearised)</t>
  </si>
  <si>
    <t xml:space="preserve">Quoted price</t>
  </si>
  <si>
    <t xml:space="preserve">8.365 / 7.900 / 6.900</t>
  </si>
  <si>
    <t xml:space="preserve">Negative values mean no positive EXW price can reach the target at the benchmark price in this configuration.</t>
  </si>
  <si>
    <t xml:space="preserve">Container Profitability – all configurations (selected scenario &amp; destination)</t>
  </si>
  <si>
    <t xml:space="preserve">Revenue at benchmark price; contribution after selling costs and financing. Per-SKU contribution allocates selling costs by revenue.</t>
  </si>
  <si>
    <t xml:space="preserve">1. Profitability by configuration</t>
  </si>
  <si>
    <t xml:space="preserve">Fits?</t>
  </si>
  <si>
    <t xml:space="preserve">Delivered COGS</t>
  </si>
  <si>
    <t xml:space="preserve">Revenue</t>
  </si>
  <si>
    <t xml:space="preserve">GM</t>
  </si>
  <si>
    <t xml:space="preserve">Selling + financing</t>
  </si>
  <si>
    <t xml:space="preserve">CM</t>
  </si>
  <si>
    <t xml:space="preserve">Profit / container</t>
  </si>
  <si>
    <t xml:space="preserve">Peak WC</t>
  </si>
  <si>
    <t xml:space="preserve">Total cash</t>
  </si>
  <si>
    <t xml:space="preserve">Break-even price Δ</t>
  </si>
  <si>
    <t xml:space="preserve">Units needed GM 0</t>
  </si>
  <si>
    <t xml:space="preserve">Contrib 3464</t>
  </si>
  <si>
    <t xml:space="preserve">Contrib 3463</t>
  </si>
  <si>
    <t xml:space="preserve">Contrib 3460</t>
  </si>
  <si>
    <t xml:space="preserve">Cost/box</t>
  </si>
  <si>
    <t xml:space="preserve">Price/box</t>
  </si>
  <si>
    <t xml:space="preserve">2. Sell-through risk for the SELECTED configuration (if the whole lot is not sold at once)</t>
  </si>
  <si>
    <t xml:space="preserve">Liquidation price for unsold stock (% of benchmark)</t>
  </si>
  <si>
    <t xml:space="preserve">Storage cost per container-equivalent per month (USD)</t>
  </si>
  <si>
    <t xml:space="preserve">Months unsold stock is stored before liquidation</t>
  </si>
  <si>
    <t xml:space="preserve">Share sold at benchmark price</t>
  </si>
  <si>
    <t xml:space="preserve">Sold at full price</t>
  </si>
  <si>
    <t xml:space="preserve">Storage and liquidation inputs are ASSUMED (no warehouse quote).</t>
  </si>
  <si>
    <t xml:space="preserve">Sensitivity Analysis &amp; Break-even (selected scenario, configuration and destination)</t>
  </si>
  <si>
    <t xml:space="preserve">Each line is a full engine recalculation with one driver changed (Calc Engine rows 'SENS'). Combination rows show what it would take to reach viability.</t>
  </si>
  <si>
    <t xml:space="preserve">1. One-at-a-time sensitivity (tornado table)</t>
  </si>
  <si>
    <t xml:space="preserve">Driver change</t>
  </si>
  <si>
    <t xml:space="preserve">Cost / saleable box</t>
  </si>
  <si>
    <t xml:space="preserve">Δ cost / box</t>
  </si>
  <si>
    <t xml:space="preserve">Δ contribution</t>
  </si>
  <si>
    <t xml:space="preserve">Swing rank</t>
  </si>
  <si>
    <t xml:space="preserve">BASE CASE (selected)</t>
  </si>
  <si>
    <t xml:space="preserve">FX: EGP weaker (54.60)</t>
  </si>
  <si>
    <t xml:space="preserve">FX: EGP stronger (49.00)</t>
  </si>
  <si>
    <t xml:space="preserve">Ocean freight −28% (LOW level)</t>
  </si>
  <si>
    <t xml:space="preserve">Ocean freight +25% (STRESS level)</t>
  </si>
  <si>
    <t xml:space="preserve">Section 301 duty 0% (exempt / struck down)</t>
  </si>
  <si>
    <t xml:space="preserve">Additional duty 25% (hypothetical escalation)</t>
  </si>
  <si>
    <t xml:space="preserve">Supplier price −10%</t>
  </si>
  <si>
    <t xml:space="preserve">Supplier price +10%</t>
  </si>
  <si>
    <t xml:space="preserve">Selling price −15%</t>
  </si>
  <si>
    <t xml:space="preserve">Selling price +15%</t>
  </si>
  <si>
    <t xml:space="preserve">Shipment quantity −20% (same container)</t>
  </si>
  <si>
    <t xml:space="preserve">Shipment quantity +20% (if it fits)</t>
  </si>
  <si>
    <t xml:space="preserve">Drayage linehaul ×0.75</t>
  </si>
  <si>
    <t xml:space="preserve">Drayage linehaul ×1.5</t>
  </si>
  <si>
    <t xml:space="preserve">Unloading free (customer unloads)</t>
  </si>
  <si>
    <t xml:space="preserve">Unloading ×2</t>
  </si>
  <si>
    <t xml:space="preserve">VAT zero-rated (direct export)</t>
  </si>
  <si>
    <t xml:space="preserve">VAT paid &amp; not recoverable</t>
  </si>
  <si>
    <t xml:space="preserve">Damage/rejection 0.5%</t>
  </si>
  <si>
    <t xml:space="preserve">Damage/rejection 4%</t>
  </si>
  <si>
    <t xml:space="preserve">Buyer resale margin 20%</t>
  </si>
  <si>
    <t xml:space="preserve">Buyer resale margin 30%</t>
  </si>
  <si>
    <t xml:space="preserve">E-flute discount 15%</t>
  </si>
  <si>
    <t xml:space="preserve">E-flute discount 25%</t>
  </si>
  <si>
    <t xml:space="preserve">Credit terms 30 days</t>
  </si>
  <si>
    <t xml:space="preserve">Credit terms 90 days</t>
  </si>
  <si>
    <t xml:space="preserve">Egypt trucking −20%</t>
  </si>
  <si>
    <t xml:space="preserve">Egypt trucking +30%</t>
  </si>
  <si>
    <t xml:space="preserve">Commission 3%</t>
  </si>
  <si>
    <t xml:space="preserve">Commission 7%</t>
  </si>
  <si>
    <t xml:space="preserve">Repeat shipment (no sample/lab testing)</t>
  </si>
  <si>
    <t xml:space="preserve">Sell direct to end users (no buyer resale margin)</t>
  </si>
  <si>
    <t xml:space="preserve">Selling price +25% (≈ import-parity $/lb cross-check)</t>
  </si>
  <si>
    <t xml:space="preserve">2. Break-even conditions (selected case)</t>
  </si>
  <si>
    <t xml:space="preserve">Condition</t>
  </si>
  <si>
    <t xml:space="preserve">Interpretation</t>
  </si>
  <si>
    <t xml:space="preserve">Selling-price increase needed for contribution = 0</t>
  </si>
  <si>
    <t xml:space="preserve">vs achievable benchmark</t>
  </si>
  <si>
    <t xml:space="preserve">Supplier price change needed for GM = 0</t>
  </si>
  <si>
    <t xml:space="preserve">negative = discount required</t>
  </si>
  <si>
    <t xml:space="preserve">Supplier price change needed for GM = target</t>
  </si>
  <si>
    <t xml:space="preserve">target on Dashboard</t>
  </si>
  <si>
    <t xml:space="preserve">Maximum ocean freight per container for GM target</t>
  </si>
  <si>
    <t xml:space="preserve">negative = unreachable even with free freight</t>
  </si>
  <si>
    <t xml:space="preserve">Units needed in same configuration for GM 0</t>
  </si>
  <si>
    <t xml:space="preserve">compare with container capacity</t>
  </si>
  <si>
    <t xml:space="preserve">Units needed in same configuration for GM target</t>
  </si>
  <si>
    <t xml:space="preserve">'n/a' = unreachable at this price</t>
  </si>
  <si>
    <t xml:space="preserve">Max NFC price for GM target – SKU 3464 (EGP, quote basis)</t>
  </si>
  <si>
    <t xml:space="preserve">quoted 8.365</t>
  </si>
  <si>
    <t xml:space="preserve">Max NFC price for GM target – SKU 3463 (EGP, quote basis)</t>
  </si>
  <si>
    <t xml:space="preserve">quoted 7.900</t>
  </si>
  <si>
    <t xml:space="preserve">Max NFC price for GM target – SKU 3460 (EGP, quote basis)</t>
  </si>
  <si>
    <t xml:space="preserve">quoted 6.900</t>
  </si>
  <si>
    <t xml:space="preserve">3. Path to viability – cumulative changes (BASE scenario, full 40' HC equal mix, selected destination)</t>
  </si>
  <si>
    <t xml:space="preserve">Combination</t>
  </si>
  <si>
    <t xml:space="preserve">Cost / box</t>
  </si>
  <si>
    <t xml:space="preserve">Price / box</t>
  </si>
  <si>
    <t xml:space="preserve">K1 Full 40' HC equal mix (C4), BASE</t>
  </si>
  <si>
    <t xml:space="preserve">K2 K1 + Section 301 duty removed (0%)</t>
  </si>
  <si>
    <t xml:space="preserve">K3 K2 + supplier price −15%</t>
  </si>
  <si>
    <t xml:space="preserve">K4 K3 + selling price +15%</t>
  </si>
  <si>
    <t xml:space="preserve">K5 K4 + ocean freight at LOW level</t>
  </si>
  <si>
    <t xml:space="preserve">K6 K5 + repeat shipment (no testing)</t>
  </si>
  <si>
    <t xml:space="preserve">Classification sensitivity: all candidate headings (4819.10, 4819.20, 4823.90.86, 4808.10) are MFN Free, so classification changes do not move duty unless an Annex II §301 exemption applies (equivalent to the '§301 duty 0%' row).</t>
  </si>
  <si>
    <t xml:space="preserve">Scenario Comparison – configurations × gateways/destinations, and option ranking</t>
  </si>
  <si>
    <t xml:space="preserve">Matrices use the scenario selected on the Dashboard. Ranking uses the selected destination.</t>
  </si>
  <si>
    <t xml:space="preserve">A. Delivered cost per saleable box (USD) – selected scenario</t>
  </si>
  <si>
    <t xml:space="preserve">D1 New</t>
  </si>
  <si>
    <t xml:space="preserve">D2 New</t>
  </si>
  <si>
    <t xml:space="preserve">D3 Baltimore</t>
  </si>
  <si>
    <t xml:space="preserve">D4 Norfolk</t>
  </si>
  <si>
    <t xml:space="preserve">D5 Savannah</t>
  </si>
  <si>
    <t xml:space="preserve">B. Contribution margin – selected scenario</t>
  </si>
  <si>
    <t xml:space="preserve">C. Contribution (USD) – selected scenario</t>
  </si>
  <si>
    <t xml:space="preserve">D. Best gateway per configuration (lowest delivered cost, selected scenario)</t>
  </si>
  <si>
    <t xml:space="preserve">Best destination #</t>
  </si>
  <si>
    <t xml:space="preserve">Gateway → location</t>
  </si>
  <si>
    <t xml:space="preserve">E. Multi-criteria ranking (selected scenario &amp; destination) – weights and qualitative scores are editable</t>
  </si>
  <si>
    <t xml:space="preserve">Criterion →</t>
  </si>
  <si>
    <t xml:space="preserve">Risk-adjusted contribution</t>
  </si>
  <si>
    <t xml:space="preserve">Working capital</t>
  </si>
  <si>
    <t xml:space="preserve">Operational simplicity</t>
  </si>
  <si>
    <t xml:space="preserve">Price headroom</t>
  </si>
  <si>
    <t xml:space="preserve">Robustness (CM LOW−STRESS spread)</t>
  </si>
  <si>
    <t xml:space="preserve">Evidence quality</t>
  </si>
  <si>
    <t xml:space="preserve">Weight →</t>
  </si>
  <si>
    <t xml:space="preserve">Risk-adj. contribution (avg L/B/S × fits)</t>
  </si>
  <si>
    <t xml:space="preserve">Simplicity (1–5)</t>
  </si>
  <si>
    <t xml:space="preserve">Headroom %</t>
  </si>
  <si>
    <t xml:space="preserve">CM spread</t>
  </si>
  <si>
    <t xml:space="preserve">Evidence (1–5)</t>
  </si>
  <si>
    <t xml:space="preserve">Score</t>
  </si>
  <si>
    <t xml:space="preserve">Contribution (sel.)</t>
  </si>
  <si>
    <t xml:space="preserve">CM (sel.)</t>
  </si>
  <si>
    <t xml:space="preserve">Cost/box (sel.)</t>
  </si>
  <si>
    <t xml:space="preserve">Feasible all scenarios?</t>
  </si>
  <si>
    <t xml:space="preserve">Ranking ranks options relative to each other; a top rank does NOT mean the option is viable – check contribution sign and Dashboard thresholds.</t>
  </si>
  <si>
    <t xml:space="preserve">Cash Flow &amp; Working Capital – selected case</t>
  </si>
  <si>
    <t xml:space="preserve">Days from purchase order (day 0). Recoverable VAT shown as a deposit-like outflow and later inflow.</t>
  </si>
  <si>
    <t xml:space="preserve">1. Timeline</t>
  </si>
  <si>
    <t xml:space="preserve">Event</t>
  </si>
  <si>
    <t xml:space="preserve">Day</t>
  </si>
  <si>
    <t xml:space="preserve">Outflow USD</t>
  </si>
  <si>
    <t xml:space="preserve">Inflow USD</t>
  </si>
  <si>
    <t xml:space="preserve">Cumulative net USD</t>
  </si>
  <si>
    <t xml:space="preserve">Content</t>
  </si>
  <si>
    <t xml:space="preserve">Purchase order: advance to supplier, tooling, samples/testing</t>
  </si>
  <si>
    <t xml:space="preserve">advance % × (supplier + VAT) + tooling + testing</t>
  </si>
  <si>
    <t xml:space="preserve">Collection / export: balance, origin costs, prepaid ocean freight, insurance</t>
  </si>
  <si>
    <t xml:space="preserve">(1 − advance) × (supplier + VAT) + origin + ocean + insurance</t>
  </si>
  <si>
    <t xml:space="preserve">Egyptian VAT refund (mode 2 only)</t>
  </si>
  <si>
    <t xml:space="preserve">45-day statutory refund after documented application</t>
  </si>
  <si>
    <t xml:space="preserve">US arrival &amp; entry: duty, MPF, HMF, broker, bonds, port charges</t>
  </si>
  <si>
    <t xml:space="preserve">Delivery to customer: drayage, accessorials, unloading</t>
  </si>
  <si>
    <t xml:space="preserve">Customer payment (revenue at benchmark price)</t>
  </si>
  <si>
    <t xml:space="preserve">net of nothing – commission &amp; bad debt below</t>
  </si>
  <si>
    <t xml:space="preserve">2. Cash requirements (brief §13.2)</t>
  </si>
  <si>
    <t xml:space="preserve">Total transaction cash outflow</t>
  </si>
  <si>
    <t xml:space="preserve">VAT refund receivable (mode 2)</t>
  </si>
  <si>
    <t xml:space="preserve">PEAK working capital (before customer receipt)</t>
  </si>
  <si>
    <t xml:space="preserve">Financing cost (annual rate × $-days / 365)</t>
  </si>
  <si>
    <t xml:space="preserve">One-time importer set-up (not in per-box cost)</t>
  </si>
  <si>
    <t xml:space="preserve">3. VAT treatment comparison (selected configuration; sensitivity rows)</t>
  </si>
  <si>
    <t xml:space="preserve">VAT view</t>
  </si>
  <si>
    <t xml:space="preserve">VAT cash</t>
  </si>
  <si>
    <t xml:space="preserve">Economic VAT</t>
  </si>
  <si>
    <t xml:space="preserve">Scenario default (BASE = mode 2: paid &amp; refunded)</t>
  </si>
  <si>
    <t xml:space="preserve">Mode 1: zero-rated direct export</t>
  </si>
  <si>
    <t xml:space="preserve">Mode 3: paid, not recoverable</t>
  </si>
  <si>
    <t xml:space="preserve">Avoid double-counting: VAT appears either as a refundable cash item (mode 2) or as an economic cost (mode 3), never both. Sales tax in the US is not an import duty and is not modelled for B2B resale.</t>
  </si>
  <si>
    <t xml:space="preserve">Competitor Benchmark – US prices for comparable pizza boxes</t>
  </si>
  <si>
    <t xml:space="preserve">Advertised prices are NOT negotiated transaction prices. Comparability 1–5 (5 = same spec). Achievable wholesale price is derived by formula from the inputs in section 2.</t>
  </si>
  <si>
    <t xml:space="preserve">1. Listings collected (search extracts; access 2026-10-16)</t>
  </si>
  <si>
    <t xml:space="preserve">Product</t>
  </si>
  <si>
    <t xml:space="preserve">Dimensions</t>
  </si>
  <si>
    <t xml:space="preserve">Board</t>
  </si>
  <si>
    <t xml:space="preserve">Printing</t>
  </si>
  <si>
    <t xml:space="preserve">MOQ</t>
  </si>
  <si>
    <t xml:space="preserve">Published price</t>
  </si>
  <si>
    <t xml:space="preserve">$/box</t>
  </si>
  <si>
    <t xml:space="preserve">Shipping incl.?</t>
  </si>
  <si>
    <t xml:space="preserve">Tax incl.?</t>
  </si>
  <si>
    <t xml:space="preserve">Price type</t>
  </si>
  <si>
    <t xml:space="preserve">Availability</t>
  </si>
  <si>
    <t xml:space="preserve">Collected</t>
  </si>
  <si>
    <t xml:space="preserve">Comparability</t>
  </si>
  <si>
    <t xml:space="preserve">Notes / URL</t>
  </si>
  <si>
    <t xml:space="preserve">WebstaurantStore (Choice)</t>
  </si>
  <si>
    <t xml:space="preserve">12"×12"×2" kraft E-flute pizza box, item 245CPB12EPRINT</t>
  </si>
  <si>
    <t xml:space="preserve">12 × 12 × 2 in</t>
  </si>
  <si>
    <t xml:space="preserve">E-flute corrugated, 100% recycled; no intentionally added PFAS</t>
  </si>
  <si>
    <t xml:space="preserve">Stock print</t>
  </si>
  <si>
    <t xml:space="preserve">1 bundle</t>
  </si>
  <si>
    <t xml:space="preserve">$15.99 (1) / $14.99 (2+) per 50</t>
  </si>
  <si>
    <t xml:space="preserve">Not included (varies)</t>
  </si>
  <si>
    <t xml:space="preserve">Online restaurant-supply, small volume</t>
  </si>
  <si>
    <t xml:space="preserve">Ships in 1 business day</t>
  </si>
  <si>
    <t xml:space="preserve">2026-10-16</t>
  </si>
  <si>
    <t xml:space="preserve">S074</t>
  </si>
  <si>
    <t xml:space="preserve">Closest equivalent to SKU 3460; bundle 15 lb (≈136 g/box). https://www.webstaurantstore.com/choice-12-x-12-x-2-kraft-corrugated-e-flute-pizza-box-bundle/245CPB12EPRINT.html</t>
  </si>
  <si>
    <t xml:space="preserve">12"×12"×2" kraft B-flute pizza box, 245CPB12PRINT</t>
  </si>
  <si>
    <t xml:space="preserve">B-flute 1/8"</t>
  </si>
  <si>
    <t xml:space="preserve">$19.99 (1), $18.99 (3–9), $14.99 (10+)</t>
  </si>
  <si>
    <t xml:space="preserve">Online restaurant-supply, volume tiers</t>
  </si>
  <si>
    <t xml:space="preserve">In stock</t>
  </si>
  <si>
    <t xml:space="preserve">S075</t>
  </si>
  <si>
    <t xml:space="preserve">E vs B price ratio at single bundle = 0.80 (basis for E-flute discount). https://www.webstaurantstore.com/choice-12-x-12-x-2-kraft-corrugated-pizza-box-50-case/245CPB12PRINT.html</t>
  </si>
  <si>
    <t xml:space="preserve">14"×14"×2" kraft B-flute pizza box, 245CPB14PRINT</t>
  </si>
  <si>
    <t xml:space="preserve">14 × 14 × 2 in</t>
  </si>
  <si>
    <t xml:space="preserve">B-flute 1/8", recycled</t>
  </si>
  <si>
    <t xml:space="preserve">$20.99 list / $19.49 per 50</t>
  </si>
  <si>
    <t xml:space="preserve">Online restaurant-supply</t>
  </si>
  <si>
    <t xml:space="preserve">S073</t>
  </si>
  <si>
    <t xml:space="preserve">Shipping weight 20.85 lb per 50 (≈189 g/box). https://www.webstaurantstore.com/choice-14-x-14-x-2-kraft-corrugated-pizza-box-50-case/245CPB14PRINT.html</t>
  </si>
  <si>
    <t xml:space="preserve">14"×14"×2" kraft plain customizable, 245CB14PLN</t>
  </si>
  <si>
    <t xml:space="preserve">B-flute (assumed from range)</t>
  </si>
  <si>
    <t xml:space="preserve">$18.99 per 50</t>
  </si>
  <si>
    <t xml:space="preserve">Not included</t>
  </si>
  <si>
    <t xml:space="preserve">S076</t>
  </si>
  <si>
    <t xml:space="preserve">Search-page snapshot. https://www.webstaurantstore.com/search/16x16-pizza-box.html</t>
  </si>
  <si>
    <t xml:space="preserve">16"×16"×2" white / kraft corrugated pizza box</t>
  </si>
  <si>
    <t xml:space="preserve">16 × 16 × 2 in</t>
  </si>
  <si>
    <t xml:space="preserve">Corrugated (B-flute class)</t>
  </si>
  <si>
    <t xml:space="preserve">$22.99 (white) / $22.49 (kraft) per 50</t>
  </si>
  <si>
    <t xml:space="preserve">Uline</t>
  </si>
  <si>
    <t xml:space="preserve">Plain pizza box 14×14×2" white, S-17593</t>
  </si>
  <si>
    <t xml:space="preserve">Corrugated, white exterior/kraft interior</t>
  </si>
  <si>
    <t xml:space="preserve">$54 (1) / $51 (2+) per 50</t>
  </si>
  <si>
    <t xml:space="preserve">Extra</t>
  </si>
  <si>
    <t xml:space="preserve">Industrial catalogue (premium)</t>
  </si>
  <si>
    <t xml:space="preserve">2026-10-12</t>
  </si>
  <si>
    <t xml:space="preserve">S077</t>
  </si>
  <si>
    <t xml:space="preserve">Price ceiling, not a wholesale benchmark. https://www.uline.com/Product/Detail/S-17593/Take-Out-Containers/Plain-Pizza-Boxes-14-x-14-x-2-White</t>
  </si>
  <si>
    <t xml:space="preserve">Plain pizza box 12×12×2" white, S-17592</t>
  </si>
  <si>
    <t xml:space="preserve">Corrugated, white</t>
  </si>
  <si>
    <t xml:space="preserve">$41 (1) / $39 (2+) per 50</t>
  </si>
  <si>
    <t xml:space="preserve">https://www.uline.com/Product/Detail/S-17592/Take-Out-Containers/Plain-Pizza-Boxes-12-x-12-x-2-White</t>
  </si>
  <si>
    <t xml:space="preserve">Costco Business Center (Vital International Solutions)</t>
  </si>
  <si>
    <t xml:space="preserve">Pre-printed pizza box 14", 50 ct</t>
  </si>
  <si>
    <t xml:space="preserve">14 in</t>
  </si>
  <si>
    <t xml:space="preserve">B-flute, 60% recycled</t>
  </si>
  <si>
    <t xml:space="preserve">Pre-printed</t>
  </si>
  <si>
    <t xml:space="preserve">1 case</t>
  </si>
  <si>
    <t xml:space="preserve">$21.39–$28.29 (avg $23.25) per 50</t>
  </si>
  <si>
    <t xml:space="preserve">Delivered (Business Delivery)</t>
  </si>
  <si>
    <t xml:space="preserve">Cash-and-carry club (member)</t>
  </si>
  <si>
    <t xml:space="preserve">Varies</t>
  </si>
  <si>
    <t xml:space="preserve">2026 (tracker)</t>
  </si>
  <si>
    <t xml:space="preserve">S078</t>
  </si>
  <si>
    <t xml:space="preserve">Third-party price tracker. https://app.warehouserunner.com/costco/1984293-vital-solutions-14-pizza-box-50-ct</t>
  </si>
  <si>
    <t xml:space="preserve">Costco Business Center</t>
  </si>
  <si>
    <t xml:space="preserve">Plain pizza box 16", 50 ct</t>
  </si>
  <si>
    <t xml:space="preserve">16 in</t>
  </si>
  <si>
    <t xml:space="preserve">Corrugated</t>
  </si>
  <si>
    <t xml:space="preserve">$24.15 per 50 (17-Apr-2026)</t>
  </si>
  <si>
    <t xml:space="preserve">Delivered/club</t>
  </si>
  <si>
    <t xml:space="preserve">Out of stock at capture</t>
  </si>
  <si>
    <t xml:space="preserve">2026-04-17</t>
  </si>
  <si>
    <t xml:space="preserve">https://app.warehouserunner.com/costco/2041320-vital-solutions-16-pizza-box-50-ct</t>
  </si>
  <si>
    <t xml:space="preserve">Imperial Dade (Arvco Container Corp.)</t>
  </si>
  <si>
    <t xml:space="preserve">14×14×1.88" and 16×16×1.88" kraft E-flute pizza boxes, 50 ct</t>
  </si>
  <si>
    <t xml:space="preserve">14/16 × 1.88 in</t>
  </si>
  <si>
    <t xml:space="preserve">E-flute kraft/kraft</t>
  </si>
  <si>
    <t xml:space="preserve">Account</t>
  </si>
  <si>
    <t xml:space="preserve">Login required</t>
  </si>
  <si>
    <t xml:space="preserve">Distributor terms</t>
  </si>
  <si>
    <t xml:space="preserve">Broadline distributor</t>
  </si>
  <si>
    <t xml:space="preserve">S079</t>
  </si>
  <si>
    <t xml:space="preserve">Shows 14"/16" E-flute exists in US distribution. https://www.imperialdade.com/catalog/product-detail/16-in-kraft-kraft-square-corrugated-cardboard-e-flute-pizza-box-microwave-safe-ov?id=360983</t>
  </si>
  <si>
    <t xml:space="preserve">Aztec (Arvco)</t>
  </si>
  <si>
    <t xml:space="preserve">14" kraft fluted pizza box, 50/pack</t>
  </si>
  <si>
    <t xml:space="preserve">14 × 14 × 1.75 in</t>
  </si>
  <si>
    <t xml:space="preserve">Fluted kraft</t>
  </si>
  <si>
    <t xml:space="preserve">1 pack</t>
  </si>
  <si>
    <t xml:space="preserve">n/a (weight 20 lb; 36×6×18 in)</t>
  </si>
  <si>
    <t xml:space="preserve">Distributor listing</t>
  </si>
  <si>
    <t xml:space="preserve">Used to calibrate blank geometry. https://www.aztekc.com/boxpizzaflute14kft50-arvco-containers/p</t>
  </si>
  <si>
    <t xml:space="preserve">PMQ Think Tank (operators, anecdotal)</t>
  </si>
  <si>
    <t xml:space="preserve">16" boxes: franchise $0.442; importer container-scale B-flute $9.87/50</t>
  </si>
  <si>
    <t xml:space="preserve">B-flute / white</t>
  </si>
  <si>
    <t xml:space="preserve">Various</t>
  </si>
  <si>
    <t xml:space="preserve">Container (importer)</t>
  </si>
  <si>
    <t xml:space="preserve">$0.442 (franchise); $0.197 FOB-type (importer)</t>
  </si>
  <si>
    <t xml:space="preserve">Before freight (importer)</t>
  </si>
  <si>
    <t xml:space="preserve">Forum anecdote (undated)</t>
  </si>
  <si>
    <t xml:space="preserve">undated</t>
  </si>
  <si>
    <t xml:space="preserve">S081</t>
  </si>
  <si>
    <t xml:space="preserve">UNVERIFIED; indicates import competition at ~$0.20 FOB. https://thinktank.pmq.com/t/corrugated-pizza-box-prices/1288</t>
  </si>
  <si>
    <t xml:space="preserve">Subject imports (China, Malaysia, Türkiye) – petition data</t>
  </si>
  <si>
    <t xml:space="preserve">Corrugated pizza boxes, landed duty-paid value</t>
  </si>
  <si>
    <t xml:space="preserve">Mixed</t>
  </si>
  <si>
    <t xml:space="preserve">$68.3m / 92.4m lb (2025) = $0.739/lb landed duty-paid</t>
  </si>
  <si>
    <t xml:space="preserve">Landed duty-paid at port</t>
  </si>
  <si>
    <t xml:space="preserve">Import statistic (petitioner)</t>
  </si>
  <si>
    <t xml:space="preserve">2025 data</t>
  </si>
  <si>
    <t xml:space="preserve">S099</t>
  </si>
  <si>
    <t xml:space="preserve">Import-parity cross-check per lb; allegedly dumped 97–569%. https://www.paperadvance.com/news/industry-news/u-s-opens-probe-into-pizza-box-imports.html</t>
  </si>
  <si>
    <t xml:space="preserve">2. Market inputs (scenario-dependent)</t>
  </si>
  <si>
    <t xml:space="preserve">MKT-01</t>
  </si>
  <si>
    <t xml:space="preserve">14" listing (B-flute kraft)</t>
  </si>
  <si>
    <t xml:space="preserve">S073;S076</t>
  </si>
  <si>
    <t xml:space="preserve">WebstaurantStore $20.99 / $19.49 / $18.99 per 50.</t>
  </si>
  <si>
    <t xml:space="preserve">MKT-02</t>
  </si>
  <si>
    <t xml:space="preserve">16" listing (B-flute kraft/white)</t>
  </si>
  <si>
    <t xml:space="preserve">WebstaurantStore $22.99 / $22.49 per 50.</t>
  </si>
  <si>
    <t xml:space="preserve">MKT-03</t>
  </si>
  <si>
    <t xml:space="preserve">12" listing (E-flute kraft)</t>
  </si>
  <si>
    <t xml:space="preserve">WebstaurantStore E-flute $15.99 (1) / $14.99 (2+) per 50.</t>
  </si>
  <si>
    <t xml:space="preserve">MKT-04</t>
  </si>
  <si>
    <t xml:space="preserve">E-flute vs B-flute equivalence discount (applied to B-flute listings)</t>
  </si>
  <si>
    <t xml:space="preserve">CALCULATED</t>
  </si>
  <si>
    <t xml:space="preserve">S074;S075</t>
  </si>
  <si>
    <t xml:space="preserve">1 − 15.99/19.99 = 20.0% (WebstaurantStore 12" E vs B, same tier).</t>
  </si>
  <si>
    <t xml:space="preserve">MKT-05</t>
  </si>
  <si>
    <t xml:space="preserve">Wholesale buyer's resale gross margin</t>
  </si>
  <si>
    <t xml:space="preserve">S093</t>
  </si>
  <si>
    <t xml:space="preserve">Converts resale listing to the buyer's acceptable purchase price.</t>
  </si>
  <si>
    <t xml:space="preserve">3. Achievable wholesale price per box (what a container-lot buyer could pay) = listing × (1 − E-flute discount if listing is B-flute) × (1 − buyer resale margin)</t>
  </si>
  <si>
    <t xml:space="preserve">Benchmark listing flute</t>
  </si>
  <si>
    <t xml:space="preserve">4. Import-parity cross-check (petition data: subject imports landed duty-paid $68.3m / 92.4m lb in 2025)</t>
  </si>
  <si>
    <t xml:space="preserve">Subject-import LDP $/lb (2025)</t>
  </si>
  <si>
    <t xml:space="preserve">S099 – petitioner data; mix of flutes/prints unknown</t>
  </si>
  <si>
    <t xml:space="preserve">Import-parity value per BigBoxPizza box (active weight)</t>
  </si>
  <si>
    <t xml:space="preserve">Per-lb parity × estimated box weight (landed at port, before importer margin and delivery)</t>
  </si>
  <si>
    <t xml:space="preserve">BigBoxPizza cleared-port cost per lb (selected case)</t>
  </si>
  <si>
    <t xml:space="preserve">Compare with subject-import LDP $/lb above</t>
  </si>
  <si>
    <t xml:space="preserve">5. Competitive landscape notes</t>
  </si>
  <si>
    <t xml:space="preserve">US production ≈ 3 billion pizza boxes a year (Pratt, S098); Smurfit Westrock and Pratt Industries (petitioners) are among the largest US integrated box makers.</t>
  </si>
  <si>
    <t xml:space="preserve">Imports from China, Malaysia and Türkiye rose ~130% (2023→2025) and face AD/CVD petitions (allegedly dumped 97–569%). Egypt is not named; a surge of Egyptian boxes could attract a future petition.</t>
  </si>
  <si>
    <t xml:space="preserve">US standard for 14"–18" is B-flute (~1/8"); E-flute (~1/16") is mainstream for 10"–12" and niche for 14"/16" (Arvco via Imperial Dade). NFC's 'SINGLE-E' 14"/16" must be validated for rigidity and heat retention.</t>
  </si>
  <si>
    <t xml:space="preserve">Realistic buyers: pizza-specialist distributors (e.g., PFG's Roma in Elizabeth, NJ – S085), broadline/disposables distributors, cash-and-carry, regional multi-unit pizza groups and commissaries. No demand or commitments were obtained.</t>
  </si>
  <si>
    <t xml:space="preserve">Risk Register</t>
  </si>
  <si>
    <t xml:space="preserve">Likelihood and impact 1–5; score = L × I. Ordered by ID; see score for priority.</t>
  </si>
  <si>
    <t xml:space="preserve">Risk</t>
  </si>
  <si>
    <t xml:space="preserve">Likelihood</t>
  </si>
  <si>
    <t xml:space="preserve">Impact</t>
  </si>
  <si>
    <t xml:space="preserve">Mitigation</t>
  </si>
  <si>
    <t xml:space="preserve">Owner</t>
  </si>
  <si>
    <t xml:space="preserve">R01</t>
  </si>
  <si>
    <t xml:space="preserve">Achievable selling price below delivered cost</t>
  </si>
  <si>
    <t xml:space="preserve">Market</t>
  </si>
  <si>
    <t xml:space="preserve">Do not ship without written buyer prices ≥ break-even; target full containers; renegotiate NFC price.</t>
  </si>
  <si>
    <t xml:space="preserve">Open – BASE GM negative</t>
  </si>
  <si>
    <t xml:space="preserve">R02</t>
  </si>
  <si>
    <t xml:space="preserve">Section 301 duty changes (CIT ruling, new actions or rate increase)</t>
  </si>
  <si>
    <t xml:space="preserve">Trade law</t>
  </si>
  <si>
    <t xml:space="preserve">Broker monitoring; price clauses that pass through duty changes; keep entries refund-ready.</t>
  </si>
  <si>
    <t xml:space="preserve">Broker / counsel</t>
  </si>
  <si>
    <t xml:space="preserve">Open</t>
  </si>
  <si>
    <t xml:space="preserve">R03</t>
  </si>
  <si>
    <t xml:space="preserve">New AD/CVD petition naming Egypt if Egyptian pizza-box imports surge</t>
  </si>
  <si>
    <t xml:space="preserve">Trade remedy</t>
  </si>
  <si>
    <t xml:space="preserve">Monitor petition scope; avoid positioning as low-price dumping substitute; document normal-value pricing.</t>
  </si>
  <si>
    <t xml:space="preserve">Counsel</t>
  </si>
  <si>
    <t xml:space="preserve">Watch</t>
  </si>
  <si>
    <t xml:space="preserve">R04</t>
  </si>
  <si>
    <t xml:space="preserve">Supplier identity or payment fraud (unverified NFC, bank-name typo, signatory mismatch)</t>
  </si>
  <si>
    <t xml:space="preserve">Counterparty</t>
  </si>
  <si>
    <t xml:space="preserve">Registry extract, video audit, bank verification by call-back, use LC or escrow / pay against documents.</t>
  </si>
  <si>
    <t xml:space="preserve">Open – blocking</t>
  </si>
  <si>
    <t xml:space="preserve">R05</t>
  </si>
  <si>
    <t xml:space="preserve">Expired quote – price increase on re-quote</t>
  </si>
  <si>
    <t xml:space="preserve">Commercial</t>
  </si>
  <si>
    <t xml:space="preserve">Obtain dated re-quote; index clauses tied to kraft paper price.</t>
  </si>
  <si>
    <t xml:space="preserve">R06</t>
  </si>
  <si>
    <t xml:space="preserve">Specification mismatch: E-flute too light for 14"/16" US use; outside dims too small</t>
  </si>
  <si>
    <t xml:space="preserve">Samples, fit test with real pizzas, ECT/stacking tests before PO.</t>
  </si>
  <si>
    <t xml:space="preserve">BigBoxPizza / lab</t>
  </si>
  <si>
    <t xml:space="preserve">R07</t>
  </si>
  <si>
    <t xml:space="preserve">Food-contact non-compliance (recycled-fibre contaminants, inks, adhesives)</t>
  </si>
  <si>
    <t xml:space="preserve">Regulatory</t>
  </si>
  <si>
    <t xml:space="preserve">Supplier compliance declaration vs 21 CFR 176.170/176.260; lab tests; supplier liability clause.</t>
  </si>
  <si>
    <t xml:space="preserve">R08</t>
  </si>
  <si>
    <t xml:space="preserve">PFAS / heavy-metal certificates missing → buyer rejection in NY/MD and TPCH states</t>
  </si>
  <si>
    <t xml:space="preserve">PFAS-free declaration + total-fluorine test; TPCH certificate of compliance.</t>
  </si>
  <si>
    <t xml:space="preserve">R09</t>
  </si>
  <si>
    <t xml:space="preserve">Egyptian export structure unworkable under EXW (exporter registration, clearance)</t>
  </si>
  <si>
    <t xml:space="preserve">Switch to FCA (named factory) with NFC as exporter; or use a registered Egyptian exporter.</t>
  </si>
  <si>
    <t xml:space="preserve">NFC / forwarder</t>
  </si>
  <si>
    <t xml:space="preserve">R10</t>
  </si>
  <si>
    <t xml:space="preserve">VAT refund delay or denial (if VAT is charged)</t>
  </si>
  <si>
    <t xml:space="preserve">Zero-rated direct export; tax adviser opinion; bank-routed proceeds.</t>
  </si>
  <si>
    <t xml:space="preserve">Tax adviser</t>
  </si>
  <si>
    <t xml:space="preserve">R11</t>
  </si>
  <si>
    <t xml:space="preserve">Ocean freight spike / GRIs / rate-restoration surcharges / routing disruption</t>
  </si>
  <si>
    <t xml:space="preserve">Logistics</t>
  </si>
  <si>
    <t xml:space="preserve">Lock quotes with validity; flexible gateway; avoid peak season.</t>
  </si>
  <si>
    <t xml:space="preserve">Forwarder</t>
  </si>
  <si>
    <t xml:space="preserve">R12</t>
  </si>
  <si>
    <t xml:space="preserve">EGP appreciation vs USD (EGP-priced purchase)</t>
  </si>
  <si>
    <t xml:space="preserve">FX</t>
  </si>
  <si>
    <t xml:space="preserve">Price in USD or hedge timing; FX clause.</t>
  </si>
  <si>
    <t xml:space="preserve">R13</t>
  </si>
  <si>
    <t xml:space="preserve">Actual bundle geometry worse than estimated (fewer units per container)</t>
  </si>
  <si>
    <t xml:space="preserve">Engineering</t>
  </si>
  <si>
    <t xml:space="preserve">Obtain NFC load plan before booking; prefer 40' HC for the quoted order.</t>
  </si>
  <si>
    <t xml:space="preserve">R14</t>
  </si>
  <si>
    <t xml:space="preserve">Moisture / condensation damage to corrugated board in transit</t>
  </si>
  <si>
    <t xml:space="preserve">Quality</t>
  </si>
  <si>
    <t xml:space="preserve">Desiccants, container liners, dry boxes; insurance ICC(A).</t>
  </si>
  <si>
    <t xml:space="preserve">R15</t>
  </si>
  <si>
    <t xml:space="preserve">Customer refuses floor-loaded container or charges unloading/detention</t>
  </si>
  <si>
    <t xml:space="preserve">Agree receiving terms in RFQ 4; price unloading in.</t>
  </si>
  <si>
    <t xml:space="preserve">R16</t>
  </si>
  <si>
    <t xml:space="preserve">Demurrage/detention from exams, appointments or late paperwork</t>
  </si>
  <si>
    <t xml:space="preserve">Pre-clear entries; ISF on time; appointment booking at arrival.</t>
  </si>
  <si>
    <t xml:space="preserve">Broker / trucker</t>
  </si>
  <si>
    <t xml:space="preserve">R17</t>
  </si>
  <si>
    <t xml:space="preserve">CBP exam or hold on first shipment</t>
  </si>
  <si>
    <t xml:space="preserve">Complete documentation; budget exam costs (stress case).</t>
  </si>
  <si>
    <t xml:space="preserve">Broker</t>
  </si>
  <si>
    <t xml:space="preserve">R18</t>
  </si>
  <si>
    <t xml:space="preserve">Origin-marking deficiency (no 'Made in Egypt' on outer wraps)</t>
  </si>
  <si>
    <t xml:space="preserve">Specify marking in PO; photo evidence pre-shipment.</t>
  </si>
  <si>
    <t xml:space="preserve">NFC / broker</t>
  </si>
  <si>
    <t xml:space="preserve">R19</t>
  </si>
  <si>
    <t xml:space="preserve">Importer-of-record liability for classification/valuation errors</t>
  </si>
  <si>
    <t xml:space="preserve">Broker review; reasonable-care file (spec sheets, invoices, payment proof).</t>
  </si>
  <si>
    <t xml:space="preserve">IOR / broker</t>
  </si>
  <si>
    <t xml:space="preserve">R20</t>
  </si>
  <si>
    <t xml:space="preserve">Buyer credit default / late payment</t>
  </si>
  <si>
    <t xml:space="preserve">Credit</t>
  </si>
  <si>
    <t xml:space="preserve">Credit checks; deposit or LC from buyer; credit insurance.</t>
  </si>
  <si>
    <t xml:space="preserve">R21</t>
  </si>
  <si>
    <t xml:space="preserve">Quality defects → claims, returns or rejected lots</t>
  </si>
  <si>
    <t xml:space="preserve">Pre-shipment inspection; AQL sampling; supplier warranty.</t>
  </si>
  <si>
    <t xml:space="preserve">BigBoxPizza / QC firm</t>
  </si>
  <si>
    <t xml:space="preserve">R22</t>
  </si>
  <si>
    <t xml:space="preserve">Working-capital strain from 50% advance and prepaid freight</t>
  </si>
  <si>
    <t xml:space="preserve">Finance</t>
  </si>
  <si>
    <t xml:space="preserve">Negotiate 30/70 or payment against documents; LC.</t>
  </si>
  <si>
    <t xml:space="preserve">R23</t>
  </si>
  <si>
    <t xml:space="preserve">ISF late or inaccurate ($5,000 liquidated damages)</t>
  </si>
  <si>
    <t xml:space="preserve">Forwarder sends ISF data ≥72 h before loading.</t>
  </si>
  <si>
    <t xml:space="preserve">Broker / forwarder</t>
  </si>
  <si>
    <t xml:space="preserve">R24</t>
  </si>
  <si>
    <t xml:space="preserve">Lead-time slippage / capacity at NFC</t>
  </si>
  <si>
    <t xml:space="preserve">Supply</t>
  </si>
  <si>
    <t xml:space="preserve">Production schedule with penalties; buffer in buyer delivery promise.</t>
  </si>
  <si>
    <t xml:space="preserve">NFC</t>
  </si>
  <si>
    <t xml:space="preserve">Assumptions Register – every model input, its evidence and decision impact</t>
  </si>
  <si>
    <t xml:space="preserve">Values are live links to the input cells. ⚠ = ASSUMED/ESTIMATED/UNRESOLVED input with High decision impact (shown as a Dashboard warning).</t>
  </si>
  <si>
    <t xml:space="preserve">Group</t>
  </si>
  <si>
    <t xml:space="preserve">Flag</t>
  </si>
  <si>
    <t xml:space="preserve">k_len</t>
  </si>
  <si>
    <t xml:space="preserve">w_allow</t>
  </si>
  <si>
    <t xml:space="preserve">net_area</t>
  </si>
  <si>
    <t xml:space="preserve">grammage</t>
  </si>
  <si>
    <t xml:space="preserve">pitch</t>
  </si>
  <si>
    <t xml:space="preserve">per_bundle</t>
  </si>
  <si>
    <t xml:space="preserve">wrap_mm</t>
  </si>
  <si>
    <t xml:space="preserve">wrap_kg</t>
  </si>
  <si>
    <t xml:space="preserve">len_ded</t>
  </si>
  <si>
    <t xml:space="preserve">wid_ded</t>
  </si>
  <si>
    <t xml:space="preserve">hgt_ded</t>
  </si>
  <si>
    <t xml:space="preserve">efficiency</t>
  </si>
  <si>
    <t xml:space="preserve">cbe</t>
  </si>
  <si>
    <t xml:space="preserve">spread</t>
  </si>
  <si>
    <t xml:space="preserve">requote</t>
  </si>
  <si>
    <t xml:space="preserve">vat_rate</t>
  </si>
  <si>
    <t xml:space="preserve">vat_mode</t>
  </si>
  <si>
    <t xml:space="preserve">vat_lag</t>
  </si>
  <si>
    <t xml:space="preserve">advance</t>
  </si>
  <si>
    <t xml:space="preserve">tooling_egp</t>
  </si>
  <si>
    <t xml:space="preserve">lead_days</t>
  </si>
  <si>
    <t xml:space="preserve">truck_20</t>
  </si>
  <si>
    <t xml:space="preserve">truck_40</t>
  </si>
  <si>
    <t xml:space="preserve">othc_20</t>
  </si>
  <si>
    <t xml:space="preserve">othc_40</t>
  </si>
  <si>
    <t xml:space="preserve">othc_in_freight</t>
  </si>
  <si>
    <t xml:space="preserve">dd_days</t>
  </si>
  <si>
    <t xml:space="preserve">dd_20</t>
  </si>
  <si>
    <t xml:space="preserve">dd_40</t>
  </si>
  <si>
    <t xml:space="preserve">wires</t>
  </si>
  <si>
    <t xml:space="preserve">wire_fee</t>
  </si>
  <si>
    <t xml:space="preserve">lcl_truck</t>
  </si>
  <si>
    <t xml:space="preserve">rate_20</t>
  </si>
  <si>
    <t xml:space="preserve">rate_40</t>
  </si>
  <si>
    <t xml:space="preserve">rate_hc</t>
  </si>
  <si>
    <t xml:space="preserve">transit</t>
  </si>
  <si>
    <t xml:space="preserve">ins_uplift</t>
  </si>
  <si>
    <t xml:space="preserve">ins_min</t>
  </si>
  <si>
    <t xml:space="preserve">ins_in_other</t>
  </si>
  <si>
    <t xml:space="preserve">lcl_rate</t>
  </si>
  <si>
    <t xml:space="preserve">lcl_factor</t>
  </si>
  <si>
    <t xml:space="preserve">lcl_extra_days</t>
  </si>
  <si>
    <t xml:space="preserve">US customs</t>
  </si>
  <si>
    <t xml:space="preserve">mfn</t>
  </si>
  <si>
    <t xml:space="preserve">s301</t>
  </si>
  <si>
    <t xml:space="preserve">mpf_rate</t>
  </si>
  <si>
    <t xml:space="preserve">mpf_min</t>
  </si>
  <si>
    <t xml:space="preserve">mpf_max</t>
  </si>
  <si>
    <t xml:space="preserve">hmf</t>
  </si>
  <si>
    <t xml:space="preserve">stb_rate</t>
  </si>
  <si>
    <t xml:space="preserve">stb_min</t>
  </si>
  <si>
    <t xml:space="preserve">cfc</t>
  </si>
  <si>
    <t xml:space="preserve">cfc_in_freight</t>
  </si>
  <si>
    <t xml:space="preserve">exam</t>
  </si>
  <si>
    <t xml:space="preserve">exam_dray</t>
  </si>
  <si>
    <t xml:space="preserve">dem_days</t>
  </si>
  <si>
    <t xml:space="preserve">dem_rate</t>
  </si>
  <si>
    <t xml:space="preserve">Destination</t>
  </si>
  <si>
    <t xml:space="preserve">fsc</t>
  </si>
  <si>
    <t xml:space="preserve">chassis_days</t>
  </si>
  <si>
    <t xml:space="preserve">wait_hours</t>
  </si>
  <si>
    <t xml:space="preserve">wait_rate</t>
  </si>
  <si>
    <t xml:space="preserve">chassis_in_dray</t>
  </si>
  <si>
    <t xml:space="preserve">unload_in_dray</t>
  </si>
  <si>
    <t xml:space="preserve">unload_20</t>
  </si>
  <si>
    <t xml:space="preserve">unload_40</t>
  </si>
  <si>
    <t xml:space="preserve">lcl_cfs_d</t>
  </si>
  <si>
    <t xml:space="preserve">lcl_deliv</t>
  </si>
  <si>
    <t xml:space="preserve">Selling</t>
  </si>
  <si>
    <t xml:space="preserve">commission</t>
  </si>
  <si>
    <t xml:space="preserve">processing</t>
  </si>
  <si>
    <t xml:space="preserve">bad_debt</t>
  </si>
  <si>
    <t xml:space="preserve">credit_days</t>
  </si>
  <si>
    <t xml:space="preserve">fin_rate</t>
  </si>
  <si>
    <t xml:space="preserve">damage</t>
  </si>
  <si>
    <t xml:space="preserve">testing</t>
  </si>
  <si>
    <t xml:space="preserve">admin</t>
  </si>
  <si>
    <t xml:space="preserve">setup</t>
  </si>
  <si>
    <t xml:space="preserve">listing_3464</t>
  </si>
  <si>
    <t xml:space="preserve">listing_3463</t>
  </si>
  <si>
    <t xml:space="preserve">listing_3460</t>
  </si>
  <si>
    <t xml:space="preserve">eflute_disc</t>
  </si>
  <si>
    <t xml:space="preserve">dist_margin</t>
  </si>
  <si>
    <t xml:space="preserve">D1_linehaul</t>
  </si>
  <si>
    <t xml:space="preserve">New York/New Jersey → Edison, NJ (ZIP 08837 – Central NJ warehouse cluster): linehaul</t>
  </si>
  <si>
    <t xml:space="preserve">S052;S053;S054;S094</t>
  </si>
  <si>
    <t xml:space="preserve">Source of truth: 'Destination Delivery' table (this row is a copy for the register)</t>
  </si>
  <si>
    <t xml:space="preserve">D1_tolls</t>
  </si>
  <si>
    <t xml:space="preserve">New York/New Jersey → Edison, NJ (ZIP 08837 – Central NJ warehouse cluster): tolls</t>
  </si>
  <si>
    <t xml:space="preserve">D1_chassis $/day</t>
  </si>
  <si>
    <t xml:space="preserve">New York/New Jersey → Edison, NJ (ZIP 08837 – Central NJ warehouse cluster): chassis $/day</t>
  </si>
  <si>
    <t xml:space="preserve">D2_linehaul</t>
  </si>
  <si>
    <t xml:space="preserve">New York/New Jersey → Bronx, NY (ZIP 10474 – Hunts Point food-distribution area): linehaul</t>
  </si>
  <si>
    <t xml:space="preserve">D2_tolls</t>
  </si>
  <si>
    <t xml:space="preserve">New York/New Jersey → Bronx, NY (ZIP 10474 – Hunts Point food-distribution area): tolls</t>
  </si>
  <si>
    <t xml:space="preserve">D2_chassis $/day</t>
  </si>
  <si>
    <t xml:space="preserve">New York/New Jersey → Bronx, NY (ZIP 10474 – Hunts Point food-distribution area): chassis $/day</t>
  </si>
  <si>
    <t xml:space="preserve">D3_linehaul</t>
  </si>
  <si>
    <t xml:space="preserve">Baltimore → Jessup, MD (ZIP 20794 – Baltimore–Washington food-distribution hub): linehaul</t>
  </si>
  <si>
    <t xml:space="preserve">D3_tolls</t>
  </si>
  <si>
    <t xml:space="preserve">Baltimore → Jessup, MD (ZIP 20794 – Baltimore–Washington food-distribution hub): tolls</t>
  </si>
  <si>
    <t xml:space="preserve">D3_chassis $/day</t>
  </si>
  <si>
    <t xml:space="preserve">Baltimore → Jessup, MD (ZIP 20794 – Baltimore–Washington food-distribution hub): chassis $/day</t>
  </si>
  <si>
    <t xml:space="preserve">D4_linehaul</t>
  </si>
  <si>
    <t xml:space="preserve">Norfolk (Port of Virginia) → Richmond, VA (ZIP 23230 metro warehouses): linehaul</t>
  </si>
  <si>
    <t xml:space="preserve">D4_tolls</t>
  </si>
  <si>
    <t xml:space="preserve">Norfolk (Port of Virginia) → Richmond, VA (ZIP 23230 metro warehouses): tolls</t>
  </si>
  <si>
    <t xml:space="preserve">D4_chassis $/day</t>
  </si>
  <si>
    <t xml:space="preserve">Norfolk (Port of Virginia) → Richmond, VA (ZIP 23230 metro warehouses): chassis $/day</t>
  </si>
  <si>
    <t xml:space="preserve">D5_linehaul</t>
  </si>
  <si>
    <t xml:space="preserve">Savannah → Atlanta, GA (ZIP 30336 – west Atlanta distribution corridor): linehaul</t>
  </si>
  <si>
    <t xml:space="preserve">D5_tolls</t>
  </si>
  <si>
    <t xml:space="preserve">Savannah → Atlanta, GA (ZIP 30336 – west Atlanta distribution corridor): tolls</t>
  </si>
  <si>
    <t xml:space="preserve">D5_chassis $/day</t>
  </si>
  <si>
    <t xml:space="preserve">Savannah → Atlanta, GA (ZIP 30336 – west Atlanta distribution corridor): chassis $/day</t>
  </si>
  <si>
    <t xml:space="preserve">Source Register</t>
  </si>
  <si>
    <t xml:space="preserve">Full register also exported as BigBoxPizza_Source_Register.csv (UTF-8). Access method recorded for every source.</t>
  </si>
  <si>
    <t xml:space="preserve">Title</t>
  </si>
  <si>
    <t xml:space="preserve">Organisation</t>
  </si>
  <si>
    <t xml:space="preserve">URL / path</t>
  </si>
  <si>
    <t xml:space="preserve">Pub. / rev. date</t>
  </si>
  <si>
    <t xml:space="preserve">Access date</t>
  </si>
  <si>
    <t xml:space="preserve">Access method</t>
  </si>
  <si>
    <t xml:space="preserve">Relevant extract</t>
  </si>
  <si>
    <t xml:space="preserve">Claim supported</t>
  </si>
  <si>
    <t xml:space="preserve">Primary / secondary</t>
  </si>
  <si>
    <t xml:space="preserve">Evidence class</t>
  </si>
  <si>
    <t xml:space="preserve">Limitation</t>
  </si>
  <si>
    <t xml:space="preserve">NFC Price Offer NFC-OFFER-2026-0120 (1-page image PDF)</t>
  </si>
  <si>
    <t xml:space="preserve">Nile Factory Carton (NFC), 6th of October City, Giza</t>
  </si>
  <si>
    <t xml:space="preserve">BigBoxPizza/evidence/NFC-OFFER-2026-0120_original.pdf</t>
  </si>
  <si>
    <t xml:space="preserve">2026-09-23</t>
  </si>
  <si>
    <t xml:space="preserve">Direct inspection of file supplied by client</t>
  </si>
  <si>
    <r>
      <rPr>
        <sz val="10"/>
        <rFont val="Calibri"/>
        <family val="0"/>
        <charset val="1"/>
      </rPr>
      <t xml:space="preserve">Lines 3464/3463/3460 SINGLE-E; 355/405/305 x 50 mm; 20,000 each; EGP 8.365/7.900/6.900; subtotal 463,300; tax 14% 64,862; total 528,162; valid until 30/09/2026; payment advance_50; no Incoterm; client '</t>
    </r>
    <r>
      <rPr>
        <sz val="10"/>
        <rFont val="FreeSans"/>
        <family val="2"/>
      </rPr>
      <t xml:space="preserve">ا</t>
    </r>
    <r>
      <rPr>
        <sz val="10"/>
        <rFont val="Calibri"/>
        <family val="0"/>
        <charset val="1"/>
      </rPr>
      <t xml:space="preserve">/ </t>
    </r>
    <r>
      <rPr>
        <sz val="10"/>
        <rFont val="FreeSans"/>
        <family val="2"/>
      </rPr>
      <t xml:space="preserve">انيس شركة توريدات</t>
    </r>
    <r>
      <rPr>
        <sz val="10"/>
        <rFont val="Calibri"/>
        <family val="0"/>
        <charset val="1"/>
      </rPr>
      <t xml:space="preserve">', Alexandria</t>
    </r>
  </si>
  <si>
    <t xml:space="preserve">All supplier quotation facts (prices, quantities, dimensions, tax, validity, payment term)</t>
  </si>
  <si>
    <t xml:space="preserve">Primary</t>
  </si>
  <si>
    <t xml:space="preserve">High (document authenticity not independently verified)</t>
  </si>
  <si>
    <t xml:space="preserve">Expired 30/09/2026; no Incoterm, packing, weights, specs; addressed to domestic Egyptian client; image-only PDF (visual transcription). SHA-256 ecfdf33b...f91b0</t>
  </si>
  <si>
    <t xml:space="preserve">S010</t>
  </si>
  <si>
    <t xml:space="preserve">Harmonized Tariff Schedule of the United States (2026 Rev. 13, 07/28/2026) - heading 4819 / subheading 4819.10.00 (mirror)</t>
  </si>
  <si>
    <t xml:space="preserve">USITC (via HTSHub mirror)</t>
  </si>
  <si>
    <t xml:space="preserve">https://www.htshub.com/us-hs/head/4819</t>
  </si>
  <si>
    <t xml:space="preserve">2026-07-28</t>
  </si>
  <si>
    <t xml:space="preserve">Web-search extract (page not directly retrieved; egress policy blocked direct fetch)</t>
  </si>
  <si>
    <t xml:space="preserve">4819.10.00 Cartons, boxes and cases, of corrugated paper or paperboard - General: Free; stat. suffixes 4819.10.00.20 and 4819.10.00.40; unit kg</t>
  </si>
  <si>
    <t xml:space="preserve">MFN (column 1 general) duty for 4819.10.00 is Free; statistical suffixes .20 and .40 exist</t>
  </si>
  <si>
    <t xml:space="preserve">Secondary (mirror of official HTS)</t>
  </si>
  <si>
    <t xml:space="preserve">Medium-High</t>
  </si>
  <si>
    <t xml:space="preserve">Official content read via a mirror. Official hts.usitc.gov blocked in this session; confirm on live HTS before entry</t>
  </si>
  <si>
    <t xml:space="preserve">S011</t>
  </si>
  <si>
    <t xml:space="preserve">CBP ruling NY N326229 - tariff classification of corrugated paperboard boxes</t>
  </si>
  <si>
    <t xml:space="preserve">U.S. Customs and Border Protection (CROSS)</t>
  </si>
  <si>
    <t xml:space="preserve">https://rulings.cbp.gov/ruling/n326229</t>
  </si>
  <si>
    <t xml:space="preserve">2022 (approx.)</t>
  </si>
  <si>
    <t xml:space="preserve">'The applicable subheading for the corrugated paperboard boxes will be 4819.10.0040... The rate of duty will be free.'</t>
  </si>
  <si>
    <t xml:space="preserve">CBP classifies corrugated paperboard boxes in 4819.10.0040 at Free MFN duty</t>
  </si>
  <si>
    <t xml:space="preserve">Ruling concerns a different product/importer; not binding for BigBoxPizza; not pizza-box specific</t>
  </si>
  <si>
    <t xml:space="preserve">S012</t>
  </si>
  <si>
    <t xml:space="preserve">CBP ruling NY N310192 - corrugated paperboard folding boxes from China</t>
  </si>
  <si>
    <t xml:space="preserve">https://rulings.cbp.gov/ruling/N310192</t>
  </si>
  <si>
    <t xml:space="preserve">2020 (approx.)</t>
  </si>
  <si>
    <t xml:space="preserve">Corrugated folding boxes classified 4819.10.0040; products of China additionally subject to 9903.88.03 (25%)</t>
  </si>
  <si>
    <t xml:space="preserve">Supports 4819.10.0040 for corrugated folding boxes; shows how country-specific Ch.99 duties stack on Free MFN</t>
  </si>
  <si>
    <t xml:space="preserve">Non-food boxes; China-specific Ch.99 not relevant to Egypt</t>
  </si>
  <si>
    <t xml:space="preserve">HTS statistical suffix 4819.10.0020 'Sanitary food and beverage containers' (tariff mirrors)</t>
  </si>
  <si>
    <t xml:space="preserve">Tarifflens / ImportYeti / Credlix mirrors of USITC HTS</t>
  </si>
  <si>
    <t xml:space="preserve">https://www.tarifflens.ai/hts/heading/4819</t>
  </si>
  <si>
    <t xml:space="preserve">2026</t>
  </si>
  <si>
    <t xml:space="preserve">4819.10.00.20 sanitary food and beverage containers; 4819.10.00.40 other; unit kg; duty Free</t>
  </si>
  <si>
    <t xml:space="preserve">A pizza box (food container) is likely reported under statistical suffix 4819.10.0020 rather than .0040</t>
  </si>
  <si>
    <t xml:space="preserve">Secondary</t>
  </si>
  <si>
    <t xml:space="preserve">Unofficial tariff mirror. Statistical suffix choice must be confirmed by broker; no duty impact (both Free)</t>
  </si>
  <si>
    <t xml:space="preserve">S014</t>
  </si>
  <si>
    <t xml:space="preserve">USTR Notice of Final Action - Section 301 investigations of 60 economies (forced labor import bans) [FRN 7-23-26]</t>
  </si>
  <si>
    <t xml:space="preserve">Office of the U.S. Trade Representative</t>
  </si>
  <si>
    <t xml:space="preserve">https://ustr.gov/sites/default/files/files/Press/Releases/2026/FLIP%20301%20Investigation%20Final%20Action%20FRN%207-23-26%20FINAL.pdf</t>
  </si>
  <si>
    <t xml:space="preserve">2026-07-23</t>
  </si>
  <si>
    <t xml:space="preserve">'The Trade Representative has determined to impose 12.5 percent tariffs on products of Egypt, except as provided in Annex I and Annex II, Part A, of this Notice.'</t>
  </si>
  <si>
    <t xml:space="preserve">Egypt-origin products face an additional 12.5% ad valorem Section 301 duty from 24 Jul 2026 unless exempted in Annex II Part A</t>
  </si>
  <si>
    <t xml:space="preserve">High (rate); Medium (product coverage of 4819.10)</t>
  </si>
  <si>
    <t xml:space="preserve">Annex II Part A (2,120 codes) not retrieved; 4819.10 exemption status not confirmed</t>
  </si>
  <si>
    <t xml:space="preserve">S015</t>
  </si>
  <si>
    <t xml:space="preserve">Federal Register doc. 2026-15274 / 2026-15181 - Actions by the United States in the Section 301 investigations of 60 economies (forced labor)</t>
  </si>
  <si>
    <t xml:space="preserve">Federal Register / USTR</t>
  </si>
  <si>
    <t xml:space="preserve">https://www.federalregister.gov/documents/2026/07/28/2026-15274/actions-by-the-united-states-in-the-investigations-under-section-301-of-the-trade-act-of-1974-of-the</t>
  </si>
  <si>
    <t xml:space="preserve">Final action published 28 Jul 2026; Egypt listed at 12.5%; dockets USTR-2026-0265/0266; effective for goods entered on/after 12:01 a.m. ET 24 Jul 2026</t>
  </si>
  <si>
    <t xml:space="preserve">Legal publication and effective date of the Section 301 forced-labor duties</t>
  </si>
  <si>
    <t xml:space="preserve">Annex text not retrieved</t>
  </si>
  <si>
    <t xml:space="preserve">S016</t>
  </si>
  <si>
    <t xml:space="preserve">CSMS # 69326983 - GUIDANCE: Section 301 Forced Labor Import Duties</t>
  </si>
  <si>
    <t xml:space="preserve">U.S. Customs and Border Protection</t>
  </si>
  <si>
    <t xml:space="preserve">https://content.govdelivery.com/accounts/USDHSCBP/bulletins/421d887</t>
  </si>
  <si>
    <t xml:space="preserve">Egypt: heading 9903.05.36, 12.5% additional ad valorem, except products in 9903.05.85-9903.05.92 (in-transit, Note 52 lists, civil aircraft, pharma, Section 232 goods, donations, informational materials)</t>
  </si>
  <si>
    <t xml:space="preserve">CBP implementation: Ch.99 heading 9903.05.36 for Egypt; exemption headings</t>
  </si>
  <si>
    <t xml:space="preserve">Heading-to-exemption mapping taken from secondary summaries of the CSMS; attachment not retrieved</t>
  </si>
  <si>
    <t xml:space="preserve">S017</t>
  </si>
  <si>
    <t xml:space="preserve">Section 301 Forced Labor Tariffs: 2026 Rates (economy table)</t>
  </si>
  <si>
    <t xml:space="preserve">Gateway Lines (freight forwarder)</t>
  </si>
  <si>
    <t xml:space="preserve">https://gatewaylines.com/press-releases/section-301-forced-labor-tariffs</t>
  </si>
  <si>
    <t xml:space="preserve">2026-07</t>
  </si>
  <si>
    <t xml:space="preserve">Egypt 12.5% under heading 9903.05.36; 9903.05.85 in-transit window closed</t>
  </si>
  <si>
    <t xml:space="preserve">Corroborates Egypt rate and heading</t>
  </si>
  <si>
    <t xml:space="preserve">Commercial summary</t>
  </si>
  <si>
    <t xml:space="preserve">S018</t>
  </si>
  <si>
    <t xml:space="preserve">Forced-Labour Section 301 Tariffs on 60 Economies Take Effect on 24 July: An Overview of the Final Action</t>
  </si>
  <si>
    <t xml:space="preserve">Global Trade Alert</t>
  </si>
  <si>
    <t xml:space="preserve">https://globaltradealert.org/blog/forced-labour-section-301-final-action</t>
  </si>
  <si>
    <t xml:space="preserve">Annex II Part A universal exemption list = 2,120 tariff codes, 863 exempt as entered; categories energy, critical minerals, precious metals; agricultural inputs added; Section 232 goods, Ch.98 and USMCA goods excluded</t>
  </si>
  <si>
    <t xml:space="preserve">Structure/categories of exemptions (no paper-packaging category identified)</t>
  </si>
  <si>
    <t xml:space="preserve">Does not list individual HTS codes; absence of 4819 from categories is inference</t>
  </si>
  <si>
    <t xml:space="preserve">S019</t>
  </si>
  <si>
    <t xml:space="preserve">US imposes 12.5 percent tariff on Egypt under new trade measures</t>
  </si>
  <si>
    <t xml:space="preserve">Egyptian Streets (news)</t>
  </si>
  <si>
    <t xml:space="preserve">https://egyptianstreets.com/2026/07/26/us-imposes-12-5-percent-tariff-on-egypt-under-new-trade-measures/</t>
  </si>
  <si>
    <t xml:space="preserve">2026-07-26</t>
  </si>
  <si>
    <t xml:space="preserve">Egyptian goods face 12.5% after temporary 10% global surcharge expired; exemptions for sector-specific (232) goods, certain energy, food, fertilisers</t>
  </si>
  <si>
    <t xml:space="preserve">Egypt-side reporting corroborates 12.5% rate</t>
  </si>
  <si>
    <t xml:space="preserve">News report</t>
  </si>
  <si>
    <t xml:space="preserve">S020</t>
  </si>
  <si>
    <t xml:space="preserve">Trade Court Probes Section 301 Forced-Labor Tariffs / CIT to hear challenge (In re Section 301 Forced Labor Cases)</t>
  </si>
  <si>
    <t xml:space="preserve">ExFreight; Liberty Justice Center</t>
  </si>
  <si>
    <t xml:space="preserve">https://www.exfreight.com/section-301-forced-labor-tariffs-court/</t>
  </si>
  <si>
    <t xml:space="preserve">2026-09/10</t>
  </si>
  <si>
    <t xml:space="preserve">Three-judge CIT panel heard oral argument 30 Sep 2026; no ruling date set</t>
  </si>
  <si>
    <t xml:space="preserve">Legal challenge pending: 12.5% could be invalidated (refund upside) or replaced (downside)</t>
  </si>
  <si>
    <t xml:space="preserve">No ruling found as of access date</t>
  </si>
  <si>
    <t xml:space="preserve">Supreme Court strikes down IEEPA tariffs (Learning Resources, Inc. v. Trump, decided 20 Feb 2026)</t>
  </si>
  <si>
    <t xml:space="preserve">Ropes &amp; Gray / Thomson Reuters (summaries of SCOTUS opinion)</t>
  </si>
  <si>
    <t xml:space="preserve">https://ropesgray.com/en/insights/alerts/2026/02/supreme-court-strikes-down-ieepa-tariffs-key-takeaways-and-implications-for-importers</t>
  </si>
  <si>
    <t xml:space="preserve">2026-02-20</t>
  </si>
  <si>
    <t xml:space="preserve">6-3: IEEPA does not authorize tariffs; IEEPA collection stopped end of 23 Feb 2026; Section 122 10% surcharge from 24 Feb 2026</t>
  </si>
  <si>
    <t xml:space="preserve">IEEPA 'reciprocal' 10% on Egypt no longer applies; do not use 2025 headline rates</t>
  </si>
  <si>
    <t xml:space="preserve">Secondary (law-firm summary of primary opinion)</t>
  </si>
  <si>
    <t xml:space="preserve">Official measure read via a secondary summary. Opinion text not retrieved</t>
  </si>
  <si>
    <t xml:space="preserve">Section 122 surcharge ended July 24, 2026 / Section 122 tariffs explained</t>
  </si>
  <si>
    <t xml:space="preserve">Strix / Transprime / Carra Globe (secondary)</t>
  </si>
  <si>
    <t xml:space="preserve">https://strixsmart.com/section-122-surcharge</t>
  </si>
  <si>
    <t xml:space="preserve">2026-08</t>
  </si>
  <si>
    <t xml:space="preserve">10% Section 122 surcharge ran 24 Feb-24 Jul 2026 and lapsed at the 150-day statutory limit; no congressional extension found</t>
  </si>
  <si>
    <t xml:space="preserve">Section 122 surcharge not in force on the research date</t>
  </si>
  <si>
    <t xml:space="preserve">No CBP cutover CSMS retrieved</t>
  </si>
  <si>
    <t xml:space="preserve">New Section 232 tariffs on timber, lumber and derivative products (Proclamation 10976 summaries)</t>
  </si>
  <si>
    <t xml:space="preserve">Thompson Coburn / Thomson Reuters</t>
  </si>
  <si>
    <t xml:space="preserve">https://www.thompsoncoburn.com/insights/53-september-30-2025-trump-administration-issues-proclamation-imposing-10-25-section-232-tariffs-on-certain-timber-wood-products/</t>
  </si>
  <si>
    <t xml:space="preserve">2025-09-30</t>
  </si>
  <si>
    <t xml:space="preserve">232 wood action covers softwood timber/lumber (ch.44, 10%), certain upholstered seats, kitchen cabinets and vanities; no Chapter 48 paper products mentioned</t>
  </si>
  <si>
    <t xml:space="preserve">No evidence that Section 232 applies to corrugated paper boxes (4819)</t>
  </si>
  <si>
    <t xml:space="preserve">Annex I of the proclamation not retrieved; absence is inference</t>
  </si>
  <si>
    <t xml:space="preserve">Customs User Fees To Be Adjusted for Inflation in Fiscal Year 2027 (CBP Dec. 26-14, 91 FR 48398)</t>
  </si>
  <si>
    <t xml:space="preserve">U.S. Customs and Border Protection / Federal Register doc. 2026-15530</t>
  </si>
  <si>
    <t xml:space="preserve">https://www.federalregister.gov/documents/2026/07/31/2026-15530/customs-user-fees-to-be-adjusted-for-inflation-in-fiscal-year-2027</t>
  </si>
  <si>
    <t xml:space="preserve">2026-07-31</t>
  </si>
  <si>
    <t xml:space="preserve">MPF formal entry 0.3464% ad valorem; minimum $34.58; maximum $670.86, effective 1 Oct 2026 (FY2026: $33.58/$651.50)</t>
  </si>
  <si>
    <t xml:space="preserve">MPF rate and FY2027 min/max</t>
  </si>
  <si>
    <t xml:space="preserve">Figures corroborated by several secondary sources; table not directly opened</t>
  </si>
  <si>
    <t xml:space="preserve">19 CFR 24.24 - Harbor maintenance fee</t>
  </si>
  <si>
    <t xml:space="preserve">Code of Federal Regulations (Cornell LII copy)</t>
  </si>
  <si>
    <t xml:space="preserve">https://www.law.cornell.edu/cfr/text/19/24.24</t>
  </si>
  <si>
    <t xml:space="preserve">current (amended 91 FR 35, 2 Jan 2026)</t>
  </si>
  <si>
    <t xml:space="preserve">Port use fee 0.125% of the value of commercial cargo loaded/unloaded at a covered port; importer pays</t>
  </si>
  <si>
    <t xml:space="preserve">HMF = 0.125% of value for ocean imports through covered ports (NY/NJ, Baltimore, Norfolk, Savannah)</t>
  </si>
  <si>
    <t xml:space="preserve">Content of Jan-2026 amendment not checked</t>
  </si>
  <si>
    <t xml:space="preserve">S026</t>
  </si>
  <si>
    <t xml:space="preserve">19 CFR 152.103 - Transaction value (incl. (a)(5) foreign inland freight)</t>
  </si>
  <si>
    <t xml:space="preserve">Code of Federal Regulations (eCFR / Cornell LII)</t>
  </si>
  <si>
    <t xml:space="preserve">https://www.law.cornell.edu/cfr/text/19/152.103</t>
  </si>
  <si>
    <t xml:space="preserve">(a)(5)(i) Ex-factory sales: if price excludes foreign inland freight and related charges, they are not added; ex-factory sale must be established by the importer</t>
  </si>
  <si>
    <t xml:space="preserve">Customs value for a proven EXW purchase = EXW price + statutory additions (packing, assists etc.); Egyptian inland freight not added</t>
  </si>
  <si>
    <t xml:space="preserve">Burden of proof on importer</t>
  </si>
  <si>
    <t xml:space="preserve">S027</t>
  </si>
  <si>
    <t xml:space="preserve">19 CFR 134.24 / 134.22 - Country of origin marking: containers or holders; usual containers</t>
  </si>
  <si>
    <t xml:space="preserve">Code of Federal Regulations (Cornell LII)</t>
  </si>
  <si>
    <t xml:space="preserve">https://www.law.cornell.edu/cfr/text/19/134.24</t>
  </si>
  <si>
    <t xml:space="preserve">Disposable containers imported empty for sale must be marked with own origin; when sold in multiples, marking outermost container reaching ultimate purchaser ordinarily suffices; firms that fill containers with their products are ultimate purchasers and may be excepted from individual marking, outside wrappings must be marked</t>
  </si>
  <si>
    <t xml:space="preserve">Empty pizza boxes: bundle/outer-wrap 'Made in Egypt' marking likely sufficient if bundles reach the restaurant intact</t>
  </si>
  <si>
    <t xml:space="preserve">Application to pizza boxes should be confirmed by broker/ruling</t>
  </si>
  <si>
    <t xml:space="preserve">S028</t>
  </si>
  <si>
    <t xml:space="preserve">CBP ruling HQ 734027 - marking of disposable paperboard boxes (perfume) imported empty</t>
  </si>
  <si>
    <t xml:space="preserve">U.S. Customs and Border Protection (via Tarifflens mirror)</t>
  </si>
  <si>
    <t xml:space="preserve">https://www.tarifflens.ai/rulings/734027</t>
  </si>
  <si>
    <t xml:space="preserve">1991</t>
  </si>
  <si>
    <t xml:space="preserve">Individual boxes excepted from marking; outside of cartons in which imported must be marked with country of origin</t>
  </si>
  <si>
    <t xml:space="preserve">Analogous precedent for outer-carton marking of empty paperboard containers</t>
  </si>
  <si>
    <t xml:space="preserve">Primary (mirror)</t>
  </si>
  <si>
    <t xml:space="preserve">Old ruling, analogous product</t>
  </si>
  <si>
    <t xml:space="preserve">21 CFR 176.170 - Components of paper and paperboard in contact with aqueous and fatty foods</t>
  </si>
  <si>
    <t xml:space="preserve">Code of Federal Regulations (eCFR, current as of 13 Aug 2026)</t>
  </si>
  <si>
    <t xml:space="preserve">https://www.ecfr.gov/current/title-21/chapter-I/subchapter-B/part-176/subpart-B/section-176.170</t>
  </si>
  <si>
    <t xml:space="preserve">Substances listed may be safely used as components of the uncoated or coated food-contact surface of paper and paperboard intended for aqueous and fatty foods; dry foods (Type VIII) fall under 176.180</t>
  </si>
  <si>
    <t xml:space="preserve">Food-contact surface of pizza boxes (fatty food) must be made from substances authorized under 176.170 (or other valid FDA authorization)</t>
  </si>
  <si>
    <t xml:space="preserve">Table of substances/extractive limits not retrieved; application to a specific board requires supplier declaration</t>
  </si>
  <si>
    <t xml:space="preserve">S031</t>
  </si>
  <si>
    <t xml:space="preserve">FDA announces PFAS used in grease-proofing agents for food packaging no longer being sold in the U.S.</t>
  </si>
  <si>
    <t xml:space="preserve">U.S. Food and Drug Administration</t>
  </si>
  <si>
    <t xml:space="preserve">https://www.fda.gov/food/hfp-constituent-updates/fda-announces-pfas-used-grease-proofing-agents-food-packaging-no-longer-being-sold-us</t>
  </si>
  <si>
    <t xml:space="preserve">2024-02-28</t>
  </si>
  <si>
    <t xml:space="preserve">Grease-proofing substances containing PFAS no longer being sold by manufacturers for food contact use in the U.S. market</t>
  </si>
  <si>
    <t xml:space="preserve">PFAS grease-proofing is commercially unacceptable in US food packaging; buyers will expect PFAS-free declarations</t>
  </si>
  <si>
    <t xml:space="preserve">Voluntary market phase-out; does not by itself ban imports</t>
  </si>
  <si>
    <t xml:space="preserve">S032</t>
  </si>
  <si>
    <t xml:space="preserve">NY Environmental Conservation Law § 37-0209 - PFAS in food packaging (S8817)</t>
  </si>
  <si>
    <t xml:space="preserve">New York State Legislature (via public.law / nysenate.gov)</t>
  </si>
  <si>
    <t xml:space="preserve">https://newyork.public.law/laws/n.y._environmental_conservation_law_section_37-0209</t>
  </si>
  <si>
    <t xml:space="preserve">effective 2022-12-31</t>
  </si>
  <si>
    <t xml:space="preserve">No person shall distribute, sell or offer for sale in this state food packaging containing PFAS as intentionally added chemicals; covers plant-fiber (paper/paperboard) food packaging</t>
  </si>
  <si>
    <t xml:space="preserve">PFAS-free pizza boxes are a legal requirement for sale in New York</t>
  </si>
  <si>
    <t xml:space="preserve">Secondary summaries list pizza boxes as example</t>
  </si>
  <si>
    <t xml:space="preserve">S033</t>
  </si>
  <si>
    <t xml:space="preserve">Maryland SB 273 / HB 275 (Ch. 138, 2022) - PFAS in food packaging from 1 Jan 2024</t>
  </si>
  <si>
    <t xml:space="preserve">Maryland General Assembly (via SGS/BCLP summaries)</t>
  </si>
  <si>
    <t xml:space="preserve">https://www.sgs.com/en-us/news/2022/04/safeguards-05522-maryland-usa-regulates-pfas-in-certain-consumer-goods</t>
  </si>
  <si>
    <t xml:space="preserve">2022-04-21</t>
  </si>
  <si>
    <t xml:space="preserve">Beginning Jan. 1, 2024, prohibited to use, manufacture, sell or distribute food packaging designed for direct food contact that contains intentionally added PFAS</t>
  </si>
  <si>
    <t xml:space="preserve">PFAS-free requirement for Maryland market (Baltimore gateway customers)</t>
  </si>
  <si>
    <t xml:space="preserve">Official measure read via a secondary summary. Statute text not retrieved</t>
  </si>
  <si>
    <t xml:space="preserve">S034</t>
  </si>
  <si>
    <t xml:space="preserve">PFAS in food packaging: state-by-state regulations (updated Dec 2025)</t>
  </si>
  <si>
    <t xml:space="preserve">Bryan Cave Leighton Paisner (BCLP)</t>
  </si>
  <si>
    <t xml:space="preserve">https://www.bclplaw.com/en-US/events-insights-news/pfas-in-food-packaging-state-by-state-regulations.html</t>
  </si>
  <si>
    <t xml:space="preserve">2025-12</t>
  </si>
  <si>
    <t xml:space="preserve">Tracker of state food-packaging PFAS restrictions (CT, ME, MD, NY, VT, RI, MN, CO, WA, CA, OR, etc.)</t>
  </si>
  <si>
    <t xml:space="preserve">Multiple East Coast states restrict intentionally added PFAS in paper food packaging; Virginia/NJ/PA/GA status unconfirmed</t>
  </si>
  <si>
    <t xml:space="preserve">Virginia, NJ, PA, GA status not confirmed in this session</t>
  </si>
  <si>
    <t xml:space="preserve">NYS Hazardous Packaging Act / Toxics in Packaging model legislation</t>
  </si>
  <si>
    <t xml:space="preserve">NYS DEC; Toxics in Packaging Clearinghouse (via SGS)</t>
  </si>
  <si>
    <t xml:space="preserve">https://dec.ny.gov/environmental-protection/pollution-prevention/nys-hazardous-packaging-act</t>
  </si>
  <si>
    <t xml:space="preserve">Sum of lead, cadmium, mercury, hexavalent chromium &lt;= 100 ppm by weight in packaging/packaging components; certificate of compliance to purchasers on request</t>
  </si>
  <si>
    <t xml:space="preserve">Heavy-metal limit and certificate of compliance needed for inks/board sold into TPCH states incl. NY, NJ, CT, RI</t>
  </si>
  <si>
    <t xml:space="preserve">Primary/Secondary</t>
  </si>
  <si>
    <t xml:space="preserve">Exact member-state list not confirmed</t>
  </si>
  <si>
    <t xml:space="preserve">Two FDA Bioterrorism rules exempt food contact substances (registration &amp; prior notice)</t>
  </si>
  <si>
    <t xml:space="preserve">PFFC (trade press, 2003) citing FDA interim final rules; FDA registration Q&amp;A</t>
  </si>
  <si>
    <t xml:space="preserve">https://www.pffc-online.com/magazine/378-paper-two-fda-bioterrorism</t>
  </si>
  <si>
    <t xml:space="preserve">2003</t>
  </si>
  <si>
    <t xml:space="preserve">Definition of 'food' for facility registration and prior notice excludes food contact substances (FFDCA 409(h)(6)); packaging facilities need not register</t>
  </si>
  <si>
    <t xml:space="preserve">No FDA food-facility registration or prior notice is expected for empty pizza boxes</t>
  </si>
  <si>
    <t xml:space="preserve">Official measure read via a secondary summary. Current 21 CFR 1.227/1.276 text not retrieved; broker to confirm no FDA flag on HTS 4819.10</t>
  </si>
  <si>
    <t xml:space="preserve">S037</t>
  </si>
  <si>
    <t xml:space="preserve">ISF 10+2 penalty guidance ($5,000 liquidated damages per violation; filing &gt;=24h before lading)</t>
  </si>
  <si>
    <t xml:space="preserve">FreightWaves reporting CBP guidance; 19 CFR Part 149</t>
  </si>
  <si>
    <t xml:space="preserve">https://www.freightwaves.com/news/cbp-defines-102-penalty</t>
  </si>
  <si>
    <t xml:space="preserve">n.d.</t>
  </si>
  <si>
    <t xml:space="preserve">ISF must be filed at least 24 hours before cargo is laden at foreign port; $5,000 per late/inaccurate filing</t>
  </si>
  <si>
    <t xml:space="preserve">ISF is mandatory for the ocean shipment; needs ISF bond (continuous bond or single ISF bond)</t>
  </si>
  <si>
    <t xml:space="preserve">Official measure read via a secondary summary. Regulation text not retrieved</t>
  </si>
  <si>
    <t xml:space="preserve">Customs bonds 2026: continuous vs single-entry (premium ranges)</t>
  </si>
  <si>
    <t xml:space="preserve">Gingercontrol / ExFreight / Interlog (secondary guides)</t>
  </si>
  <si>
    <t xml:space="preserve">https://gingercontrol.com/blog/single-entry-vs-continuous-bond</t>
  </si>
  <si>
    <t xml:space="preserve">Continuous bond min $50,000 or 10% of prior-year duties/taxes/fees; premium ~$250-600/yr; STB ~$4-7 per $1,000 face, min $35-75; STB face &gt;= value + duties</t>
  </si>
  <si>
    <t xml:space="preserve">Bond cost assumptions</t>
  </si>
  <si>
    <t xml:space="preserve">Market guide. Not a quote</t>
  </si>
  <si>
    <t xml:space="preserve">Customs broker fees 2026: complete cost breakdown</t>
  </si>
  <si>
    <t xml:space="preserve">Suaid Global / Shopappy (secondary guides)</t>
  </si>
  <si>
    <t xml:space="preserve">https://suaidglobal.com/insights/customs-broker-fees-2026/</t>
  </si>
  <si>
    <t xml:space="preserve">Formal entry $150-250 (1-3 lines); complex $250-400; ISF $25-75</t>
  </si>
  <si>
    <t xml:space="preserve">Broker/entry/ISF fee assumptions</t>
  </si>
  <si>
    <t xml:space="preserve">CBP Form 5106 - Create/Update Importer Identity Form</t>
  </si>
  <si>
    <t xml:space="preserve">https://cbp.gov/sites/default/files/2024-06/cbp_form_5106.pdf</t>
  </si>
  <si>
    <t xml:space="preserve">2024-06</t>
  </si>
  <si>
    <t xml:space="preserve">Importer number = IRS EIN, SSN or CBP-assigned number; foreign entities may obtain CBP-assigned number; basis for bond coverage and entry</t>
  </si>
  <si>
    <t xml:space="preserve">A non-US BigBoxPizza entity can in principle be importer of record with a CBP-assigned number + bond + POA to broker</t>
  </si>
  <si>
    <t xml:space="preserve">Supporting-document list varies by secondary source</t>
  </si>
  <si>
    <t xml:space="preserve">S041</t>
  </si>
  <si>
    <t xml:space="preserve">Dry container / high cube dry container specifications (20ft, 40ft, 40ft HC)</t>
  </si>
  <si>
    <t xml:space="preserve">DSV</t>
  </si>
  <si>
    <t xml:space="preserve">https://www.dsv.com/en/our-solutions/modes-of-transport/sea-freight/shipping-container-dimensions/dry-container</t>
  </si>
  <si>
    <t xml:space="preserve">20ft: 5.90 x 2.35 x 2.39 m internal, door 2.34 x 2.28 m, tare ~2,300 kg, payload 25,000 kg, 33.2 m3; 40ft: 12.03 x 2.35 x 2.39 m, door 2.34 x 2.28, tare 3,750 kg, payload 27,600 kg, 67.7 m3; 40HC: 12.03 x 2.35 x 2.70 m, door 2.34 x 2.58, tare 3,940 kg, payload 28,560 kg, ~76.4 m3</t>
  </si>
  <si>
    <t xml:space="preserve">Representative container internal dimensions, door openings, tare and payload</t>
  </si>
  <si>
    <t xml:space="preserve">Secondary (logistics provider spec)</t>
  </si>
  <si>
    <t xml:space="preserve">DSV states figures are representative; actual unit varies by manufacturer/age; carrier-specific sheet not retrieved</t>
  </si>
  <si>
    <t xml:space="preserve">S042</t>
  </si>
  <si>
    <t xml:space="preserve">Maersk equipment flyer (dry containers)</t>
  </si>
  <si>
    <t xml:space="preserve">Maersk</t>
  </si>
  <si>
    <t xml:space="preserve">https://eascpcd.maersk.com/~/media_sc9/maersk/local-information/files/europe/italy/export/equipment-flyer.pdf</t>
  </si>
  <si>
    <t xml:space="preserve">40' High Cube max payload 28,870 kg (flyer layout jumbled)</t>
  </si>
  <si>
    <t xml:space="preserve">Carrier payload cross-check (ocean payload far exceeds US road limit)</t>
  </si>
  <si>
    <t xml:space="preserve">VERIFIED_SUPPLIER</t>
  </si>
  <si>
    <t xml:space="preserve">Carrier's own equipment documentation (equipment supplier). Flyer extract partially garbled</t>
  </si>
  <si>
    <t xml:space="preserve">S043</t>
  </si>
  <si>
    <t xml:space="preserve">Container weight limits for US road drayage (80,000 lb GVW; ~44,000-44,500 lb cargo in 40ft on standard equipment)</t>
  </si>
  <si>
    <t xml:space="preserve">FreightFigures; Techno Group USA (secondary)</t>
  </si>
  <si>
    <t xml:space="preserve">https://www.freightfigures.com/articles/overweight-container-port-of-charleston</t>
  </si>
  <si>
    <t xml:space="preserve">80,000 lb federal gross ceiling; practical cargo ~43,000-44,000 lb in 40ft; triaxle ~44,000 lb (20ft) / 44,500 lb (40ft); axle limits 34,000 lb tandem</t>
  </si>
  <si>
    <t xml:space="preserve">Practical US road cargo limit ~19.9-20.2 t per container without overweight permits</t>
  </si>
  <si>
    <t xml:space="preserve">State rules vary; practical not legal limit</t>
  </si>
  <si>
    <t xml:space="preserve">Drewry World Container Index - 8 Oct and 15 Oct 2026 (incl. Rotterdam-New York lane)</t>
  </si>
  <si>
    <t xml:space="preserve">Drewry (via Drewry site / sourcing.center / DCN reports)</t>
  </si>
  <si>
    <t xml:space="preserve">https://www.drewry.co.uk/supply-chain-advisors/supply-chain-expertise/world-container-index-assessed-by-drewry</t>
  </si>
  <si>
    <t xml:space="preserve">WCI composite $4,485/40ft (15 Oct); Rotterdam-New York $3,091-3,116/40ft (8 Oct data); Shanghai-New York $10,075</t>
  </si>
  <si>
    <t xml:space="preserve">Transatlantic Europe-&gt;USEC spot benchmark ~ $3,100/FEU (proxy, not Egypt)</t>
  </si>
  <si>
    <t xml:space="preserve">Secondary (index)</t>
  </si>
  <si>
    <t xml:space="preserve">No Egypt or Med-USEC lane in WCI</t>
  </si>
  <si>
    <t xml:space="preserve">Baltic Exchange weekly container report - week 40 (2 Oct 2026): FBX21/FBX22</t>
  </si>
  <si>
    <t xml:space="preserve">Baltic Exchange / Freightos</t>
  </si>
  <si>
    <t xml:space="preserve">https://www.balticexchange.com/en/data-services/WeeklyRoundup/Container/News/2026/container-report-week-40.html</t>
  </si>
  <si>
    <t xml:space="preserve">FBX22 Europe-US East Coast $2,723/FEU (from $2,666); FBX21 USEC-Europe $963</t>
  </si>
  <si>
    <t xml:space="preserve">Europe-&gt;USEC spot benchmark</t>
  </si>
  <si>
    <t xml:space="preserve">Proxy lane</t>
  </si>
  <si>
    <t xml:space="preserve">Xeneta weekly ocean container market update (12 Aug 2026)</t>
  </si>
  <si>
    <t xml:space="preserve">Xeneta (via Hellenic Shipping News)</t>
  </si>
  <si>
    <t xml:space="preserve">https://www.hellenicshippingnews.com/xeneta-weekly-ocean-container-shipping-market-update-8/</t>
  </si>
  <si>
    <t xml:space="preserve">North Europe-US East Coast USD 2,741/FEU (+86% since end-Feb 2026)</t>
  </si>
  <si>
    <t xml:space="preserve">Spot benchmark trend</t>
  </si>
  <si>
    <t xml:space="preserve">Two months old; proxy lane</t>
  </si>
  <si>
    <t xml:space="preserve">CMA CGM FAK rates from the Mediterranean to USA &amp; Canada (effective 1 Apr 2026)</t>
  </si>
  <si>
    <t xml:space="preserve">CMA CGM (via AJOT)</t>
  </si>
  <si>
    <t xml:space="preserve">https://www.ajot.com/news/cma-cgm-fak-rates-from-the-mediterranean-to-usa-canada-and-also-tuerkiye-egypt-med-syria-to-australia-new-zealand</t>
  </si>
  <si>
    <t xml:space="preserve">2026-03</t>
  </si>
  <si>
    <t xml:space="preserve">Genoa-New York: 20' USD 2,250 -&gt; 2,750; 40' USD 2,600 -&gt; 3,600; includes basic freight and origin &amp; destination THC; subject to AMS, bunker surcharges, ETS, PSS and other surcharges; origin range includes North Africa</t>
  </si>
  <si>
    <t xml:space="preserve">Mediterranean-&gt;USEC carrier tariff level (best documented proxy for Egypt-&gt;USEC)</t>
  </si>
  <si>
    <t xml:space="preserve">Primary (carrier tariff notice)</t>
  </si>
  <si>
    <t xml:space="preserve">Genoa not Egypt; FAK excludes bunker &amp; other surcharges; Oct-2026 'rate restoration' charge from W. Med not quantified</t>
  </si>
  <si>
    <t xml:space="preserve">Shipping from Egypt to North America and Mexico? A GRI is coming up</t>
  </si>
  <si>
    <t xml:space="preserve">Hapag-Lloyd</t>
  </si>
  <si>
    <t xml:space="preserve">https://www.hapag-lloyd.com/fr/services-information/news/2026/06/shipping-from-egypt-to-usa--canada-and-mexico--a-gri-is-coming-u.html</t>
  </si>
  <si>
    <t xml:space="preserve">2026-06</t>
  </si>
  <si>
    <t xml:space="preserve">GRI USD 300 per 20' dry; USD 600 per 40' dry/40' HC; Egypt to North America &amp; Mexico; gated in full from 1 Jul 2026 until further notice</t>
  </si>
  <si>
    <t xml:space="preserve">Egypt-&gt;US rates were pushed up in Jul 2026; Egypt lane carries its own pricing</t>
  </si>
  <si>
    <t xml:space="preserve">Primary (carrier)</t>
  </si>
  <si>
    <t xml:space="preserve">GRI is an increment, base rate unknown</t>
  </si>
  <si>
    <t xml:space="preserve">Freight rates calculator Egypt -&gt; United States (indicative carrier offers)</t>
  </si>
  <si>
    <t xml:space="preserve">Globy</t>
  </si>
  <si>
    <t xml:space="preserve">https://globy.com/freight-calculator/from-egypt/to-united-states</t>
  </si>
  <si>
    <t xml:space="preserve">2025-2026 (validity mostly expired)</t>
  </si>
  <si>
    <t xml:space="preserve">Alexandria-New York 20' ~USD 1,336, 26 days (indicative, expired validity); Hapag-Lloyd/MSC/ONE Alexandria-New York 25-33 days; Damietta-Atlanta 20' USD 2,299</t>
  </si>
  <si>
    <t xml:space="preserve">Routing exists Alexandria-&gt;New York with 25-33 day transit; indicative 20' price points</t>
  </si>
  <si>
    <t xml:space="preserve">Secondary (marketplace)</t>
  </si>
  <si>
    <t xml:space="preserve">Low-Medium</t>
  </si>
  <si>
    <t xml:space="preserve">Stale market data. Validity expired; may exclude surcharges</t>
  </si>
  <si>
    <t xml:space="preserve">Hapag-Lloyd Egypt local charges (export THC Alexandria / Damietta / AICT)</t>
  </si>
  <si>
    <t xml:space="preserve">https://www.hapag-lloyd.com/content/dam/website/downloads/pdf/Locals_EG.pdf</t>
  </si>
  <si>
    <t xml:space="preserve">2024-2026 (various effective dates)</t>
  </si>
  <si>
    <t xml:space="preserve">Export THC Damietta USD 150 (20') / 220 (40') from 1 Jul 2026; Alexandria USD 130 / 201 from 1 Jul 2025; AICT USD 120 / 175</t>
  </si>
  <si>
    <t xml:space="preserve">Egyptian export THC per container</t>
  </si>
  <si>
    <t xml:space="preserve">Primary (carrier tariff)</t>
  </si>
  <si>
    <t xml:space="preserve">Carrier-specific; documentation/BL/equipment-release fees not shown in extract</t>
  </si>
  <si>
    <t xml:space="preserve">S051</t>
  </si>
  <si>
    <t xml:space="preserve">Container freight Egypt: routes, transshipment and surcharge structure (2026)</t>
  </si>
  <si>
    <t xml:space="preserve">Seagate Express (Egyptian forwarder blog)</t>
  </si>
  <si>
    <t xml:space="preserve">https://seagateexpress.com/container-freight-egypt/</t>
  </si>
  <si>
    <t xml:space="preserve">Egypt-USA usually transships at a Mediterranean hub; 22-35 days to East Coast; BAF 10-30%; base rate 60-70% of invoice</t>
  </si>
  <si>
    <t xml:space="preserve">Transit time range and surcharge share for Egypt-&gt;USEC</t>
  </si>
  <si>
    <t xml:space="preserve">Vendor marketing content</t>
  </si>
  <si>
    <t xml:space="preserve">Drayage costs 2025-2026: base rates and accessorials</t>
  </si>
  <si>
    <t xml:space="preserve">GetTransport blog (secondary)</t>
  </si>
  <si>
    <t xml:space="preserve">https://blog.gettransport.com/trends-in-logistic/drayage-costs-chassis-problem-cut-port-dwell/</t>
  </si>
  <si>
    <t xml:space="preserve">40ft base $250-500 national; chassis $20-40/day; chassis split $25-75; FSC 15-25% of base; congestion $100+; accessorials add 15-30%</t>
  </si>
  <si>
    <t xml:space="preserve">Accessorial structure for drayage estimates</t>
  </si>
  <si>
    <t xml:space="preserve">Vendor content. Not lane-specific</t>
  </si>
  <si>
    <t xml:space="preserve">Charleston vs Savannah import comparison - Savannah drayage zones 2026</t>
  </si>
  <si>
    <t xml:space="preserve">FreightFigures</t>
  </si>
  <si>
    <t xml:space="preserve">https://www.freightfigures.com/articles/charleston-vs-savannah-import-comparison</t>
  </si>
  <si>
    <t xml:space="preserve">2026-02</t>
  </si>
  <si>
    <t xml:space="preserve">Savannah drayage Zone 1 (0-25 mi) $400-600 ... Zone 4 (101-200 mi) $900-1,400</t>
  </si>
  <si>
    <t xml:space="preserve">Distance-band drayage anchors</t>
  </si>
  <si>
    <t xml:space="preserve">Guide, not a tariff</t>
  </si>
  <si>
    <t xml:space="preserve">Chassis fees explained (2026 per-day ranges NY/NJ, Savannah)</t>
  </si>
  <si>
    <t xml:space="preserve">OTrucking guide</t>
  </si>
  <si>
    <t xml:space="preserve">https://otrucking.com/resources/guides/chassis-fees-explained/</t>
  </si>
  <si>
    <t xml:space="preserve">NY/NJ (Port Newark) $28-45/day; Savannah $22-38/day; pools bill per calendar day</t>
  </si>
  <si>
    <t xml:space="preserve">Chassis per-day assumption</t>
  </si>
  <si>
    <t xml:space="preserve">Guide. Not pool tariff</t>
  </si>
  <si>
    <t xml:space="preserve">Container devanning cost 2026 (floor-loaded 40ft hand-unload)</t>
  </si>
  <si>
    <t xml:space="preserve">https://www.freightfigures.com/articles/container-devanning-cost</t>
  </si>
  <si>
    <t xml:space="preserve">Devan-and-palletize floor-loaded 40ft $350-600 flat or $0.30-0.55 per carton; pallets/stretch wrap $8-16 per pallet</t>
  </si>
  <si>
    <t xml:space="preserve">Unloading cost assumption</t>
  </si>
  <si>
    <t xml:space="preserve">Guide; customer may self-unload</t>
  </si>
  <si>
    <t xml:space="preserve">PANYNJ Cargo Facility Charge Annual Report 2026</t>
  </si>
  <si>
    <t xml:space="preserve">Port Authority of New York &amp; New Jersey</t>
  </si>
  <si>
    <t xml:space="preserve">https://www.panynj.gov/content/dam/port/customer-library-pdfs/CFC-Annual-Report-2026.pdf</t>
  </si>
  <si>
    <t xml:space="preserve">CFC $14.80 per loaded TEU in 2026 (+$0.75); applies only to laden containers</t>
  </si>
  <si>
    <t xml:space="preserve">NY/NJ port-specific charge per loaded TEU (usually passed through by carrier)</t>
  </si>
  <si>
    <t xml:space="preserve">Collection route (carrier vs cargo) varies</t>
  </si>
  <si>
    <t xml:space="preserve">US import demurrage/detention tariffs and free time 2026</t>
  </si>
  <si>
    <t xml:space="preserve">Maersk US import detention tariff (1 Jan 2026); Arkas Line USEC D&amp;D tariff (19 Mar 2026); FreightFigures guide</t>
  </si>
  <si>
    <t xml:space="preserve">https://eascpcd.maersk.com/~/media_sc9/maersk/local-information/files/north-america/united-states-of-america/import/us-import-detention-tariff-effective-01-jan-2026.pdf</t>
  </si>
  <si>
    <t xml:space="preserve">Free time in working days; NY/NJ ~4-5 days demurrage free; Savannah ~5-7; charges ~$150-300 per container per day for first tier</t>
  </si>
  <si>
    <t xml:space="preserve">Free-time and disruption-cost assumptions</t>
  </si>
  <si>
    <t xml:space="preserve">Dollar tiers not in extract; booking-specific</t>
  </si>
  <si>
    <t xml:space="preserve">S060</t>
  </si>
  <si>
    <t xml:space="preserve">VAT refund from ETA / VAT refund cases (Article 30, VAT Law 67/2016 as amended by Law 3/2022)</t>
  </si>
  <si>
    <t xml:space="preserve">Mondaq (Egyptian law-firm commentary); Andersen Egypt</t>
  </si>
  <si>
    <t xml:space="preserve">https://www.mondaq.com/sales-taxes-vat-gst/1550770/vat-refund-from-eta</t>
  </si>
  <si>
    <t xml:space="preserve">2024-2025</t>
  </si>
  <si>
    <t xml:space="preserve">Exports zero-rated; Art.30: input VAT on exported goods refunded within 45 days of documented application, capped at credit balance, export proceeds via CBE-supervised banks, export value not lower than inputs</t>
  </si>
  <si>
    <t xml:space="preserve">An Egyptian VAT-registered exporter can recover 14% input VAT; a direct export sale by NFC should be zero-rated</t>
  </si>
  <si>
    <t xml:space="preserve">Secondary (legal commentary on primary law)</t>
  </si>
  <si>
    <t xml:space="preserve">Official measure read via a secondary summary. Official law text/executive regulations not retrieved; must be confirmed by Egyptian tax adviser</t>
  </si>
  <si>
    <t xml:space="preserve">S061</t>
  </si>
  <si>
    <t xml:space="preserve">Egypt introduces unified VAT refund system to accelerate procedures (ETA head)</t>
  </si>
  <si>
    <t xml:space="preserve">Daily News Egypt / Zawya</t>
  </si>
  <si>
    <t xml:space="preserve">https://www.dailynewsegypt.com/?p=848671</t>
  </si>
  <si>
    <t xml:space="preserve">2025-2026</t>
  </si>
  <si>
    <t xml:space="preserve">Refund period reduced to 20 days; review of applications cut to two working days</t>
  </si>
  <si>
    <t xml:space="preserve">Refund timing may be ~20-45 days after application (cash-flow drag on VAT-inclusive purchase)</t>
  </si>
  <si>
    <t xml:space="preserve">Secondary (news)</t>
  </si>
  <si>
    <t xml:space="preserve">Administrative target, not statutory</t>
  </si>
  <si>
    <t xml:space="preserve">Law No. 118 of 1975 on Import and Export (Art. 4 exporters register) and Ministerial Decree 770/2005</t>
  </si>
  <si>
    <t xml:space="preserve">Andersen Egypt (copy of law); Mondaq guide 'Exporting from Egypt'</t>
  </si>
  <si>
    <t xml:space="preserve">https://eg.andersen.com/wp-content/uploads/2025/09/Law-No.-118-of-1975.pdf</t>
  </si>
  <si>
    <t xml:space="preserve">1975 / 2005</t>
  </si>
  <si>
    <t xml:space="preserve">Art.4: export only allowed by those registered in the exporters register at the Ministry of Commerce; eligible applicants: Egyptian joint-stock companies, public institutions, cooperatives, individuals/companies meeting ministerial conditions</t>
  </si>
  <si>
    <t xml:space="preserve">A foreign buyer without an Egyptian registered exporter cannot itself perform Egyptian export clearance; EXW is impractical, FCA (seller as exporter) or an Egyptian exporter-intermediary is needed</t>
  </si>
  <si>
    <t xml:space="preserve">Primary (law copy) / Secondary</t>
  </si>
  <si>
    <t xml:space="preserve">Practice under EXW should be confirmed by an Egyptian customs broker</t>
  </si>
  <si>
    <t xml:space="preserve">Central Bank of Egypt - official exchange rates (USD) 14-15 Oct 2026</t>
  </si>
  <si>
    <t xml:space="preserve">Central Bank of Egypt (cbe.org.eg homepage extract) and press report</t>
  </si>
  <si>
    <t xml:space="preserve">https://www.cbe.org.eg/en/</t>
  </si>
  <si>
    <t xml:space="preserve">2026-10-14/15</t>
  </si>
  <si>
    <t xml:space="preserve">USD Buy 53.0544 / Sell 53.1544 (14 Oct 2026); press 15 Oct: CBE EGP 53.04 buy / 53.18 sell</t>
  </si>
  <si>
    <t xml:space="preserve">Base FX = 53.04 EGP per USD (CBE buy rate, 15 Oct 2026)</t>
  </si>
  <si>
    <t xml:space="preserve">Read via search extract; no 16 Oct figure; commercial bank rate/spread will differ</t>
  </si>
  <si>
    <t xml:space="preserve">Egyptian pound movements 2026 (pre-war 47.64; &gt;53.5 late March; ~50.6 mid-July; ~52 late July)</t>
  </si>
  <si>
    <t xml:space="preserve">Ahram Online / Egyptian Streets</t>
  </si>
  <si>
    <t xml:space="preserve">https://english.ahram.org.eg/NewsContent/3/12/567974/Business/Economy/Egyptian-pound-weakens--against-US-dollar-since-ou.aspx</t>
  </si>
  <si>
    <t xml:space="preserve">2026-03 to 2026-07</t>
  </si>
  <si>
    <t xml:space="preserve">Pound weakened 10.4% vs pre-war level; dollar 47.64 (22 Feb), &gt;53.50 late March, ~50.6-51 mid-July</t>
  </si>
  <si>
    <t xml:space="preserve">2026 EGP/USD range ~47.6-54.6 used to bound FX scenarios</t>
  </si>
  <si>
    <t xml:space="preserve">Press figures differ slightly by bank/date</t>
  </si>
  <si>
    <t xml:space="preserve">Egypt's pound seen at 49 per dollar by end of FY2026/2027 (Reuters poll)</t>
  </si>
  <si>
    <t xml:space="preserve">Business Today Egypt (Reuters poll)</t>
  </si>
  <si>
    <t xml:space="preserve">https://www.businesstodayegypt.com/amp/1/7698/Egypt's-pound-seen-at-49-per-dollar-by-end-of</t>
  </si>
  <si>
    <t xml:space="preserve">Economists forecast EGP strengthening to 49 per USD by end-June 2027</t>
  </si>
  <si>
    <t xml:space="preserve">Adverse FX (EGP appreciation) stress case = 49.0 EGP/USD</t>
  </si>
  <si>
    <t xml:space="preserve">Forecast, not a fact</t>
  </si>
  <si>
    <t xml:space="preserve">S066</t>
  </si>
  <si>
    <t xml:space="preserve">Truck haulage tariff from Alexandria &amp; Dekheila ports to governorates (Truck Owners Association list, 2025)</t>
  </si>
  <si>
    <t xml:space="preserve">Al Mal News (Arabic)</t>
  </si>
  <si>
    <t xml:space="preserve">https://almalnews.com/1941118/</t>
  </si>
  <si>
    <t xml:space="preserve">2025</t>
  </si>
  <si>
    <t xml:space="preserve">40ft: Borg El Arab/Kafr El Dawwar EGP 6,300; Beheira km50/Abu Hommos EGP 6,900; Hosh Issa/El Bustan EGP 7,500; Sadat/Tanta ~EGP 9,500</t>
  </si>
  <si>
    <t xml:space="preserve">Anchor for Egyptian inland trucking estimate (6th of October not listed)</t>
  </si>
  <si>
    <t xml:space="preserve">Secondary (news of association tariff)</t>
  </si>
  <si>
    <t xml:space="preserve">2025 prices; 6th of October not listed; escalated for distance and 2026 diesel</t>
  </si>
  <si>
    <t xml:space="preserve">S067</t>
  </si>
  <si>
    <t xml:space="preserve">Alexandria port trucking tariff (older list): October/Damietta/Abu Rawash EGP 3,900 (20') / 5,200 (40')</t>
  </si>
  <si>
    <t xml:space="preserve">https://almalnews.com/1459365/</t>
  </si>
  <si>
    <t xml:space="preserve">pre-2025 (date unclear)</t>
  </si>
  <si>
    <t xml:space="preserve">Alexandria port &lt;-&gt; October area EGP 3,900 per 20', EGP 5,200 per 40'; Cairo 5,500; 10th Ramadan/Obour 5,850</t>
  </si>
  <si>
    <t xml:space="preserve">Historic relationship: October area priced ~ Cairo level (used for relative distance scaling)</t>
  </si>
  <si>
    <t xml:space="preserve">Stale</t>
  </si>
  <si>
    <t xml:space="preserve">S068</t>
  </si>
  <si>
    <t xml:space="preserve">Egypt diesel prices (EGP 20.50/L on 7 Sep 2026; record set 9 Mar 2026) and Oct-2025 increase to EGP 17.50</t>
  </si>
  <si>
    <t xml:space="preserve">GlobalPetrolPrices.com; Business Today Egypt</t>
  </si>
  <si>
    <t xml:space="preserve">https://www.globalpetrolprices.com/Egypt/diesel_prices/</t>
  </si>
  <si>
    <t xml:space="preserve">2026-09-07</t>
  </si>
  <si>
    <t xml:space="preserve">Diesel EGP 20.50/L (Sep 2026), unchanged 3 months; Oct-2025 EGP 17.50</t>
  </si>
  <si>
    <t xml:space="preserve">Diesel +17% since the 2025 trucking tariff -&gt; escalation factor</t>
  </si>
  <si>
    <t xml:space="preserve">Tracker site</t>
  </si>
  <si>
    <t xml:space="preserve">Alexandria's container operator is raising terminal fees (new export charges from 1 Sep 2026)</t>
  </si>
  <si>
    <t xml:space="preserve">EnterpriseAM</t>
  </si>
  <si>
    <t xml:space="preserve">https://enterpriseam.com/logistics/2026/07/29/alexandrias-container-operator-is-raising-terminal-fees-just-as-egypts-ports-pick-up-rerouted-gulf-trade/</t>
  </si>
  <si>
    <t xml:space="preserve">2026-07-29</t>
  </si>
  <si>
    <t xml:space="preserve">ACCHC: full export container entry USD 15-20; container movement for weighing USD 30-60; inspection USD 32-64; retention in inspection yard USD 10-20; collected in EGP</t>
  </si>
  <si>
    <t xml:space="preserve">Egyptian port/terminal export charges per container</t>
  </si>
  <si>
    <t xml:space="preserve">Secondary (business news)</t>
  </si>
  <si>
    <t xml:space="preserve">Ranges; terminal-specific</t>
  </si>
  <si>
    <t xml:space="preserve">Maersk Egypt export detention &amp; demurrage tariff (effective 1 Aug 2026)</t>
  </si>
  <si>
    <t xml:space="preserve">https://www.maersk.com/local-information/europe/egypt/export</t>
  </si>
  <si>
    <t xml:space="preserve">2026-08-01</t>
  </si>
  <si>
    <t xml:space="preserve">Dry 20': free days 1-3, then USD 14/day (days 4-10), 26 (11-14); dry 40': USD 28 (4-10), 50 (11-14)</t>
  </si>
  <si>
    <t xml:space="preserve">Origin free time is short (3 days) - factory loading must be scheduled</t>
  </si>
  <si>
    <t xml:space="preserve">Carrier-specific</t>
  </si>
  <si>
    <t xml:space="preserve">Egypt eyes expanding QIZ membership as talks open to reduce Israeli content requirement</t>
  </si>
  <si>
    <t xml:space="preserve">https://enterpriseam.com/egypt/2026/02/26/egypt-eyes-expanding-qiz-membership-as-talks-open-to-reduce-israeli-content-requirement/</t>
  </si>
  <si>
    <t xml:space="preserve">2026-02-26</t>
  </si>
  <si>
    <t xml:space="preserve">Israeli content 10.5%; talks to cut to 5-8%; QIZ exports enjoyed zero duties under (Feb-2026) tariff regime; QIZ dominated by garments; 150-200 active companies</t>
  </si>
  <si>
    <t xml:space="preserve">QIZ is a theoretical but unproven route; eligibility of NFC/product and interaction with Section 301 unconfirmed</t>
  </si>
  <si>
    <t xml:space="preserve">Predates Section 301 FL action; zone list not retrieved</t>
  </si>
  <si>
    <t xml:space="preserve">Incoterms 2020: EXW or FCA?</t>
  </si>
  <si>
    <t xml:space="preserve">ICC Academy (International Chamber of Commerce)</t>
  </si>
  <si>
    <t xml:space="preserve">https://academy.iccwbo.org/incoterms/article/incoterms-2020-exw-or-fca/</t>
  </si>
  <si>
    <t xml:space="preserve">2020+</t>
  </si>
  <si>
    <t xml:space="preserve">EXW: seller makes goods available, no obligation to load or clear for export; FCA: seller clears for export and loads at its premises; traders strongly encouraged to consider FCA instead of EXW where goods cross a border</t>
  </si>
  <si>
    <t xml:space="preserve">Recommend FCA (named factory) instead of EXW</t>
  </si>
  <si>
    <t xml:space="preserve">Primary (rules publisher)</t>
  </si>
  <si>
    <t xml:space="preserve">Incoterms text itself is proprietary</t>
  </si>
  <si>
    <t xml:space="preserve">Choice 14" x 14" x 2" Kraft Corrugated Pizza Box - 50/Bundle (245CPB14PRINT)</t>
  </si>
  <si>
    <t xml:space="preserve">WebstaurantStore</t>
  </si>
  <si>
    <t xml:space="preserve">https://www.webstaurantstore.com/choice-14-x-14-x-2-kraft-corrugated-pizza-box-50-case/245CPB14PRINT.html</t>
  </si>
  <si>
    <t xml:space="preserve">snapshot (Oct 2026 search)</t>
  </si>
  <si>
    <t xml:space="preserve">$20.99/bundle ($0.42 ea), discounted $19.49 ($0.39 ea); B-flute, 1/8" thick; recycled; shipping weight 20.85 lb</t>
  </si>
  <si>
    <t xml:space="preserve">14" B-flute online restaurant-supply price and weight (~189 g/box)</t>
  </si>
  <si>
    <t xml:space="preserve">Market listing</t>
  </si>
  <si>
    <t xml:space="preserve">Advertised small-quantity price, not negotiated; shipping terms vary</t>
  </si>
  <si>
    <t xml:space="preserve">Choice 12" x 12" x 2" Customizable Kraft Corrugated E-Flute Pizza Box - 50/Bundle (245CPB12EPRINT)</t>
  </si>
  <si>
    <t xml:space="preserve">https://www.webstaurantstore.com/choice-12-x-12-x-2-kraft-corrugated-e-flute-pizza-box-bundle/245CPB12EPRINT.html</t>
  </si>
  <si>
    <t xml:space="preserve">$15.99/bundle ($0.32 ea); $14.99 for 2+ ($0.30 ea); E-flute; 100% recycled; no intentionally added PFAS; bundle 15 lb</t>
  </si>
  <si>
    <t xml:space="preserve">Closest US equivalent to SKU 3460 (12" E-flute): price and weight (~136 g/box)</t>
  </si>
  <si>
    <t xml:space="preserve">Advertised price</t>
  </si>
  <si>
    <t xml:space="preserve">Choice 12" x 12" x 2" Kraft Corrugated Pizza Box - 50/Bundle (B-flute, 245CPB12PRINT)</t>
  </si>
  <si>
    <t xml:space="preserve">https://www.webstaurantstore.com/choice-12-x-12-x-2-kraft-corrugated-pizza-box-50-case/245CPB12PRINT.html</t>
  </si>
  <si>
    <t xml:space="preserve">snapshot</t>
  </si>
  <si>
    <t xml:space="preserve">$19.99/bundle ($0.40); $18.99 (3-9 bundles); $14.99 (10+ bundles, $0.30 ea); B-flute 1/8"</t>
  </si>
  <si>
    <t xml:space="preserve">Volume-tier pricing shows ~25% discount at 10+ bundles</t>
  </si>
  <si>
    <t xml:space="preserve">Choice 16" x 16" x 2" White / Kraft Corrugated Pizza Box - 50/Bundle (search listings)</t>
  </si>
  <si>
    <t xml:space="preserve">https://www.webstaurantstore.com/search/16x16-pizza-box.html</t>
  </si>
  <si>
    <t xml:space="preserve">White 16x16x2 $22.99/bundle ($0.46 ea); kraft 16x16x2 $22.49 ($0.45 ea); 14x14x2 kraft plain customizable $18.99 ($0.38); 14" kraft bulk pack $22.49</t>
  </si>
  <si>
    <t xml:space="preserve">16" and 14" online prices (B-flute class)</t>
  </si>
  <si>
    <t xml:space="preserve">Search-page snapshot, flute not confirmed for every item</t>
  </si>
  <si>
    <t xml:space="preserve">Uline Plain Pizza Boxes 14 x 14 x 2" White (S-17593) and 12 x 12 x 2" (S-17592)</t>
  </si>
  <si>
    <t xml:space="preserve">https://www.uline.com/Product/Detail/S-17593/Take-Out-Containers/Plain-Pizza-Boxes-14-x-14-x-2-White</t>
  </si>
  <si>
    <t xml:space="preserve">snapshot 2026-10-12</t>
  </si>
  <si>
    <t xml:space="preserve">14": $54/bundle of 50 (1), $51 (2+) =&gt; $1.02-1.08 ea; 12": $41/$39 per 50</t>
  </si>
  <si>
    <t xml:space="preserve">Premium industrial-catalog price ceiling (not a realistic wholesale benchmark)</t>
  </si>
  <si>
    <t xml:space="preserve">Premium white-exterior product</t>
  </si>
  <si>
    <t xml:space="preserve">Costco Business Center pizza boxes (Vital International Solutions 14"/16" B-flute; Star Pizza 14"/16" kraft) and warehouse price tracker</t>
  </si>
  <si>
    <t xml:space="preserve">Costco Business Delivery; WarehouseRunner tracker</t>
  </si>
  <si>
    <t xml:space="preserve">https://app.warehouserunner.com/costco/1984293-vital-solutions-14-pizza-box-50-ct</t>
  </si>
  <si>
    <t xml:space="preserve">2026-04 / 2026</t>
  </si>
  <si>
    <t xml:space="preserve">14" pre-printed B-flute 50ct: $21.39-$28.29, avg $23.25 across 25 warehouses (~$0.47/box); 16" plain 50ct $24.15 (17 Apr 2026, ~$0.48/box)</t>
  </si>
  <si>
    <t xml:space="preserve">Cash-and-carry club price benchmark</t>
  </si>
  <si>
    <t xml:space="preserve">Market listing / tracker</t>
  </si>
  <si>
    <t xml:space="preserve">Third-party tracker; member prices</t>
  </si>
  <si>
    <t xml:space="preserve">Imperial Dade catalog: Arvco 14x14x1.88 and 16x16x1.88 kraft E-flute pizza boxes; PCA/W Packaging/Boxtech 14x14x2 B-flute</t>
  </si>
  <si>
    <t xml:space="preserve">Imperial Dade (distributor)</t>
  </si>
  <si>
    <t xml:space="preserve">https://www.imperialdade.com/catalog/product-detail/16-in-kraft-kraft-square-corrugated-cardboard-e-flute-pizza-box-microwave-safe-ov?id=360983</t>
  </si>
  <si>
    <t xml:space="preserve">E-flute 14"/16" kraft pizza boxes exist in US distribution (Arvco); 50-count bundles; price login-gated</t>
  </si>
  <si>
    <t xml:space="preserve">US market for 14"/16" E-flute exists (niche); B-flute dominant</t>
  </si>
  <si>
    <t xml:space="preserve">No price</t>
  </si>
  <si>
    <t xml:space="preserve">Arvco 14" kraft pizza box 50-pack listing (weight 20 lb; case 36 x 6 x 18 in)</t>
  </si>
  <si>
    <t xml:space="preserve">Aztec (aztekc.com) distributor listing</t>
  </si>
  <si>
    <t xml:space="preserve">https://www.aztekc.com/boxpizzaflute14kft50-arvco-containers/p</t>
  </si>
  <si>
    <t xml:space="preserve">14 x 14 x 1.75 in kraft fluted pizza box, 50/pack, 20 lb, dimensions 36 x 6 x 18 in</t>
  </si>
  <si>
    <t xml:space="preserve">Calibration of flat-blank geometry: blank ~36 x 18 in for 14 x 14 x 1.75 in box (L ~ 2L+4.5H; W ~ W+2H); ~3 mm per B-flute blank</t>
  </si>
  <si>
    <t xml:space="preserve">Whether 36x6x18 is bundle or shipping case not stated</t>
  </si>
  <si>
    <t xml:space="preserve">PMQ Think Tank threads on pizza box prices (16" costs, importer container-scale quote)</t>
  </si>
  <si>
    <t xml:space="preserve">PMQ Pizza Magazine forum</t>
  </si>
  <si>
    <t xml:space="preserve">https://thinktank.pmq.com/t/corrugated-pizza-box-prices/1288</t>
  </si>
  <si>
    <t xml:space="preserve">Franchise store $0.442 per 16" box; importer container-scale quote 16" B-flute $9.87 per 50 ($0.197/box) before freight; owners paying ~$0.60</t>
  </si>
  <si>
    <t xml:space="preserve">Indicates competing importers price 16" ~$0.20 FOB; operator buy prices ~$0.44-0.60</t>
  </si>
  <si>
    <t xml:space="preserve">Forum (unverified)</t>
  </si>
  <si>
    <t xml:space="preserve">Unverified forum anecdote; undated</t>
  </si>
  <si>
    <t xml:space="preserve">E-flute vs B-flute (thickness, flutes per foot, strength, insulation, typical pizza sizes)</t>
  </si>
  <si>
    <t xml:space="preserve">WebstaurantStore blog; Racklify; Performance Foodservice</t>
  </si>
  <si>
    <t xml:space="preserve">https://www.webstaurantstore.com/blog/1138/types-and-sizes-of-corrugated-boxes.html</t>
  </si>
  <si>
    <t xml:space="preserve">E-flute ~1/16" (1.2-1.8 mm), 90-100 flutes/ft; B-flute ~1/8" (2.5-3.5 mm), 47-53 flutes/ft; B-flute better stacking/insulation for large pizzas; lines offer E-flute 10"-12", B-flute 14"-18" (custom Michigan E-flute 7"-18")</t>
  </si>
  <si>
    <t xml:space="preserve">'SINGLE-E' likely = single-wall E-flute; less rigid/insulating than the US-standard B-flute at 14"/16"</t>
  </si>
  <si>
    <t xml:space="preserve">Generic; NFC board not tested</t>
  </si>
  <si>
    <t xml:space="preserve">S083</t>
  </si>
  <si>
    <t xml:space="preserve">2026 Pizza Industry Trends Report (IBISWorld data: 75,736 US pizzerias in 2025; revenue $49.5bn)</t>
  </si>
  <si>
    <t xml:space="preserve">Pizza Today</t>
  </si>
  <si>
    <t xml:space="preserve">https://pizzatoday.com/?p=615558</t>
  </si>
  <si>
    <t xml:space="preserve">Projected 75,736 pizzerias in the US in 2025; revenue ~$49.5bn</t>
  </si>
  <si>
    <t xml:space="preserve">Size of end-user base (not BigBoxPizza's addressable market)</t>
  </si>
  <si>
    <t xml:space="preserve">Market research estimate</t>
  </si>
  <si>
    <t xml:space="preserve">S084</t>
  </si>
  <si>
    <t xml:space="preserve">US pizza market, mapped (June 2026) - top 4 chains ~21,000 of ~75,000 units</t>
  </si>
  <si>
    <t xml:space="preserve">Orbital</t>
  </si>
  <si>
    <t xml:space="preserve">https://withorbital.com/data/largest-pizza-chains-in-the-us/</t>
  </si>
  <si>
    <t xml:space="preserve">Domino's, Pizza Hut, Little Caesars, Papa John's run ~28% of ~75,000 US pizza restaurants</t>
  </si>
  <si>
    <t xml:space="preserve">Large chains use contracted (often custom-printed) supply; independents buy via distributors/cash-and-carry</t>
  </si>
  <si>
    <t xml:space="preserve">Internal inconsistency noted by search</t>
  </si>
  <si>
    <t xml:space="preserve">S085</t>
  </si>
  <si>
    <t xml:space="preserve">Roma (Performance Food Group) - pizza-segment distributor, Metro NY (Elizabeth, NJ)</t>
  </si>
  <si>
    <t xml:space="preserve">Performance Food Group</t>
  </si>
  <si>
    <t xml:space="preserve">https://pfgc.com/About/Roma</t>
  </si>
  <si>
    <t xml:space="preserve">Roma: leading supplier to pizza restaurants; acquired by PFG 2008; Metro NY operation in Elizabeth, NJ</t>
  </si>
  <si>
    <t xml:space="preserve">Publicly identifiable prospect type: pizza-specialist broadline distributor</t>
  </si>
  <si>
    <t xml:space="preserve">Company website</t>
  </si>
  <si>
    <t xml:space="preserve">No demand evidence</t>
  </si>
  <si>
    <t xml:space="preserve">S086</t>
  </si>
  <si>
    <t xml:space="preserve">Yellow Pages Egypt - corrugated carton / pizza box manufacturers (6th of October, Alexandria, Belbeis)</t>
  </si>
  <si>
    <t xml:space="preserve">Yellow Pages Egypt (directory)</t>
  </si>
  <si>
    <t xml:space="preserve">https://yellowpages.com.eg/en/keyword/pizza-box</t>
  </si>
  <si>
    <t xml:space="preserve">New Golden Pack (Plot 448, 3rd Ind. Zone ext., 6th of October, 20+ yrs, pizza boxes); Techno Rapid (6th of October); El Dawlya Co. for Corrugated Carton (6th of October); Blupack (6th of October); El Zahabia (export claims); WePack (Belbeis; ISO 9001/22000/45001 claims)</t>
  </si>
  <si>
    <t xml:space="preserve">Alternative Egyptian suppliers to approach with the standard RFQ</t>
  </si>
  <si>
    <t xml:space="preserve">Directory (self-reported)</t>
  </si>
  <si>
    <t xml:space="preserve">Unverified self-reported directory listing; not vetted</t>
  </si>
  <si>
    <t xml:space="preserve">S087</t>
  </si>
  <si>
    <t xml:space="preserve">Cepack Group (corrugated carton manufacturer since 1998; 10th of Ramadan and New Borg El Arab plants)</t>
  </si>
  <si>
    <t xml:space="preserve">HSA Group</t>
  </si>
  <si>
    <t xml:space="preserve">https://hsagroup.com/explore-hsa-business/our-companies/industrial-companies/cepack-group.aspx</t>
  </si>
  <si>
    <t xml:space="preserve">Leading corrugated carton manufacturer in Egypt since 1998; plants in 10th of Ramadan City and New Borg El Arab</t>
  </si>
  <si>
    <t xml:space="preserve">Established large-scale alternative supplier to benchmark NFC</t>
  </si>
  <si>
    <t xml:space="preserve">Pizza-box capability not confirmed</t>
  </si>
  <si>
    <t xml:space="preserve">S088</t>
  </si>
  <si>
    <t xml:space="preserve">Search log: no independent public record found for 'Nile Factory Carton', nilecarton.com, +2 01224494481, tax ID 552-782-209</t>
  </si>
  <si>
    <t xml:space="preserve">BigBoxPizza research team (search log)</t>
  </si>
  <si>
    <t xml:space="preserve">BigBoxPizza/working/02_research_log.md (search log, no web page)</t>
  </si>
  <si>
    <t xml:space="preserve">2026-10-15/16</t>
  </si>
  <si>
    <t xml:space="preserve">Multiple web searches (English and Arabic); direct site fetch blocked</t>
  </si>
  <si>
    <t xml:space="preserve">Zero matching results in English and Arabic searches; Egyptian Yellow Pages listings do not include NFC</t>
  </si>
  <si>
    <t xml:space="preserve">NFC identity and manufacturer status are UNVERIFIED (absence of evidence, not evidence of unreliability)</t>
  </si>
  <si>
    <t xml:space="preserve">Research log</t>
  </si>
  <si>
    <t xml:space="preserve">nilecarton.com could not be opened from this environment</t>
  </si>
  <si>
    <t xml:space="preserve">Marine cargo insurance rates 2026 (typical percentages); Allianz cargo PDS illustration</t>
  </si>
  <si>
    <t xml:space="preserve">LogRock guide; Allianz Malaysia product disclosure</t>
  </si>
  <si>
    <t xml:space="preserve">https://www.logrock.com/uncategorized/marine-cargo-insurance-rates/</t>
  </si>
  <si>
    <t xml:space="preserve">Premium = (CIF + 10%) x rate; general cargo ~0.10-0.60%; ICC(A) illustration 0.15% + war/strikes 0.05% each</t>
  </si>
  <si>
    <t xml:space="preserve">Insurance premium assumption</t>
  </si>
  <si>
    <t xml:space="preserve">Not a quote; minimum premium not found</t>
  </si>
  <si>
    <t xml:space="preserve">S090</t>
  </si>
  <si>
    <t xml:space="preserve">ISPM 15 and US import requirements for wood packaging material (APHIS, 7 CFR 319.40)</t>
  </si>
  <si>
    <t xml:space="preserve">IPPC / USDA APHIS (via IPPC document, NELMA manual)</t>
  </si>
  <si>
    <t xml:space="preserve">https://www.ippc.int/sites/default/files/documents/1110806941500_Chapter_11_US_import_requirements_2_E.pdf</t>
  </si>
  <si>
    <t xml:space="preserve">2005+</t>
  </si>
  <si>
    <t xml:space="preserve">Wood pallets/dunnage must be heat-treated (56C core 30 min) or MB-fumigated and marked (IPPC logo, country code, facility, HT); non-compliant WPM may be refused</t>
  </si>
  <si>
    <t xml:space="preserve">If palletized, pallets must be ISPM-15 HT-marked (cost and compliance item)</t>
  </si>
  <si>
    <t xml:space="preserve">eCFR text not retrieved</t>
  </si>
  <si>
    <t xml:space="preserve">Customs holds and exams - VACIS/tailgate/intensive exam costs</t>
  </si>
  <si>
    <t xml:space="preserve">Flexport help centre; FreightRight KB</t>
  </si>
  <si>
    <t xml:space="preserve">https://www.flexport.com/help/customs-holds-and-exams/</t>
  </si>
  <si>
    <t xml:space="preserve">VACIS/tailgate ~$150-350 per container (excl. drayage); intensive CES exam $1,000-2,500+; importer pays</t>
  </si>
  <si>
    <t xml:space="preserve">Disruption-scenario exam costs</t>
  </si>
  <si>
    <t xml:space="preserve">Port-specific</t>
  </si>
  <si>
    <t xml:space="preserve">PFAS testing costs (total fluorine screening; targeted LC-MS/MS)</t>
  </si>
  <si>
    <t xml:space="preserve">HQTS; Scion Research</t>
  </si>
  <si>
    <t xml:space="preserve">https://www.hqts.com/?p=183995</t>
  </si>
  <si>
    <t xml:space="preserve">Total fluorine screening a few hundred USD per sample; LC-MS/MS $400-700 per sample</t>
  </si>
  <si>
    <t xml:space="preserve">Pre-shipment lab budget</t>
  </si>
  <si>
    <t xml:space="preserve">Not a quote</t>
  </si>
  <si>
    <t xml:space="preserve">Distributor gross margin references (Sysco gross margin history; US Foodservice FY1998 10-K 18.9%)</t>
  </si>
  <si>
    <t xml:space="preserve">Macrotrends; SEC EDGAR</t>
  </si>
  <si>
    <t xml:space="preserve">https://www.macrotrends.net/stocks/charts/SYY/sysco/gross-margin</t>
  </si>
  <si>
    <t xml:space="preserve">2025 / 1998</t>
  </si>
  <si>
    <t xml:space="preserve">Broadline foodservice distributor gross margins ~18-19%; street accounts higher margin than chains</t>
  </si>
  <si>
    <t xml:space="preserve">Distributor margin assumption (20-30% for disposables) used to translate resale prices into wholesale buy prices</t>
  </si>
  <si>
    <t xml:space="preserve">Broadline/food-heavy, dated</t>
  </si>
  <si>
    <t xml:space="preserve">S094</t>
  </si>
  <si>
    <t xml:space="preserve">Drayage per-mile benchmarks (spot ~$2.45/mi, contract ~$2.71/mi, Aug 2026); Savannah-Atlanta $800-1,200 (3PL page)</t>
  </si>
  <si>
    <t xml:space="preserve">OTrucking dispatcher page; Fulfill.com</t>
  </si>
  <si>
    <t xml:space="preserve">https://otrucking.com/dispatch/drayage/</t>
  </si>
  <si>
    <t xml:space="preserve">Drayage spot ~$2.45/mile, contract ~$2.71/mile; Savannah-&gt;Atlanta DC $800-1,200</t>
  </si>
  <si>
    <t xml:space="preserve">Cross-check for long-haul drayage estimates</t>
  </si>
  <si>
    <t xml:space="preserve">Marketing pages</t>
  </si>
  <si>
    <t xml:space="preserve">CMA CGM announces new FAK rates and surcharges from October 2026 (US/Canada rate restoration from W. Med)</t>
  </si>
  <si>
    <t xml:space="preserve">Container News</t>
  </si>
  <si>
    <t xml:space="preserve">https://container-news.com/cma-cgm-announces-new-fak-rates-and-surcharges-from-october/</t>
  </si>
  <si>
    <t xml:space="preserve">Rate restoration charges to US/Canada from West Mediterranean ports from 1 Oct 2026</t>
  </si>
  <si>
    <t xml:space="preserve">Upward pressure on Med-&gt;USEC rates in Q4 2026 (supports stress case)</t>
  </si>
  <si>
    <t xml:space="preserve">Amount not captured; West Med not Egypt</t>
  </si>
  <si>
    <t xml:space="preserve">S096</t>
  </si>
  <si>
    <t xml:space="preserve">US highway cargo limits per container on standard chassis (~17,000-19,500 kg) / 20ft &amp; 40ft container specs</t>
  </si>
  <si>
    <t xml:space="preserve">Suaid Global planning guide; ship4wd container guide</t>
  </si>
  <si>
    <t xml:space="preserve">https://suaidglobal.com/insights/shipping-container-types-dimensions/</t>
  </si>
  <si>
    <t xml:space="preserve">US highway limits roughly 17,000-19,500 kg of cargo per container on a standard chassis; ship4wd: 38,000 lb (20') / 44,000 lb (40') practical payload via NY port</t>
  </si>
  <si>
    <t xml:space="preserve">Road cargo limits used: 20' 17,237 kg (38,000 lb), 40'/HC 19,958 kg (44,000 lb)</t>
  </si>
  <si>
    <t xml:space="preserve">State-specific limits and tri-axle options not modelled</t>
  </si>
  <si>
    <t xml:space="preserve">S097</t>
  </si>
  <si>
    <t xml:space="preserve">Notice of Extension of the Deadline for Determining the Adequacy of the AD and CVD Petitions: Certain Corrugated Die-Cut Cardboard Boxes From China, Malaysia, and Türkiye</t>
  </si>
  <si>
    <t xml:space="preserve">Federal Register / U.S. Department of Commerce (doc. 2026-20257)</t>
  </si>
  <si>
    <t xml:space="preserve">https://www.federalregister.gov/documents/2026/10/02/2026-20257/notice-of-extension-of-the-deadline-for-determining-the-adequacy-of-the-antidumping-and</t>
  </si>
  <si>
    <t xml:space="preserve">Petitions received 9 Sep 2026 from the American Pizza Boxes Manufacturers Coalition and the USW; Commerce extended the initiation deadline</t>
  </si>
  <si>
    <t xml:space="preserve">Active US trade-remedy case on imported pizza boxes (Egypt not named)</t>
  </si>
  <si>
    <t xml:space="preserve">Initiation not yet confirmed at access date</t>
  </si>
  <si>
    <t xml:space="preserve">S098</t>
  </si>
  <si>
    <t xml:space="preserve">Smurfit Westrock, Pratt seek investigation into 'unfairly traded' pizza box imports</t>
  </si>
  <si>
    <t xml:space="preserve">Packaging Dive</t>
  </si>
  <si>
    <t xml:space="preserve">https://www.packagingdive.com/news/usitc-commerce-pizza-boxes-unfair-trade-duties-smurfit-westrock-pratt-industries/829983/</t>
  </si>
  <si>
    <t xml:space="preserve">2026-09</t>
  </si>
  <si>
    <t xml:space="preserve">Coalition = Smurfit Westrock + Pratt Industries; alleged dumping margins China 96.62-568.50%, Malaysia 110.73%, Turkey 120.65-210.37%; imports +130% 2023-2025; ~3 billion pizza boxes made in US per year (Pratt)</t>
  </si>
  <si>
    <t xml:space="preserve">US industry structure and import competition; scale of US market</t>
  </si>
  <si>
    <t xml:space="preserve">Secondary (trade press)</t>
  </si>
  <si>
    <t xml:space="preserve">Petitioner allegations</t>
  </si>
  <si>
    <t xml:space="preserve">U.S. Opens Probe Into Pizza Box Imports / Petition summary (volumes and landed duty-paid values)</t>
  </si>
  <si>
    <t xml:space="preserve">Paper Advance; International Trade Insights (petition summary)</t>
  </si>
  <si>
    <t xml:space="preserve">https://www.paperadvance.com/news/industry-news/u-s-opens-probe-into-pizza-box-imports.html</t>
  </si>
  <si>
    <t xml:space="preserve">Subject imports 40.2 million lb (2023) -&gt; 92.4 million lb (2025); landed duty-paid value $33.2m -&gt; $68.3m; +46% H1-2026 vs H1-2025</t>
  </si>
  <si>
    <t xml:space="preserve">Import-parity benchmark: subject imports land at ~$0.74/lb duty-paid (2025)</t>
  </si>
  <si>
    <t xml:space="preserve">Secondary (petition data)</t>
  </si>
  <si>
    <t xml:space="preserve">Petitioner data; per-lb comparison ignores flute/print mix</t>
  </si>
  <si>
    <t xml:space="preserve">S100</t>
  </si>
  <si>
    <t xml:space="preserve">New AD/CVD petitions on corrugated pizza boxes from China, Malaysia and Türkiye (law-firm alerts)</t>
  </si>
  <si>
    <t xml:space="preserve">Faegre Drinker; Clark Hill</t>
  </si>
  <si>
    <t xml:space="preserve">https://www.faegredrinker.com/en/insights/publications/2026/9/new-antidumping-duty-and-countervailing-duty-petitions-on-corrugated-pizza-boxes-from-china-malaysia-and-turkiye</t>
  </si>
  <si>
    <t xml:space="preserve">AD on all three; CVD on Türkiye; ITC preliminary vote ~23-26 Oct 2026; final determinations likely late 2027</t>
  </si>
  <si>
    <t xml:space="preserve">Timeline of the trade remedy; risk that new import sources (e.g., Egypt) could be targeted if volumes surge</t>
  </si>
  <si>
    <t xml:space="preserve">Dates vary by source</t>
  </si>
  <si>
    <t xml:space="preserve">HTS 4823.90.86 and 4808.10.00 general rates (tariff mirrors)</t>
  </si>
  <si>
    <t xml:space="preserve">Unisco / Wove / USTariffRates mirrors of USITC HTS</t>
  </si>
  <si>
    <t xml:space="preserve">https://www.unisco.com/hts/48239086</t>
  </si>
  <si>
    <t xml:space="preserve">4823.90.86 (other articles of paper) General: Free; 4808.10.00 (corrugated paper and paperboard) General: Free</t>
  </si>
  <si>
    <t xml:space="preserve">Alternative classifications are also MFN Free, so classification risk does not change ordinary duty</t>
  </si>
  <si>
    <t xml:space="preserve">Secondary (mirror)</t>
  </si>
  <si>
    <t xml:space="preserve">Mirror sites</t>
  </si>
  <si>
    <t xml:space="preserve">S102</t>
  </si>
  <si>
    <t xml:space="preserve">US pizza-box case prices: October 2026 price check (65 listings, 28 sellers)</t>
  </si>
  <si>
    <t xml:space="preserve">BigBoxPizza research team (compiled from search-result extracts)</t>
  </si>
  <si>
    <t xml:space="preserve">BigBoxPizza/data/us_pizza_box_prices_2026-10-16.csv</t>
  </si>
  <si>
    <t xml:space="preserve">Regular case-of-50 averages $0.44 (12"), $0.57 (14"), $0.64 (16") per box; cheapest regular $0.32 / $0.38 / $0.47; best bulk or sale $0.30 / $0.34 / $0.39</t>
  </si>
  <si>
    <t xml:space="preserve">What US pizzerias pay per box, by size and buying channel; basis of the market-average what-if</t>
  </si>
  <si>
    <t xml:space="preserve">Market listings (compiled)</t>
  </si>
  <si>
    <t xml:space="preserve">Single-case asking prices read from search-result extracts (pages not opened); container-lot buyers pay less; two snapshots of the 12" WebstaurantStore B-flute listing disagree ($19.99 vs $16.99)</t>
  </si>
  <si>
    <t xml:space="preserve">Quote Requests &amp; Missing Data</t>
  </si>
  <si>
    <t xml:space="preserve">Ranked by impact and urgency. 'Blocks' = SHIPMENT (resolve before paying/shipping), PRICING (decision-relevant) or PRECISION.</t>
  </si>
  <si>
    <t xml:space="preserve">Missing fact</t>
  </si>
  <si>
    <t xml:space="preserve">Potential impact</t>
  </si>
  <si>
    <t xml:space="preserve">Provisional treatment</t>
  </si>
  <si>
    <t xml:space="preserve">Evidence required</t>
  </si>
  <si>
    <t xml:space="preserve">Best placed to supply</t>
  </si>
  <si>
    <t xml:space="preserve">Blocks</t>
  </si>
  <si>
    <t xml:space="preserve">Priority</t>
  </si>
  <si>
    <t xml:space="preserve">G01</t>
  </si>
  <si>
    <t xml:space="preserve">Achievable US wholesale price for E-flute 12"/14"/16" boxes bought in container lots (written buyer quotes / letters of intent)</t>
  </si>
  <si>
    <t xml:space="preserve">Selling price is the single largest driver of the decision; benchmark is derived from online listings, not transactions.</t>
  </si>
  <si>
    <t xml:space="preserve">Selling price −15% / +15% moves contribution margin by −26 / +19 points; zero contribution needs prices 55% above the benchmark on the quoted order.</t>
  </si>
  <si>
    <t xml:space="preserve">Online listing × (1 − E-flute discount, applied to the 14"/16" B-flute listings only) × (1 − buyer resale margin): 3464 $0.234, 3463 $0.270, 3460 $0.225 (BASE).</t>
  </si>
  <si>
    <t xml:space="preserve">Signed RFQ responses or LOIs from ≥3 wholesale buyers stating price, specification, volume and delivery point.</t>
  </si>
  <si>
    <t xml:space="preserve">US distributors / cash-and-carry / regional pizza groups (RFQ 4)</t>
  </si>
  <si>
    <t xml:space="preserve">PRICING</t>
  </si>
  <si>
    <t xml:space="preserve">G02</t>
  </si>
  <si>
    <t xml:space="preserve">Whether HTS 4819.10 from Egypt is caught by the 12.5% Section 301 forced-labor duty (9903.05.36) or exempt under Annex II Part A; status of the CIT challenge</t>
  </si>
  <si>
    <t xml:space="preserve">Additional duty is the only legal cost that can disappear or rise by government action.</t>
  </si>
  <si>
    <t xml:space="preserve">12.5% of customs value ≈ $0.019 per box in BASE ($0.027 in STRESS) on the quoted order; 0% improves GM by 7.6 points.</t>
  </si>
  <si>
    <t xml:space="preserve">12.5% in BASE and STRESS; 0% only in LOW.</t>
  </si>
  <si>
    <t xml:space="preserve">Licensed customs broker written confirmation against the July-2026 notice annexes and CSMS 69326983 attachment; docket monitoring.</t>
  </si>
  <si>
    <t xml:space="preserve">US customs broker / trade counsel (RFQ 3)</t>
  </si>
  <si>
    <t xml:space="preserve">G03</t>
  </si>
  <si>
    <t xml:space="preserve">Current NFC price, validity, Incoterm (FCA vs EXW, 2020 edition) and named place, inclusions (loading, bundling, export clearance), payment milestones</t>
  </si>
  <si>
    <t xml:space="preserve">Quote expired 30-Sep-2026; no Incoterm printed; supplier price is 50% of delivered cost.</t>
  </si>
  <si>
    <t xml:space="preserve">±10% supplier price ⇒ ±$0.017 per box; required cut for 25% GM ≈ −68% on the quoted order.</t>
  </si>
  <si>
    <t xml:space="preserve">Expired prices used as reference; LOW −5%, STRESS +10%.</t>
  </si>
  <si>
    <t xml:space="preserve">Signed, dated re-quotation on letterhead naming the buyer entity, FCA named place and validity ≥30 days.</t>
  </si>
  <si>
    <t xml:space="preserve">NFC (RFQ 1)</t>
  </si>
  <si>
    <t xml:space="preserve">SHIPMENT</t>
  </si>
  <si>
    <t xml:space="preserve">G04</t>
  </si>
  <si>
    <t xml:space="preserve">NFC legal identity, manufacturer status and bank-account ownership</t>
  </si>
  <si>
    <t xml:space="preserve">No independent public record was found; bank name printed 'FAP MISR'; signature name differs from printed name.</t>
  </si>
  <si>
    <t xml:space="preserve">Total loss of the 50% advance in a fraud scenario: $4,389 before VAT ($5,004 with VAT) in BASE; $4,031–$6,019 from LOW to STRESS.</t>
  </si>
  <si>
    <t xml:space="preserve">UNRESOLVED – no payment assumed until verified.</t>
  </si>
  <si>
    <t xml:space="preserve">Commercial-registry extract, tax card, industrial registry/licence, factory video audit or visit, bank letter confirming beneficiary; call-back on independently sourced number.</t>
  </si>
  <si>
    <t xml:space="preserve">NFC; Egyptian commercial registry; BigBoxPizza's Egyptian bank</t>
  </si>
  <si>
    <t xml:space="preserve">G05</t>
  </si>
  <si>
    <t xml:space="preserve">Board specification and food-contact documentation (flute, liner/medium gsm, recycled content, coatings, inks, adhesives; 21 CFR 176.170/176.260 compliance declaration; PFAS-free and heavy-metal certificates)</t>
  </si>
  <si>
    <t xml:space="preserve">'SINGLE-E' does not establish construction or compliance; US buyers expect PFAS-free and TPCH heavy-metal certificates; NY and MD prohibit intentionally added PFAS.</t>
  </si>
  <si>
    <t xml:space="preserve">Non-compliance can block sale or create liability; weaker board may be unsaleable for 14"/16".</t>
  </si>
  <si>
    <t xml:space="preserve">Assumed E-flute ≈420 g/m² in BASE (400–480), calibrated to a US 12" E-flute bundle weight; compliance UNRESOLVED.</t>
  </si>
  <si>
    <t xml:space="preserve">Spec sheet per SKU, supplier declaration of compliance, third-party PFAS (total fluorine) and heavy-metal test reports, sample testing.</t>
  </si>
  <si>
    <t xml:space="preserve">NFC; accredited lab</t>
  </si>
  <si>
    <t xml:space="preserve">G06</t>
  </si>
  <si>
    <t xml:space="preserve">Inside vs outside dimensions; die-line drawings; nominal size of 3464 (brief '5 × 5 × 5.5 inch' vs document 5×35.5×35.5); whether 3460 is a complete box</t>
  </si>
  <si>
    <t xml:space="preserve">US boxes are sold by inside dimension; 405 mm outside would be too small for a 16" pizza.</t>
  </si>
  <si>
    <t xml:space="preserve">Wrong size = unsaleable product.</t>
  </si>
  <si>
    <t xml:space="preserve">Quoted L×W×H used as given; descriptions preserved; discrepancy flagged.</t>
  </si>
  <si>
    <t xml:space="preserve">Dimensioned drawings and physical samples.</t>
  </si>
  <si>
    <t xml:space="preserve">G07</t>
  </si>
  <si>
    <t xml:space="preserve">Exporter of record in Egypt and VAT treatment (zero-rated direct export vs domestic sale with refund)</t>
  </si>
  <si>
    <t xml:space="preserve">Export requires an Exporters-Register entry (Law 118/1975); quote is addressed to a domestic Alexandria company with 14% VAT.</t>
  </si>
  <si>
    <t xml:space="preserve">VAT 14% ≈ $1,229 cash on the quoted order; non-recoverable VAT adds ≈$0.023/box.</t>
  </si>
  <si>
    <t xml:space="preserve">BASE: paid and refunded after 60 days; LOW: zero-rated; STRESS: not recoverable.</t>
  </si>
  <si>
    <t xml:space="preserve">Egyptian tax adviser opinion; confirmation of exporter registration of the exporting entity.</t>
  </si>
  <si>
    <t xml:space="preserve">Egyptian tax adviser / customs broker / NFC</t>
  </si>
  <si>
    <t xml:space="preserve">G08</t>
  </si>
  <si>
    <t xml:space="preserve">Written ocean-freight, origin and destination quotes (20'/40'/HC; NY/NJ, Baltimore, Norfolk, Savannah; door delivery)</t>
  </si>
  <si>
    <t xml:space="preserve">Ocean freight is the second-largest cost (≈$0.068/box on the quoted order).</t>
  </si>
  <si>
    <t xml:space="preserve">LOW / STRESS freight levels move delivered cost by −$0.019 / +$0.017 per box.</t>
  </si>
  <si>
    <t xml:space="preserve">Estimated from CMA CGM Med FAK, Hapag-Lloyd Egypt GRI, FBX22, WCI.</t>
  </si>
  <si>
    <t xml:space="preserve">Itemised forwarder quotes with validity, inclusions/exclusions and free time.</t>
  </si>
  <si>
    <t xml:space="preserve">Egyptian forwarders (RFQ 2)</t>
  </si>
  <si>
    <t xml:space="preserve">G09</t>
  </si>
  <si>
    <t xml:space="preserve">Blank and bundle geometry: flat blank size, blanks per bundle, bundle size/weight, palletisation option, NFC load plan</t>
  </si>
  <si>
    <t xml:space="preserve">Units per container drive the per-box share of fixed logistics cost.</t>
  </si>
  <si>
    <t xml:space="preserve">LOW→STRESS geometry (stacking pitch 1.5→1.8 mm, loading efficiency 97%→90%) cuts 40' HC equal-mix capacity by 24% (84,000→64,200 boxes); the quoted order does not fit a 40' GP under STRESS.</t>
  </si>
  <si>
    <t xml:space="preserve">Parametric die-line estimate calibrated to a US 14" box; 50 blanks/bundle.</t>
  </si>
  <si>
    <t xml:space="preserve">Bundle drawings, weights and NFC container load plan.</t>
  </si>
  <si>
    <t xml:space="preserve">PRECISION</t>
  </si>
  <si>
    <t xml:space="preserve">G10</t>
  </si>
  <si>
    <t xml:space="preserve">US importer-of-record structure (entity, CBP Form 5106, bond, broker power of attorney)</t>
  </si>
  <si>
    <t xml:space="preserve">Without an IOR the goods cannot be entered; IOR carries legal liability for classification and value.</t>
  </si>
  <si>
    <t xml:space="preserve">One-time set-up $0–$2,500 (BASE $750); bond and broker fees per entry.</t>
  </si>
  <si>
    <t xml:space="preserve">Single-transaction bond assumed; set-up shown separately.</t>
  </si>
  <si>
    <t xml:space="preserve">Broker onboarding pack; decision on entity/third-party IOR.</t>
  </si>
  <si>
    <t xml:space="preserve">BigBoxPizza; US customs broker</t>
  </si>
  <si>
    <t xml:space="preserve">G11</t>
  </si>
  <si>
    <t xml:space="preserve">Customer receiving requirements (floor-loaded acceptance, appointment windows, unloading fees, pallet requirements)</t>
  </si>
  <si>
    <t xml:space="preserve">Floor-loaded flat bundles require hand unloading (≈9.9–11.8 t for the quoted order; up to ≈15.1 t for a full single-size 40' HC).</t>
  </si>
  <si>
    <t xml:space="preserve">Unloading $250–$650 per 40' ($0 if the customer unloads); palletising would reduce container capacity.</t>
  </si>
  <si>
    <t xml:space="preserve">Floor-loaded, live unload, BigBoxPizza pays $450 per 40' (BASE).</t>
  </si>
  <si>
    <t xml:space="preserve">Buyer receiving guide / RFQ answers.</t>
  </si>
  <si>
    <t xml:space="preserve">US buyers (RFQ 4)</t>
  </si>
  <si>
    <t xml:space="preserve">G12</t>
  </si>
  <si>
    <t xml:space="preserve">Drayage quotes per destination (incl. chassis, fuel, tolls, waiting time) and free-time terms</t>
  </si>
  <si>
    <t xml:space="preserve">Distance-band estimates are vendor-guide quality.</t>
  </si>
  <si>
    <t xml:space="preserve">Delivery cost per container versus BASE: −$340 to −$550 at LOW rates and +$1,200 to +$1,500 under STRESS (incl. disruption accessorials), depending on destination.</t>
  </si>
  <si>
    <t xml:space="preserve">ESTIMATED per destination.</t>
  </si>
  <si>
    <t xml:space="preserve">Two drayage quotes per lane.</t>
  </si>
  <si>
    <t xml:space="preserve">US truckers/forwarder</t>
  </si>
  <si>
    <t xml:space="preserve">G13</t>
  </si>
  <si>
    <t xml:space="preserve">Country-of-origin marking method ('Made in Egypt' on bundle wraps vs each box)</t>
  </si>
  <si>
    <t xml:space="preserve">19 CFR 134.24 allows outer-container marking if users are 'ultimate purchasers' – broker should confirm.</t>
  </si>
  <si>
    <t xml:space="preserve">Printing each box would add cost; improper marking risks delays/marking duties.</t>
  </si>
  <si>
    <t xml:space="preserve">Bundle-wrap marking assumed, no extra cost.</t>
  </si>
  <si>
    <t xml:space="preserve">Broker confirmation or CBP ruling.</t>
  </si>
  <si>
    <t xml:space="preserve">US customs broker</t>
  </si>
  <si>
    <t xml:space="preserve">G14</t>
  </si>
  <si>
    <t xml:space="preserve">State-specific packaging obligations for target buyers (NY/MD PFAS, TPCH heavy-metals certificate, packaging EPR)</t>
  </si>
  <si>
    <t xml:space="preserve">Several East-Coast states regulate food packaging.</t>
  </si>
  <si>
    <t xml:space="preserve">Documentation cost; sales restrictions if non-compliant.</t>
  </si>
  <si>
    <t xml:space="preserve">Testing budget included in selling costs.</t>
  </si>
  <si>
    <t xml:space="preserve">Buyer compliance requirements; legal review.</t>
  </si>
  <si>
    <t xml:space="preserve">Buyers; regulatory counsel</t>
  </si>
  <si>
    <t xml:space="preserve">G15</t>
  </si>
  <si>
    <t xml:space="preserve">Insurance quote (rate, deductible, exclusions, minimum premium)</t>
  </si>
  <si>
    <t xml:space="preserve">Small but mandatory risk transfer.</t>
  </si>
  <si>
    <t xml:space="preserve">$50–$100 per shipment in the model (the minimum premium binds).</t>
  </si>
  <si>
    <t xml:space="preserve">0.25% of (CIF + 10%), minimum $75 (BASE).</t>
  </si>
  <si>
    <t xml:space="preserve">Insurer/forwarder quote.</t>
  </si>
  <si>
    <t xml:space="preserve">Cargo insurer / forwarder</t>
  </si>
  <si>
    <t xml:space="preserve">G16</t>
  </si>
  <si>
    <t xml:space="preserve">Statistical suffix (4819.10.0020 'sanitary food containers' vs .0040) and broker classification confirmation</t>
  </si>
  <si>
    <t xml:space="preserve">Correct entry data; no duty difference (both Free).</t>
  </si>
  <si>
    <t xml:space="preserve">Nil on duty; compliance accuracy.</t>
  </si>
  <si>
    <t xml:space="preserve">4819.10.0020 provisionally.</t>
  </si>
  <si>
    <t xml:space="preserve">Broker classification note; optional binding ruling.</t>
  </si>
  <si>
    <t xml:space="preserve">G17</t>
  </si>
  <si>
    <t xml:space="preserve">Lead time, capacity, QC procedure and tolerances</t>
  </si>
  <si>
    <t xml:space="preserve">Drives cash timing and quality risk.</t>
  </si>
  <si>
    <t xml:space="preserve">Lead time 14–35 days in model.</t>
  </si>
  <si>
    <t xml:space="preserve">21 days BASE.</t>
  </si>
  <si>
    <t xml:space="preserve">NFC production plan, QC checklist.</t>
  </si>
  <si>
    <t xml:space="preserve">G18</t>
  </si>
  <si>
    <t xml:space="preserve">Tooling/plate/die and printing charges</t>
  </si>
  <si>
    <t xml:space="preserve">EGP 0–25,000 one-off.</t>
  </si>
  <si>
    <t xml:space="preserve">EGP 0 BASE; EGP 25,000 STRESS.</t>
  </si>
  <si>
    <t xml:space="preserve">Re-quote line items.</t>
  </si>
  <si>
    <t xml:space="preserve">G19</t>
  </si>
  <si>
    <t xml:space="preserve">Developments in the AD/CVD case on pizza boxes from China, Malaysia and Türkiye</t>
  </si>
  <si>
    <t xml:space="preserve">Duties on those origins could lift US import prices (opportunity) but an Egyptian surge could attract a new petition (risk).</t>
  </si>
  <si>
    <t xml:space="preserve">Market-price and trade-remedy exposure.</t>
  </si>
  <si>
    <t xml:space="preserve">Not modelled numerically; tracked as risk.</t>
  </si>
  <si>
    <t xml:space="preserve">ITC preliminary vote (~Oct 2026), Commerce initiation/preliminary determinations.</t>
  </si>
  <si>
    <t xml:space="preserve">Trade counsel / monitoring</t>
  </si>
  <si>
    <t xml:space="preserve">RFQ tracker (full texts in BigBoxPizza_RFQ_Pack.md)</t>
  </si>
  <si>
    <t xml:space="preserve">RFQ</t>
  </si>
  <si>
    <t xml:space="preserve">Recipient</t>
  </si>
  <si>
    <t xml:space="preserve">Purpose</t>
  </si>
  <si>
    <t xml:space="preserve">Targets</t>
  </si>
  <si>
    <t xml:space="preserve">RFQ 1</t>
  </si>
  <si>
    <t xml:space="preserve">Egyptian factory (NFC + 3 alternatives)</t>
  </si>
  <si>
    <t xml:space="preserve">Specs, current prices, packaging, load plan, documentation</t>
  </si>
  <si>
    <t xml:space="preserve">Not sent</t>
  </si>
  <si>
    <t xml:space="preserve">NFC, New Golden Pack, Cepack Group, WePack</t>
  </si>
  <si>
    <t xml:space="preserve">RFQ 2</t>
  </si>
  <si>
    <t xml:space="preserve">Egyptian freight forwarders (≥3)</t>
  </si>
  <si>
    <t xml:space="preserve">Itemised FCA/EXW collection, export clearance, ocean, destination, door delivery</t>
  </si>
  <si>
    <t xml:space="preserve">Forwarders with Egypt–USEC services</t>
  </si>
  <si>
    <t xml:space="preserve">RFQ 3</t>
  </si>
  <si>
    <t xml:space="preserve">US customs brokers (≥2)</t>
  </si>
  <si>
    <t xml:space="preserve">HTS, Section 301 status, valuation, fees, IOR/bond, marking, FDA/state compliance</t>
  </si>
  <si>
    <t xml:space="preserve">Licensed brokers at NY/NJ, Savannah</t>
  </si>
  <si>
    <t xml:space="preserve">RFQ 4</t>
  </si>
  <si>
    <t xml:space="preserve">US wholesale buyers (≥5)</t>
  </si>
  <si>
    <t xml:space="preserve">Demand, current prices, specs, volumes, receiving terms</t>
  </si>
  <si>
    <t xml:space="preserve">Pizza-segment distributors, cash-and-carry, regional chains</t>
  </si>
  <si>
    <t xml:space="preserve">Calc Engine – all scenario × configuration × destination cases (formula-driven)</t>
  </si>
  <si>
    <t xml:space="preserve">Each row recomputes the full landed-cost, margin and cash model from the input sheets. Driver columns (blue) override scenario inputs only on sensitivity/combination rows. Do not edit formulas.</t>
  </si>
  <si>
    <t xml:space="preserve">Case</t>
  </si>
  <si>
    <t xml:space="preserve">Dest#</t>
  </si>
  <si>
    <t xml:space="preserve">FX eff</t>
  </si>
  <si>
    <t xml:space="preserve">Supplier factor</t>
  </si>
  <si>
    <t xml:space="preserve">VAT mode</t>
  </si>
  <si>
    <t xml:space="preserve">§301 rate</t>
  </si>
  <si>
    <t xml:space="preserve">Ocean factor</t>
  </si>
  <si>
    <t xml:space="preserve">Price factor</t>
  </si>
  <si>
    <t xml:space="preserve">Units factor</t>
  </si>
  <si>
    <t xml:space="preserve">Dray factor</t>
  </si>
  <si>
    <t xml:space="preserve">Unload factor</t>
  </si>
  <si>
    <t xml:space="preserve">Damage %</t>
  </si>
  <si>
    <t xml:space="preserve">Buyer margin</t>
  </si>
  <si>
    <t xml:space="preserve">E-flute disc</t>
  </si>
  <si>
    <t xml:space="preserve">Credit days</t>
  </si>
  <si>
    <t xml:space="preserve">Truck factor</t>
  </si>
  <si>
    <t xml:space="preserve">Commission</t>
  </si>
  <si>
    <t xml:space="preserve">Testing factor</t>
  </si>
  <si>
    <t xml:space="preserve">Units 3464</t>
  </si>
  <si>
    <t xml:space="preserve">Units 3463</t>
  </si>
  <si>
    <t xml:space="preserve">Units 3460</t>
  </si>
  <si>
    <t xml:space="preserve">Units total</t>
  </si>
  <si>
    <t xml:space="preserve">m³ 3464</t>
  </si>
  <si>
    <t xml:space="preserve">m³ 3463</t>
  </si>
  <si>
    <t xml:space="preserve">m³ 3460</t>
  </si>
  <si>
    <t xml:space="preserve">m³ total</t>
  </si>
  <si>
    <t xml:space="preserve">kg total</t>
  </si>
  <si>
    <t xml:space="preserve">Re-quote %</t>
  </si>
  <si>
    <t xml:space="preserve">Supplier USD 3464</t>
  </si>
  <si>
    <t xml:space="preserve">Supplier USD 3463</t>
  </si>
  <si>
    <t xml:space="preserve">Supplier USD 3460</t>
  </si>
  <si>
    <t xml:space="preserve">Supplier USD</t>
  </si>
  <si>
    <t xml:space="preserve">VAT economic</t>
  </si>
  <si>
    <t xml:space="preserve">Tooling USD</t>
  </si>
  <si>
    <t xml:space="preserve">Origin per-ctr</t>
  </si>
  <si>
    <t xml:space="preserve">Origin per-shpt</t>
  </si>
  <si>
    <t xml:space="preserve">ORIGIN</t>
  </si>
  <si>
    <t xml:space="preserve">Port diff</t>
  </si>
  <si>
    <t xml:space="preserve">Ocean freight</t>
  </si>
  <si>
    <t xml:space="preserve">OCEAN incl AMS</t>
  </si>
  <si>
    <t xml:space="preserve">Customs value 3464</t>
  </si>
  <si>
    <t xml:space="preserve">Customs value 3463</t>
  </si>
  <si>
    <t xml:space="preserve">Customs value 3460</t>
  </si>
  <si>
    <t xml:space="preserve">Duty rate</t>
  </si>
  <si>
    <t xml:space="preserve">STB bond</t>
  </si>
  <si>
    <t xml:space="preserve">US per-shpt fees</t>
  </si>
  <si>
    <t xml:space="preserve">PANYNJ CFC</t>
  </si>
  <si>
    <t xml:space="preserve">Demurrage</t>
  </si>
  <si>
    <t xml:space="preserve">US per-ctr</t>
  </si>
  <si>
    <t xml:space="preserve">DELIVERED COGS</t>
  </si>
  <si>
    <t xml:space="preserve">Shared (cube)</t>
  </si>
  <si>
    <t xml:space="preserve">Shared (units)</t>
  </si>
  <si>
    <t xml:space="preserve">Cost 3464</t>
  </si>
  <si>
    <t xml:space="preserve">Cost 3463</t>
  </si>
  <si>
    <t xml:space="preserve">Cost 3460</t>
  </si>
  <si>
    <t xml:space="preserve">Alloc check</t>
  </si>
  <si>
    <t xml:space="preserve">Saleable 3464</t>
  </si>
  <si>
    <t xml:space="preserve">Saleable 3463</t>
  </si>
  <si>
    <t xml:space="preserve">Saleable 3460</t>
  </si>
  <si>
    <t xml:space="preserve">Saleable total</t>
  </si>
  <si>
    <t xml:space="preserve">Cost/saleable box 3464</t>
  </si>
  <si>
    <t xml:space="preserve">Cost/saleable box 3463</t>
  </si>
  <si>
    <t xml:space="preserve">Cost/saleable box 3460</t>
  </si>
  <si>
    <t xml:space="preserve">Price 3464</t>
  </si>
  <si>
    <t xml:space="preserve">Price 3463</t>
  </si>
  <si>
    <t xml:space="preserve">Price 3460</t>
  </si>
  <si>
    <t xml:space="preserve">Variable selling %</t>
  </si>
  <si>
    <t xml:space="preserve">Selling variable</t>
  </si>
  <si>
    <t xml:space="preserve">Selling fixed</t>
  </si>
  <si>
    <t xml:space="preserve">Day export</t>
  </si>
  <si>
    <t xml:space="preserve">Day US entry</t>
  </si>
  <si>
    <t xml:space="preserve">Day delivery</t>
  </si>
  <si>
    <t xml:space="preserve">Day customer pays</t>
  </si>
  <si>
    <t xml:space="preserve">Day VAT refund</t>
  </si>
  <si>
    <t xml:space="preserve">Advance %</t>
  </si>
  <si>
    <t xml:space="preserve">Cash before shipment</t>
  </si>
  <si>
    <t xml:space="preserve">Cash at export</t>
  </si>
  <si>
    <t xml:space="preserve">Cash before US release</t>
  </si>
  <si>
    <t xml:space="preserve">Cash at delivery</t>
  </si>
  <si>
    <t xml:space="preserve">VAT refund</t>
  </si>
  <si>
    <t xml:space="preserve">VAT $-days</t>
  </si>
  <si>
    <t xml:space="preserve">Other $-days</t>
  </si>
  <si>
    <t xml:space="preserve">Financing cost</t>
  </si>
  <si>
    <t xml:space="preserve">Cum t0</t>
  </si>
  <si>
    <t xml:space="preserve">Cum t1</t>
  </si>
  <si>
    <t xml:space="preserve">Cum t2</t>
  </si>
  <si>
    <t xml:space="preserve">Cum t3</t>
  </si>
  <si>
    <t xml:space="preserve">Total cash outflow</t>
  </si>
  <si>
    <t xml:space="preserve">Break-even price factor</t>
  </si>
  <si>
    <t xml:space="preserve">Avg cost/saleable box</t>
  </si>
  <si>
    <t xml:space="preserve">Avg price</t>
  </si>
  <si>
    <t xml:space="preserve">a 3464</t>
  </si>
  <si>
    <t xml:space="preserve">a 3463</t>
  </si>
  <si>
    <t xml:space="preserve">a 3460</t>
  </si>
  <si>
    <t xml:space="preserve">o 3464</t>
  </si>
  <si>
    <t xml:space="preserve">o 3463</t>
  </si>
  <si>
    <t xml:space="preserve">o 3460</t>
  </si>
  <si>
    <t xml:space="preserve">Max EXW EGP 3464 @GM target</t>
  </si>
  <si>
    <t xml:space="preserve">Max EXW EGP 3463 @GM target</t>
  </si>
  <si>
    <t xml:space="preserve">Max EXW EGP 3460 @GM target</t>
  </si>
  <si>
    <t xml:space="preserve">MPF marginal</t>
  </si>
  <si>
    <t xml:space="preserve">Ins marginal</t>
  </si>
  <si>
    <t xml:space="preserve">Supplier-linked cost</t>
  </si>
  <si>
    <t xml:space="preserve">Supplier scale @GM target</t>
  </si>
  <si>
    <t xml:space="preserve">Supplier scale @GM 0</t>
  </si>
  <si>
    <t xml:space="preserve">Supplier price chg needed (GM target)</t>
  </si>
  <si>
    <t xml:space="preserve">Supplier price chg needed (GM 0)</t>
  </si>
  <si>
    <t xml:space="preserve">Max ocean $/ctr (GM target)</t>
  </si>
  <si>
    <t xml:space="preserve">Variable $/unit</t>
  </si>
  <si>
    <t xml:space="preserve">Fixed $</t>
  </si>
  <si>
    <t xml:space="preserve">Revenue $/unit shipped</t>
  </si>
  <si>
    <t xml:space="preserve">Units needed (GM target)</t>
  </si>
  <si>
    <t xml:space="preserve">Units needed (GM 0)</t>
  </si>
  <si>
    <t xml:space="preserve">LOW | C1 | D1</t>
  </si>
  <si>
    <t xml:space="preserve">LOW | C1 | D2</t>
  </si>
  <si>
    <t xml:space="preserve">LOW | C1 | D3</t>
  </si>
  <si>
    <t xml:space="preserve">LOW | C1 | D4</t>
  </si>
  <si>
    <t xml:space="preserve">LOW | C1 | D5</t>
  </si>
  <si>
    <t xml:space="preserve">LOW | C2 | D1</t>
  </si>
  <si>
    <t xml:space="preserve">LOW | C2 | D2</t>
  </si>
  <si>
    <t xml:space="preserve">LOW | C2 | D3</t>
  </si>
  <si>
    <t xml:space="preserve">LOW | C2 | D4</t>
  </si>
  <si>
    <t xml:space="preserve">LOW | C2 | D5</t>
  </si>
  <si>
    <t xml:space="preserve">LOW | C3 | D1</t>
  </si>
  <si>
    <t xml:space="preserve">LOW | C3 | D2</t>
  </si>
  <si>
    <t xml:space="preserve">LOW | C3 | D3</t>
  </si>
  <si>
    <t xml:space="preserve">LOW | C3 | D4</t>
  </si>
  <si>
    <t xml:space="preserve">LOW | C3 | D5</t>
  </si>
  <si>
    <t xml:space="preserve">LOW | C4 | D1</t>
  </si>
  <si>
    <t xml:space="preserve">LOW | C4 | D2</t>
  </si>
  <si>
    <t xml:space="preserve">LOW | C4 | D3</t>
  </si>
  <si>
    <t xml:space="preserve">LOW | C4 | D4</t>
  </si>
  <si>
    <t xml:space="preserve">LOW | C4 | D5</t>
  </si>
  <si>
    <t xml:space="preserve">LOW | C5 | D1</t>
  </si>
  <si>
    <t xml:space="preserve">LOW | C5 | D2</t>
  </si>
  <si>
    <t xml:space="preserve">LOW | C5 | D3</t>
  </si>
  <si>
    <t xml:space="preserve">LOW | C5 | D4</t>
  </si>
  <si>
    <t xml:space="preserve">LOW | C5 | D5</t>
  </si>
  <si>
    <t xml:space="preserve">LOW | C6 | D1</t>
  </si>
  <si>
    <t xml:space="preserve">LOW | C6 | D2</t>
  </si>
  <si>
    <t xml:space="preserve">LOW | C6 | D3</t>
  </si>
  <si>
    <t xml:space="preserve">LOW | C6 | D4</t>
  </si>
  <si>
    <t xml:space="preserve">LOW | C6 | D5</t>
  </si>
  <si>
    <t xml:space="preserve">LOW | C7 | D1</t>
  </si>
  <si>
    <t xml:space="preserve">LOW | C7 | D2</t>
  </si>
  <si>
    <t xml:space="preserve">LOW | C7 | D3</t>
  </si>
  <si>
    <t xml:space="preserve">LOW | C7 | D4</t>
  </si>
  <si>
    <t xml:space="preserve">LOW | C7 | D5</t>
  </si>
  <si>
    <t xml:space="preserve">LOW | C8 | D1</t>
  </si>
  <si>
    <t xml:space="preserve">LOW | C8 | D2</t>
  </si>
  <si>
    <t xml:space="preserve">LOW | C8 | D3</t>
  </si>
  <si>
    <t xml:space="preserve">LOW | C8 | D4</t>
  </si>
  <si>
    <t xml:space="preserve">LOW | C8 | D5</t>
  </si>
  <si>
    <t xml:space="preserve">LOW | C9 | D1</t>
  </si>
  <si>
    <t xml:space="preserve">LOW | C9 | D2</t>
  </si>
  <si>
    <t xml:space="preserve">LOW | C9 | D3</t>
  </si>
  <si>
    <t xml:space="preserve">LOW | C9 | D4</t>
  </si>
  <si>
    <t xml:space="preserve">LOW | C9 | D5</t>
  </si>
  <si>
    <t xml:space="preserve">LOW | C10 | D1</t>
  </si>
  <si>
    <t xml:space="preserve">LOW | C10 | D2</t>
  </si>
  <si>
    <t xml:space="preserve">LOW | C10 | D3</t>
  </si>
  <si>
    <t xml:space="preserve">LOW | C10 | D4</t>
  </si>
  <si>
    <t xml:space="preserve">LOW | C10 | D5</t>
  </si>
  <si>
    <t xml:space="preserve">BASE | C1 | D1</t>
  </si>
  <si>
    <t xml:space="preserve">BASE | C1 | D2</t>
  </si>
  <si>
    <t xml:space="preserve">BASE | C1 | D3</t>
  </si>
  <si>
    <t xml:space="preserve">BASE | C1 | D4</t>
  </si>
  <si>
    <t xml:space="preserve">BASE | C1 | D5</t>
  </si>
  <si>
    <t xml:space="preserve">BASE | C2 | D1</t>
  </si>
  <si>
    <t xml:space="preserve">BASE | C2 | D2</t>
  </si>
  <si>
    <t xml:space="preserve">BASE | C2 | D3</t>
  </si>
  <si>
    <t xml:space="preserve">BASE | C2 | D4</t>
  </si>
  <si>
    <t xml:space="preserve">BASE | C2 | D5</t>
  </si>
  <si>
    <t xml:space="preserve">BASE | C3 | D1</t>
  </si>
  <si>
    <t xml:space="preserve">BASE | C3 | D2</t>
  </si>
  <si>
    <t xml:space="preserve">BASE | C3 | D3</t>
  </si>
  <si>
    <t xml:space="preserve">BASE | C3 | D4</t>
  </si>
  <si>
    <t xml:space="preserve">BASE | C3 | D5</t>
  </si>
  <si>
    <t xml:space="preserve">BASE | C4 | D1</t>
  </si>
  <si>
    <t xml:space="preserve">BASE | C4 | D2</t>
  </si>
  <si>
    <t xml:space="preserve">BASE | C4 | D3</t>
  </si>
  <si>
    <t xml:space="preserve">BASE | C4 | D4</t>
  </si>
  <si>
    <t xml:space="preserve">BASE | C4 | D5</t>
  </si>
  <si>
    <t xml:space="preserve">BASE | C5 | D1</t>
  </si>
  <si>
    <t xml:space="preserve">BASE | C5 | D2</t>
  </si>
  <si>
    <t xml:space="preserve">BASE | C5 | D3</t>
  </si>
  <si>
    <t xml:space="preserve">BASE | C5 | D4</t>
  </si>
  <si>
    <t xml:space="preserve">BASE | C5 | D5</t>
  </si>
  <si>
    <t xml:space="preserve">BASE | C6 | D1</t>
  </si>
  <si>
    <t xml:space="preserve">BASE | C6 | D2</t>
  </si>
  <si>
    <t xml:space="preserve">BASE | C6 | D3</t>
  </si>
  <si>
    <t xml:space="preserve">BASE | C6 | D4</t>
  </si>
  <si>
    <t xml:space="preserve">BASE | C6 | D5</t>
  </si>
  <si>
    <t xml:space="preserve">BASE | C7 | D1</t>
  </si>
  <si>
    <t xml:space="preserve">BASE | C7 | D2</t>
  </si>
  <si>
    <t xml:space="preserve">BASE | C7 | D3</t>
  </si>
  <si>
    <t xml:space="preserve">BASE | C7 | D4</t>
  </si>
  <si>
    <t xml:space="preserve">BASE | C7 | D5</t>
  </si>
  <si>
    <t xml:space="preserve">BASE | C8 | D1</t>
  </si>
  <si>
    <t xml:space="preserve">BASE | C8 | D2</t>
  </si>
  <si>
    <t xml:space="preserve">BASE | C8 | D3</t>
  </si>
  <si>
    <t xml:space="preserve">BASE | C8 | D4</t>
  </si>
  <si>
    <t xml:space="preserve">BASE | C8 | D5</t>
  </si>
  <si>
    <t xml:space="preserve">BASE | C9 | D1</t>
  </si>
  <si>
    <t xml:space="preserve">BASE | C9 | D2</t>
  </si>
  <si>
    <t xml:space="preserve">BASE | C9 | D3</t>
  </si>
  <si>
    <t xml:space="preserve">BASE | C9 | D4</t>
  </si>
  <si>
    <t xml:space="preserve">BASE | C9 | D5</t>
  </si>
  <si>
    <t xml:space="preserve">BASE | C10 | D1</t>
  </si>
  <si>
    <t xml:space="preserve">BASE | C10 | D2</t>
  </si>
  <si>
    <t xml:space="preserve">BASE | C10 | D3</t>
  </si>
  <si>
    <t xml:space="preserve">BASE | C10 | D4</t>
  </si>
  <si>
    <t xml:space="preserve">BASE | C10 | D5</t>
  </si>
  <si>
    <t xml:space="preserve">STRESS | C1 | D1</t>
  </si>
  <si>
    <t xml:space="preserve">STRESS | C1 | D2</t>
  </si>
  <si>
    <t xml:space="preserve">STRESS | C1 | D3</t>
  </si>
  <si>
    <t xml:space="preserve">STRESS | C1 | D4</t>
  </si>
  <si>
    <t xml:space="preserve">STRESS | C1 | D5</t>
  </si>
  <si>
    <t xml:space="preserve">STRESS | C2 | D1</t>
  </si>
  <si>
    <t xml:space="preserve">STRESS | C2 | D2</t>
  </si>
  <si>
    <t xml:space="preserve">STRESS | C2 | D3</t>
  </si>
  <si>
    <t xml:space="preserve">STRESS | C2 | D4</t>
  </si>
  <si>
    <t xml:space="preserve">STRESS | C2 | D5</t>
  </si>
  <si>
    <t xml:space="preserve">STRESS | C3 | D1</t>
  </si>
  <si>
    <t xml:space="preserve">STRESS | C3 | D2</t>
  </si>
  <si>
    <t xml:space="preserve">STRESS | C3 | D3</t>
  </si>
  <si>
    <t xml:space="preserve">STRESS | C3 | D4</t>
  </si>
  <si>
    <t xml:space="preserve">STRESS | C3 | D5</t>
  </si>
  <si>
    <t xml:space="preserve">STRESS | C4 | D1</t>
  </si>
  <si>
    <t xml:space="preserve">STRESS | C4 | D2</t>
  </si>
  <si>
    <t xml:space="preserve">STRESS | C4 | D3</t>
  </si>
  <si>
    <t xml:space="preserve">STRESS | C4 | D4</t>
  </si>
  <si>
    <t xml:space="preserve">STRESS | C4 | D5</t>
  </si>
  <si>
    <t xml:space="preserve">STRESS | C5 | D1</t>
  </si>
  <si>
    <t xml:space="preserve">STRESS | C5 | D2</t>
  </si>
  <si>
    <t xml:space="preserve">STRESS | C5 | D3</t>
  </si>
  <si>
    <t xml:space="preserve">STRESS | C5 | D4</t>
  </si>
  <si>
    <t xml:space="preserve">STRESS | C5 | D5</t>
  </si>
  <si>
    <t xml:space="preserve">STRESS | C6 | D1</t>
  </si>
  <si>
    <t xml:space="preserve">STRESS | C6 | D2</t>
  </si>
  <si>
    <t xml:space="preserve">STRESS | C6 | D3</t>
  </si>
  <si>
    <t xml:space="preserve">STRESS | C6 | D4</t>
  </si>
  <si>
    <t xml:space="preserve">STRESS | C6 | D5</t>
  </si>
  <si>
    <t xml:space="preserve">STRESS | C7 | D1</t>
  </si>
  <si>
    <t xml:space="preserve">STRESS | C7 | D2</t>
  </si>
  <si>
    <t xml:space="preserve">STRESS | C7 | D3</t>
  </si>
  <si>
    <t xml:space="preserve">STRESS | C7 | D4</t>
  </si>
  <si>
    <t xml:space="preserve">STRESS | C7 | D5</t>
  </si>
  <si>
    <t xml:space="preserve">STRESS | C8 | D1</t>
  </si>
  <si>
    <t xml:space="preserve">STRESS | C8 | D2</t>
  </si>
  <si>
    <t xml:space="preserve">STRESS | C8 | D3</t>
  </si>
  <si>
    <t xml:space="preserve">STRESS | C8 | D4</t>
  </si>
  <si>
    <t xml:space="preserve">STRESS | C8 | D5</t>
  </si>
  <si>
    <t xml:space="preserve">STRESS | C9 | D1</t>
  </si>
  <si>
    <t xml:space="preserve">STRESS | C9 | D2</t>
  </si>
  <si>
    <t xml:space="preserve">STRESS | C9 | D3</t>
  </si>
  <si>
    <t xml:space="preserve">STRESS | C9 | D4</t>
  </si>
  <si>
    <t xml:space="preserve">STRESS | C9 | D5</t>
  </si>
  <si>
    <t xml:space="preserve">STRESS | C10 | D1</t>
  </si>
  <si>
    <t xml:space="preserve">STRESS | C10 | D2</t>
  </si>
  <si>
    <t xml:space="preserve">STRESS | C10 | D3</t>
  </si>
  <si>
    <t xml:space="preserve">STRESS | C10 | D4</t>
  </si>
  <si>
    <t xml:space="preserve">STRESS | C10 | D5</t>
  </si>
  <si>
    <t xml:space="preserve">SENS: FX: EGP weaker (54.60)</t>
  </si>
  <si>
    <t xml:space="preserve">SENS: FX: EGP stronger (49.00)</t>
  </si>
  <si>
    <t xml:space="preserve">SENS: Ocean freight −28% (LOW level)</t>
  </si>
  <si>
    <t xml:space="preserve">SENS: Ocean freight +25% (STRESS level)</t>
  </si>
  <si>
    <t xml:space="preserve">SENS: Section 301 duty 0% (exempt / struck down)</t>
  </si>
  <si>
    <t xml:space="preserve">SENS: Additional duty 25% (hypothetical escalation)</t>
  </si>
  <si>
    <t xml:space="preserve">SENS: Supplier price −10%</t>
  </si>
  <si>
    <t xml:space="preserve">SENS: Supplier price +10%</t>
  </si>
  <si>
    <t xml:space="preserve">SENS: Selling price −15%</t>
  </si>
  <si>
    <t xml:space="preserve">SENS: Selling price +15%</t>
  </si>
  <si>
    <t xml:space="preserve">SENS: Shipment quantity −20% (same container)</t>
  </si>
  <si>
    <t xml:space="preserve">SENS: Shipment quantity +20% (if it fits)</t>
  </si>
  <si>
    <t xml:space="preserve">SENS: Drayage linehaul ×0.75</t>
  </si>
  <si>
    <t xml:space="preserve">SENS: Drayage linehaul ×1.5</t>
  </si>
  <si>
    <t xml:space="preserve">SENS: Unloading free (customer unloads)</t>
  </si>
  <si>
    <t xml:space="preserve">SENS: Unloading ×2</t>
  </si>
  <si>
    <t xml:space="preserve">SENS: VAT zero-rated (direct export)</t>
  </si>
  <si>
    <t xml:space="preserve">SENS: VAT paid &amp; not recoverable</t>
  </si>
  <si>
    <t xml:space="preserve">SENS: Damage/rejection 0.5%</t>
  </si>
  <si>
    <t xml:space="preserve">SENS: Damage/rejection 4%</t>
  </si>
  <si>
    <t xml:space="preserve">SENS: Buyer resale margin 20%</t>
  </si>
  <si>
    <t xml:space="preserve">SENS: Buyer resale margin 30%</t>
  </si>
  <si>
    <t xml:space="preserve">SENS: E-flute discount 15%</t>
  </si>
  <si>
    <t xml:space="preserve">SENS: E-flute discount 25%</t>
  </si>
  <si>
    <t xml:space="preserve">SENS: Credit terms 30 days</t>
  </si>
  <si>
    <t xml:space="preserve">SENS: Credit terms 90 days</t>
  </si>
  <si>
    <t xml:space="preserve">SENS: Egypt trucking −20%</t>
  </si>
  <si>
    <t xml:space="preserve">SENS: Egypt trucking +30%</t>
  </si>
  <si>
    <t xml:space="preserve">SENS: Commission 3%</t>
  </si>
  <si>
    <t xml:space="preserve">SENS: Commission 7%</t>
  </si>
  <si>
    <t xml:space="preserve">SENS: Repeat shipment (no sample/lab testing)</t>
  </si>
  <si>
    <t xml:space="preserve">SENS: Sell direct to end users (no buyer resale margin)</t>
  </si>
  <si>
    <t xml:space="preserve">SENS: Selling price +25% (≈ import-parity $/lb cross-check)</t>
  </si>
  <si>
    <t xml:space="preserve">COMBO: K1 Full 40' HC equal mix (C4), BASE</t>
  </si>
  <si>
    <t xml:space="preserve">COMBO: K2 K1 + Section 301 duty removed (0%)</t>
  </si>
  <si>
    <t xml:space="preserve">COMBO: K3 K2 + supplier price −15%</t>
  </si>
  <si>
    <t xml:space="preserve">COMBO: K4 K3 + selling price +15%</t>
  </si>
  <si>
    <t xml:space="preserve">COMBO: K5 K4 + ocean freight at LOW level</t>
  </si>
  <si>
    <t xml:space="preserve">COMBO: K6 K5 + repeat shipment (no testing)</t>
  </si>
  <si>
    <t xml:space="preserve">Model Checks – formula integrity, reconciliation and double-count controls</t>
  </si>
  <si>
    <t xml:space="preserve">All checks should read OK. Overall status feeds the Dashboard.</t>
  </si>
  <si>
    <t xml:space="preserve">What it tests</t>
  </si>
  <si>
    <t xml:space="preserve">Quote line totals = qty × unit price</t>
  </si>
  <si>
    <t xml:space="preserve">Line arithmetic</t>
  </si>
  <si>
    <t xml:space="preserve">Quote subtotal reconciles</t>
  </si>
  <si>
    <t xml:space="preserve">463,300</t>
  </si>
  <si>
    <t xml:space="preserve">Quote tax = 14% × subtotal</t>
  </si>
  <si>
    <t xml:space="preserve">64,862</t>
  </si>
  <si>
    <t xml:space="preserve">Quote total reconciles</t>
  </si>
  <si>
    <t xml:space="preserve">528,162</t>
  </si>
  <si>
    <t xml:space="preserve">Quoted quantity = 60,000</t>
  </si>
  <si>
    <t xml:space="preserve">20,000 × 3</t>
  </si>
  <si>
    <t xml:space="preserve">Fixed configurations C1–C3 total 60,000 units in every scenario</t>
  </si>
  <si>
    <t xml:space="preserve">Inconsistent quantities</t>
  </si>
  <si>
    <t xml:space="preserve">Engine: SKU cost allocation sums to COGS on every row</t>
  </si>
  <si>
    <t xml:space="preserve">Allocation integrity (all engine rows)</t>
  </si>
  <si>
    <t xml:space="preserve">Ledger economic total = engine COGS (selected case)</t>
  </si>
  <si>
    <t xml:space="preserve">Ledger vs engine</t>
  </si>
  <si>
    <t xml:space="preserve">No duplicate cost IDs in ledger</t>
  </si>
  <si>
    <t xml:space="preserve">Duplicate cost lines</t>
  </si>
  <si>
    <t xml:space="preserve">Origin ledger lines = engine ORIGIN</t>
  </si>
  <si>
    <t xml:space="preserve">Origin bundling</t>
  </si>
  <si>
    <t xml:space="preserve">Ocean + insurance ledger = engine</t>
  </si>
  <si>
    <t xml:space="preserve">Freight/insurance</t>
  </si>
  <si>
    <t xml:space="preserve">US duty/fees ledger = engine</t>
  </si>
  <si>
    <t xml:space="preserve">Customs fees</t>
  </si>
  <si>
    <t xml:space="preserve">Delivery &amp; disruption ledger = engine</t>
  </si>
  <si>
    <t xml:space="preserve">Drayage/unloading</t>
  </si>
  <si>
    <t xml:space="preserve">SKU allocation table total = engine COGS</t>
  </si>
  <si>
    <t xml:space="preserve">Per-SKU reconciliation</t>
  </si>
  <si>
    <t xml:space="preserve">Supplier quotation reconciles to shipment value (when units = quoted mix)</t>
  </si>
  <si>
    <t xml:space="preserve">Quote → shipment value</t>
  </si>
  <si>
    <t xml:space="preserve">Customs value build-up = engine customs value</t>
  </si>
  <si>
    <t xml:space="preserve">Double-count flag: origin THC not also in ocean freight</t>
  </si>
  <si>
    <t xml:space="preserve">Terminal handling in freight</t>
  </si>
  <si>
    <t xml:space="preserve">Double-count flag: CFC / insurance / chassis / unloading</t>
  </si>
  <si>
    <t xml:space="preserve">Bundled charges</t>
  </si>
  <si>
    <t xml:space="preserve">Recoverable VAT excluded from COGS unless mode 3</t>
  </si>
  <si>
    <t xml:space="preserve">Tax treated once</t>
  </si>
  <si>
    <t xml:space="preserve">Equal-mix maxima (script values) still fit in all scenarios</t>
  </si>
  <si>
    <t xml:space="preserve">Static values vs formulas</t>
  </si>
  <si>
    <t xml:space="preserve">Floor pattern equals exact DP optimum (all SKU × container × scenario)</t>
  </si>
  <si>
    <t xml:space="preserve">Packing algorithm validation</t>
  </si>
  <si>
    <t xml:space="preserve">No error values in engine key outputs</t>
  </si>
  <si>
    <t xml:space="preserve">Missing data handled</t>
  </si>
  <si>
    <t xml:space="preserve">Supplier quotation expired (information)</t>
  </si>
  <si>
    <t xml:space="preserve">Validity</t>
  </si>
  <si>
    <t xml:space="preserve">FX observation within 7 days of valuation date</t>
  </si>
  <si>
    <t xml:space="preserve">Exchange-rate date</t>
  </si>
  <si>
    <t xml:space="preserve">OVERALL STATUS</t>
  </si>
</sst>
</file>

<file path=xl/styles.xml><?xml version="1.0" encoding="utf-8"?>
<styleSheet xmlns="http://schemas.openxmlformats.org/spreadsheetml/2006/main">
  <numFmts count="26">
    <numFmt numFmtId="164" formatCode="General"/>
    <numFmt numFmtId="165" formatCode="0"/>
    <numFmt numFmtId="166" formatCode="yyyy\-mm\-dd"/>
    <numFmt numFmtId="167" formatCode="#,##0"/>
    <numFmt numFmtId="168" formatCode="\$#,##0.0000"/>
    <numFmt numFmtId="169" formatCode="\$#,##0.00"/>
    <numFmt numFmtId="170" formatCode="#,##0.000"/>
    <numFmt numFmtId="171" formatCode="0.0%"/>
    <numFmt numFmtId="172" formatCode="General"/>
    <numFmt numFmtId="173" formatCode="0.00"/>
    <numFmt numFmtId="174" formatCode="0.0000"/>
    <numFmt numFmtId="175" formatCode="#,##0.00"/>
    <numFmt numFmtId="176" formatCode="#,##0.0000"/>
    <numFmt numFmtId="177" formatCode="0.00%"/>
    <numFmt numFmtId="178" formatCode="#,##0.###"/>
    <numFmt numFmtId="179" formatCode="0.0"/>
    <numFmt numFmtId="180" formatCode="0.000"/>
    <numFmt numFmtId="181" formatCode="0.00000"/>
    <numFmt numFmtId="182" formatCode="0.0000000"/>
    <numFmt numFmtId="183" formatCode="\$#,##0"/>
    <numFmt numFmtId="184" formatCode="\+0.0%;\-0.0%"/>
    <numFmt numFmtId="185" formatCode="\+0.0000;\-0.0000"/>
    <numFmt numFmtId="186" formatCode="\+#,##0;\-#,##0"/>
    <numFmt numFmtId="187" formatCode="0.000000"/>
    <numFmt numFmtId="188" formatCode="0%"/>
    <numFmt numFmtId="189" formatCode="0.0000%"/>
  </numFmts>
  <fonts count="15">
    <font>
      <sz val="11"/>
      <color theme="1"/>
      <name val="Calibri"/>
      <family val="2"/>
      <charset val="1"/>
    </font>
    <font>
      <sz val="10"/>
      <name val="Arial"/>
      <family val="0"/>
    </font>
    <font>
      <sz val="10"/>
      <name val="Arial"/>
      <family val="0"/>
    </font>
    <font>
      <sz val="10"/>
      <name val="Arial"/>
      <family val="0"/>
    </font>
    <font>
      <b val="true"/>
      <sz val="15"/>
      <color rgb="FF1F3864"/>
      <name val="Calibri"/>
      <family val="0"/>
      <charset val="1"/>
    </font>
    <font>
      <i val="true"/>
      <sz val="10"/>
      <color rgb="FF595959"/>
      <name val="Calibri"/>
      <family val="0"/>
      <charset val="1"/>
    </font>
    <font>
      <b val="true"/>
      <sz val="11"/>
      <color rgb="FF1F3864"/>
      <name val="Calibri"/>
      <family val="0"/>
      <charset val="1"/>
    </font>
    <font>
      <b val="true"/>
      <sz val="10"/>
      <name val="Calibri"/>
      <family val="0"/>
      <charset val="1"/>
    </font>
    <font>
      <sz val="10"/>
      <color rgb="FF0000FF"/>
      <name val="Calibri"/>
      <family val="0"/>
      <charset val="1"/>
    </font>
    <font>
      <sz val="10"/>
      <name val="Calibri"/>
      <family val="0"/>
      <charset val="1"/>
    </font>
    <font>
      <b val="true"/>
      <sz val="10"/>
      <color rgb="FF9C0006"/>
      <name val="Calibri"/>
      <family val="0"/>
      <charset val="1"/>
    </font>
    <font>
      <b val="true"/>
      <sz val="10"/>
      <color rgb="FFFFFFFF"/>
      <name val="Calibri"/>
      <family val="0"/>
      <charset val="1"/>
    </font>
    <font>
      <sz val="10"/>
      <name val="FreeSans"/>
      <family val="2"/>
    </font>
    <font>
      <b val="true"/>
      <sz val="10"/>
      <color rgb="FF9C0006"/>
      <name val="FreeSans"/>
      <family val="2"/>
    </font>
    <font>
      <sz val="10"/>
      <color rgb="FF0000FF"/>
      <name val="FreeSans"/>
      <family val="2"/>
    </font>
  </fonts>
  <fills count="8">
    <fill>
      <patternFill patternType="none"/>
    </fill>
    <fill>
      <patternFill patternType="gray125"/>
    </fill>
    <fill>
      <patternFill patternType="solid">
        <fgColor rgb="FFD9E1F2"/>
        <bgColor rgb="FFDDEBF7"/>
      </patternFill>
    </fill>
    <fill>
      <patternFill patternType="solid">
        <fgColor rgb="FFFFF2CC"/>
        <bgColor rgb="FFFCE4D6"/>
      </patternFill>
    </fill>
    <fill>
      <patternFill patternType="solid">
        <fgColor rgb="FFF2F2F2"/>
        <bgColor rgb="FFDDEBF7"/>
      </patternFill>
    </fill>
    <fill>
      <patternFill patternType="solid">
        <fgColor rgb="FF1F3864"/>
        <bgColor rgb="FF333333"/>
      </patternFill>
    </fill>
    <fill>
      <patternFill patternType="solid">
        <fgColor rgb="FFDDEBF7"/>
        <bgColor rgb="FFD9E1F2"/>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7" fontId="7" fillId="6" borderId="1" xfId="0" applyFont="true" applyBorder="true" applyAlignment="false" applyProtection="false">
      <alignment horizontal="general"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69" fontId="9" fillId="4"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71" fontId="9" fillId="4" borderId="1" xfId="0" applyFont="true" applyBorder="true" applyAlignment="false" applyProtection="false">
      <alignment horizontal="general" vertical="bottom" textRotation="0" wrapText="false" indent="0" shrinkToFit="false"/>
      <protection locked="true" hidden="false"/>
    </xf>
    <xf numFmtId="172" fontId="9" fillId="4" borderId="1" xfId="0" applyFont="true" applyBorder="true" applyAlignment="false" applyProtection="false">
      <alignment horizontal="general" vertical="bottom" textRotation="0" wrapText="fals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73" fontId="9" fillId="4" borderId="1" xfId="0" applyFont="true" applyBorder="true" applyAlignment="false" applyProtection="false">
      <alignment horizontal="general" vertical="bottom" textRotation="0" wrapText="false" indent="0" shrinkToFit="false"/>
      <protection locked="true" hidden="false"/>
    </xf>
    <xf numFmtId="174" fontId="9" fillId="4" borderId="1" xfId="0" applyFont="true" applyBorder="true" applyAlignment="false" applyProtection="false">
      <alignment horizontal="general" vertical="bottom" textRotation="0" wrapText="false" indent="0" shrinkToFit="false"/>
      <protection locked="true" hidden="false"/>
    </xf>
    <xf numFmtId="175" fontId="9" fillId="4"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14" fillId="3"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75" fontId="8" fillId="3" borderId="1" xfId="0" applyFont="true" applyBorder="true" applyAlignment="false" applyProtection="false">
      <alignment horizontal="general" vertical="bottom" textRotation="0" wrapText="false" indent="0" shrinkToFit="false"/>
      <protection locked="true" hidden="false"/>
    </xf>
    <xf numFmtId="167" fontId="7" fillId="4" borderId="1" xfId="0" applyFont="true" applyBorder="true" applyAlignment="false" applyProtection="false">
      <alignment horizontal="general" vertical="bottom" textRotation="0" wrapText="false" indent="0" shrinkToFit="false"/>
      <protection locked="true" hidden="false"/>
    </xf>
    <xf numFmtId="175" fontId="7" fillId="4" borderId="1" xfId="0" applyFont="true" applyBorder="true" applyAlignment="false" applyProtection="false">
      <alignment horizontal="general" vertical="bottom" textRotation="0" wrapText="false" indent="0" shrinkToFit="false"/>
      <protection locked="true" hidden="false"/>
    </xf>
    <xf numFmtId="169" fontId="7" fillId="4" borderId="1" xfId="0" applyFont="true" applyBorder="true" applyAlignment="false" applyProtection="false">
      <alignment horizontal="general" vertical="bottom" textRotation="0" wrapText="false" indent="0" shrinkToFit="false"/>
      <protection locked="true" hidden="false"/>
    </xf>
    <xf numFmtId="176" fontId="9" fillId="4" borderId="1" xfId="0" applyFont="true" applyBorder="true" applyAlignment="false" applyProtection="false">
      <alignment horizontal="general" vertical="bottom" textRotation="0" wrapText="false" indent="0" shrinkToFit="false"/>
      <protection locked="true" hidden="false"/>
    </xf>
    <xf numFmtId="177" fontId="8" fillId="3" borderId="1" xfId="0" applyFont="true" applyBorder="true" applyAlignment="false" applyProtection="false">
      <alignment horizontal="general" vertical="bottom" textRotation="0" wrapText="false" indent="0" shrinkToFit="false"/>
      <protection locked="true" hidden="false"/>
    </xf>
    <xf numFmtId="177" fontId="9" fillId="4" borderId="1" xfId="0" applyFont="true" applyBorder="true" applyAlignment="false" applyProtection="false">
      <alignment horizontal="general" vertical="bottom" textRotation="0" wrapText="false" indent="0" shrinkToFit="false"/>
      <protection locked="true" hidden="false"/>
    </xf>
    <xf numFmtId="178" fontId="8" fillId="3" borderId="1" xfId="0" applyFont="true" applyBorder="true" applyAlignment="false" applyProtection="false">
      <alignment horizontal="general" vertical="bottom" textRotation="0" wrapText="false" indent="0" shrinkToFit="false"/>
      <protection locked="true" hidden="false"/>
    </xf>
    <xf numFmtId="178" fontId="9" fillId="4" borderId="1" xfId="0" applyFont="true" applyBorder="true" applyAlignment="false" applyProtection="false">
      <alignment horizontal="general" vertical="bottom" textRotation="0" wrapText="false" indent="0" shrinkToFit="false"/>
      <protection locked="true" hidden="false"/>
    </xf>
    <xf numFmtId="176" fontId="8" fillId="3" borderId="1" xfId="0" applyFont="true" applyBorder="true" applyAlignment="false" applyProtection="false">
      <alignment horizontal="general" vertical="bottom" textRotation="0" wrapText="false" indent="0" shrinkToFit="false"/>
      <protection locked="true" hidden="false"/>
    </xf>
    <xf numFmtId="176" fontId="7" fillId="4" borderId="1" xfId="0" applyFont="true" applyBorder="true" applyAlignment="false" applyProtection="false">
      <alignment horizontal="general" vertical="bottom" textRotation="0" wrapText="false" indent="0" shrinkToFit="false"/>
      <protection locked="true" hidden="false"/>
    </xf>
    <xf numFmtId="176" fontId="9" fillId="7" borderId="1" xfId="0" applyFont="true" applyBorder="true" applyAlignment="false" applyProtection="false">
      <alignment horizontal="general" vertical="bottom" textRotation="0" wrapText="false" indent="0" shrinkToFit="false"/>
      <protection locked="true" hidden="false"/>
    </xf>
    <xf numFmtId="179" fontId="8" fillId="3" borderId="1" xfId="0" applyFont="true" applyBorder="true" applyAlignment="false" applyProtection="false">
      <alignment horizontal="general" vertical="bottom" textRotation="0" wrapText="false" indent="0" shrinkToFit="false"/>
      <protection locked="true" hidden="false"/>
    </xf>
    <xf numFmtId="179" fontId="9" fillId="4" borderId="1" xfId="0" applyFont="true" applyBorder="true" applyAlignment="false" applyProtection="false">
      <alignment horizontal="general" vertical="bottom" textRotation="0" wrapText="false" indent="0" shrinkToFit="false"/>
      <protection locked="true" hidden="false"/>
    </xf>
    <xf numFmtId="180" fontId="9" fillId="4" borderId="1" xfId="0" applyFont="true" applyBorder="true" applyAlignment="false" applyProtection="false">
      <alignment horizontal="general" vertical="bottom" textRotation="0" wrapText="false" indent="0" shrinkToFit="false"/>
      <protection locked="true" hidden="false"/>
    </xf>
    <xf numFmtId="181" fontId="9" fillId="4" borderId="1" xfId="0" applyFont="true" applyBorder="true" applyAlignment="false" applyProtection="false">
      <alignment horizontal="general" vertical="bottom" textRotation="0" wrapText="false" indent="0" shrinkToFit="false"/>
      <protection locked="true" hidden="false"/>
    </xf>
    <xf numFmtId="182" fontId="9" fillId="4"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5" fontId="9" fillId="7" borderId="1" xfId="0" applyFont="true" applyBorder="true" applyAlignment="false" applyProtection="false">
      <alignment horizontal="general" vertical="bottom" textRotation="0" wrapText="false" indent="0" shrinkToFit="false"/>
      <protection locked="true" hidden="false"/>
    </xf>
    <xf numFmtId="167" fontId="9" fillId="7" borderId="1" xfId="0" applyFont="true" applyBorder="true" applyAlignment="false" applyProtection="false">
      <alignment horizontal="general" vertical="bottom" textRotation="0" wrapText="false" indent="0" shrinkToFit="false"/>
      <protection locked="true" hidden="false"/>
    </xf>
    <xf numFmtId="172" fontId="7" fillId="4"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83" fontId="8" fillId="3" borderId="1" xfId="0" applyFont="true" applyBorder="true" applyAlignment="false" applyProtection="false">
      <alignment horizontal="general" vertical="bottom" textRotation="0" wrapText="false" indent="0" shrinkToFit="false"/>
      <protection locked="true" hidden="false"/>
    </xf>
    <xf numFmtId="183" fontId="9" fillId="4" borderId="1" xfId="0" applyFont="true" applyBorder="true" applyAlignment="false" applyProtection="false">
      <alignment horizontal="general" vertical="bottom" textRotation="0" wrapText="false" indent="0" shrinkToFit="false"/>
      <protection locked="true" hidden="false"/>
    </xf>
    <xf numFmtId="183" fontId="9" fillId="7" borderId="1" xfId="0" applyFont="true" applyBorder="true" applyAlignment="false" applyProtection="false">
      <alignment horizontal="general" vertical="bottom" textRotation="0" wrapText="false" indent="0" shrinkToFit="false"/>
      <protection locked="true" hidden="false"/>
    </xf>
    <xf numFmtId="184" fontId="9" fillId="4"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71" fontId="7" fillId="4" borderId="1" xfId="0" applyFont="true" applyBorder="true" applyAlignment="false" applyProtection="false">
      <alignment horizontal="general" vertical="bottom" textRotation="0" wrapText="false" indent="0" shrinkToFit="false"/>
      <protection locked="true" hidden="false"/>
    </xf>
    <xf numFmtId="183" fontId="7" fillId="4" borderId="1" xfId="0" applyFont="true" applyBorder="true" applyAlignment="false" applyProtection="false">
      <alignment horizontal="general" vertical="bottom" textRotation="0" wrapText="false" indent="0" shrinkToFit="false"/>
      <protection locked="true" hidden="false"/>
    </xf>
    <xf numFmtId="185" fontId="9" fillId="4" borderId="1" xfId="0" applyFont="true" applyBorder="true" applyAlignment="false" applyProtection="false">
      <alignment horizontal="general" vertical="bottom" textRotation="0" wrapText="false" indent="0" shrinkToFit="false"/>
      <protection locked="true" hidden="false"/>
    </xf>
    <xf numFmtId="186" fontId="9" fillId="4" borderId="1" xfId="0" applyFont="true" applyBorder="true" applyAlignment="false" applyProtection="false">
      <alignment horizontal="general" vertical="bottom" textRotation="0" wrapText="false" indent="0" shrinkToFit="false"/>
      <protection locked="true" hidden="false"/>
    </xf>
    <xf numFmtId="183" fontId="0" fillId="0" borderId="0" xfId="0" applyFont="false" applyBorder="false" applyAlignment="false" applyProtection="false">
      <alignment horizontal="general" vertical="bottom" textRotation="0" wrapText="false" indent="0" shrinkToFit="false"/>
      <protection locked="true" hidden="false"/>
    </xf>
    <xf numFmtId="170" fontId="7" fillId="4" borderId="1" xfId="0" applyFont="true" applyBorder="true" applyAlignment="false" applyProtection="false">
      <alignment horizontal="general" vertical="bottom" textRotation="0" wrapText="false" indent="0" shrinkToFit="false"/>
      <protection locked="true" hidden="false"/>
    </xf>
    <xf numFmtId="180" fontId="7" fillId="4" borderId="1" xfId="0" applyFont="true" applyBorder="true" applyAlignment="false" applyProtection="false">
      <alignment horizontal="general" vertical="bottom" textRotation="0" wrapText="false" indent="0" shrinkToFit="false"/>
      <protection locked="true" hidden="false"/>
    </xf>
    <xf numFmtId="168" fontId="9" fillId="7" borderId="1" xfId="0" applyFont="true" applyBorder="true" applyAlignment="false" applyProtection="false">
      <alignment horizontal="general" vertical="bottom" textRotation="0" wrapText="false" indent="0" shrinkToFit="false"/>
      <protection locked="true" hidden="false"/>
    </xf>
    <xf numFmtId="180" fontId="8" fillId="3"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4" fontId="9" fillId="3" borderId="0" xfId="0" applyFont="true" applyBorder="false" applyAlignment="false" applyProtection="false">
      <alignment horizontal="general" vertical="bottom" textRotation="0" wrapText="false" indent="0" shrinkToFit="false"/>
      <protection locked="true" hidden="false"/>
    </xf>
    <xf numFmtId="173" fontId="9" fillId="3"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71" fontId="9" fillId="3" borderId="0" xfId="0" applyFont="true" applyBorder="false" applyAlignment="false" applyProtection="false">
      <alignment horizontal="general" vertical="bottom" textRotation="0" wrapText="false" indent="0" shrinkToFit="false"/>
      <protection locked="true" hidden="false"/>
    </xf>
    <xf numFmtId="180" fontId="9" fillId="3"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80"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5" fontId="9" fillId="0" borderId="0" xfId="0" applyFont="true" applyBorder="false" applyAlignment="false" applyProtection="false">
      <alignment horizontal="general" vertical="bottom" textRotation="0" wrapText="false" indent="0" shrinkToFit="false"/>
      <protection locked="true" hidden="false"/>
    </xf>
    <xf numFmtId="187" fontId="9"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88" fontId="9" fillId="0" borderId="0" xfId="0" applyFont="true" applyBorder="false" applyAlignment="false" applyProtection="false">
      <alignment horizontal="general" vertical="bottom" textRotation="0" wrapText="false" indent="0" shrinkToFit="false"/>
      <protection locked="true" hidden="false"/>
    </xf>
    <xf numFmtId="189" fontId="9"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4" fontId="8" fillId="3" borderId="1" xfId="0" applyFont="true" applyBorder="true" applyAlignment="false" applyProtection="false">
      <alignment horizontal="general" vertical="bottom" textRotation="0" wrapText="false" indent="0" shrinkToFit="false"/>
      <protection locked="true" hidden="false"/>
    </xf>
    <xf numFmtId="173" fontId="8"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C7CE"/>
        </patternFill>
      </fill>
    </dxf>
    <dxf>
      <fill>
        <patternFill>
          <bgColor rgb="FFFFEB9C"/>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8EA9DB"/>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CE4D6"/>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57</xdr:row>
      <xdr:rowOff>111240</xdr:rowOff>
    </xdr:from>
    <xdr:to>
      <xdr:col>15</xdr:col>
      <xdr:colOff>146520</xdr:colOff>
      <xdr:row>75</xdr:row>
      <xdr:rowOff>53640</xdr:rowOff>
    </xdr:to>
    <xdr:pic>
      <xdr:nvPicPr>
        <xdr:cNvPr id="0" name="Image 1" descr="Picture"/>
        <xdr:cNvPicPr/>
      </xdr:nvPicPr>
      <xdr:blipFill>
        <a:blip r:embed="rId1"/>
        <a:stretch/>
      </xdr:blipFill>
      <xdr:spPr>
        <a:xfrm>
          <a:off x="0" y="11239560"/>
          <a:ext cx="9591480" cy="3371400"/>
        </a:xfrm>
        <a:prstGeom prst="rect">
          <a:avLst/>
        </a:prstGeom>
        <a:ln w="0">
          <a:noFill/>
        </a:ln>
      </xdr:spPr>
    </xdr:pic>
    <xdr:clientData/>
  </xdr:twoCellAnchor>
  <xdr:twoCellAnchor editAs="oneCell">
    <xdr:from>
      <xdr:col>0</xdr:col>
      <xdr:colOff>0</xdr:colOff>
      <xdr:row>77</xdr:row>
      <xdr:rowOff>111240</xdr:rowOff>
    </xdr:from>
    <xdr:to>
      <xdr:col>15</xdr:col>
      <xdr:colOff>146520</xdr:colOff>
      <xdr:row>95</xdr:row>
      <xdr:rowOff>53640</xdr:rowOff>
    </xdr:to>
    <xdr:pic>
      <xdr:nvPicPr>
        <xdr:cNvPr id="1" name="Image 2" descr="Picture"/>
        <xdr:cNvPicPr/>
      </xdr:nvPicPr>
      <xdr:blipFill>
        <a:blip r:embed="rId2"/>
        <a:stretch/>
      </xdr:blipFill>
      <xdr:spPr>
        <a:xfrm>
          <a:off x="0" y="15049440"/>
          <a:ext cx="9591480" cy="3371400"/>
        </a:xfrm>
        <a:prstGeom prst="rect">
          <a:avLst/>
        </a:prstGeom>
        <a:ln w="0">
          <a:noFill/>
        </a:ln>
      </xdr:spPr>
    </xdr:pic>
    <xdr:clientData/>
  </xdr:twoCellAnchor>
  <xdr:twoCellAnchor editAs="oneCell">
    <xdr:from>
      <xdr:col>0</xdr:col>
      <xdr:colOff>0</xdr:colOff>
      <xdr:row>97</xdr:row>
      <xdr:rowOff>111240</xdr:rowOff>
    </xdr:from>
    <xdr:to>
      <xdr:col>15</xdr:col>
      <xdr:colOff>146520</xdr:colOff>
      <xdr:row>115</xdr:row>
      <xdr:rowOff>53640</xdr:rowOff>
    </xdr:to>
    <xdr:pic>
      <xdr:nvPicPr>
        <xdr:cNvPr id="2" name="Image 3" descr="Picture"/>
        <xdr:cNvPicPr/>
      </xdr:nvPicPr>
      <xdr:blipFill>
        <a:blip r:embed="rId3"/>
        <a:stretch/>
      </xdr:blipFill>
      <xdr:spPr>
        <a:xfrm>
          <a:off x="0" y="18859680"/>
          <a:ext cx="9591480" cy="3371400"/>
        </a:xfrm>
        <a:prstGeom prst="rect">
          <a:avLst/>
        </a:prstGeom>
        <a:ln w="0">
          <a:noFill/>
        </a:ln>
      </xdr:spPr>
    </xdr:pic>
    <xdr:clientData/>
  </xdr:twoCellAnchor>
  <xdr:twoCellAnchor editAs="oneCell">
    <xdr:from>
      <xdr:col>0</xdr:col>
      <xdr:colOff>0</xdr:colOff>
      <xdr:row>117</xdr:row>
      <xdr:rowOff>111240</xdr:rowOff>
    </xdr:from>
    <xdr:to>
      <xdr:col>15</xdr:col>
      <xdr:colOff>146520</xdr:colOff>
      <xdr:row>135</xdr:row>
      <xdr:rowOff>53640</xdr:rowOff>
    </xdr:to>
    <xdr:pic>
      <xdr:nvPicPr>
        <xdr:cNvPr id="3" name="Image 4" descr="Picture"/>
        <xdr:cNvPicPr/>
      </xdr:nvPicPr>
      <xdr:blipFill>
        <a:blip r:embed="rId4"/>
        <a:stretch/>
      </xdr:blipFill>
      <xdr:spPr>
        <a:xfrm>
          <a:off x="0" y="22669560"/>
          <a:ext cx="9591480" cy="33714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G9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8"/>
    <col collapsed="false" customWidth="true" hidden="false" outlineLevel="0" max="7" min="7" style="0" width="30"/>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c r="E4" s="4"/>
      <c r="F4" s="4"/>
      <c r="G4" s="4"/>
    </row>
    <row r="5" customFormat="false" ht="15" hidden="false" customHeight="false" outlineLevel="0" collapsed="false">
      <c r="A5" s="5" t="s">
        <v>3</v>
      </c>
      <c r="B5" s="6" t="n">
        <v>2</v>
      </c>
      <c r="C5" s="7" t="str">
        <f aca="false">CHOOSE(B5,"LOW / optimistic","BASE","STRESS")</f>
        <v>BASE</v>
      </c>
    </row>
    <row r="6" customFormat="false" ht="15" hidden="false" customHeight="false" outlineLevel="0" collapsed="false">
      <c r="A6" s="5" t="s">
        <v>4</v>
      </c>
      <c r="B6" s="6" t="n">
        <v>4</v>
      </c>
      <c r="C6" s="8" t="str">
        <f aca="false">INDEX(cfg_name,B6)</f>
        <v>C4 Full 40' HC – equal-units mix (max)</v>
      </c>
      <c r="D6" s="8"/>
      <c r="E6" s="8"/>
      <c r="F6" s="8"/>
      <c r="G6" s="8"/>
    </row>
    <row r="7" customFormat="false" ht="15" hidden="false" customHeight="false" outlineLevel="0" collapsed="false">
      <c r="A7" s="5" t="s">
        <v>5</v>
      </c>
      <c r="B7" s="6" t="n">
        <v>1</v>
      </c>
      <c r="C7" s="8" t="str">
        <f aca="false">INDEX(dest_gw,B7)&amp;" → "&amp;INDEX(dest_name,B7)</f>
        <v>New York/New Jersey → Edison, NJ (ZIP 08837 – Central NJ warehouse cluster)</v>
      </c>
      <c r="D7" s="8"/>
      <c r="E7" s="8"/>
      <c r="F7" s="8"/>
      <c r="G7" s="8"/>
    </row>
    <row r="8" customFormat="false" ht="15" hidden="false" customHeight="false" outlineLevel="0" collapsed="false">
      <c r="A8" s="9" t="s">
        <v>6</v>
      </c>
      <c r="B8" s="10" t="n">
        <f aca="false">MATCH(B5*1000+B6*10+B7,eng_key,0)</f>
        <v>66</v>
      </c>
    </row>
    <row r="9" customFormat="false" ht="15" hidden="false" customHeight="false" outlineLevel="0" collapsed="false">
      <c r="A9" s="5" t="s">
        <v>7</v>
      </c>
      <c r="B9" s="11" t="n">
        <v>46311</v>
      </c>
    </row>
    <row r="11" customFormat="false" ht="15" hidden="false" customHeight="false" outlineLevel="0" collapsed="false">
      <c r="A11" s="3" t="s">
        <v>8</v>
      </c>
      <c r="B11" s="4"/>
      <c r="C11" s="4"/>
      <c r="D11" s="4"/>
      <c r="E11" s="4"/>
      <c r="F11" s="4"/>
      <c r="G11" s="4"/>
    </row>
    <row r="12" customFormat="false" ht="45.75" hidden="false" customHeight="true" outlineLevel="0" collapsed="false">
      <c r="A12" s="5" t="s">
        <v>9</v>
      </c>
      <c r="B12" s="12" t="s">
        <v>10</v>
      </c>
      <c r="C12" s="12"/>
      <c r="D12" s="12"/>
      <c r="E12" s="12"/>
      <c r="F12" s="12"/>
      <c r="G12" s="12"/>
    </row>
    <row r="13" customFormat="false" ht="15" hidden="false" customHeight="false" outlineLevel="0" collapsed="false">
      <c r="A13" s="5" t="s">
        <v>11</v>
      </c>
      <c r="B13" s="7" t="str">
        <f aca="false">IF(AND(D49="PASS",D50="PASS",D51="PASS",D52="PASS",D53="PASS",D54="PASS",D55="PASS"),"GO thresholds met",IF(AND(D49&lt;&gt;"PASS",C49&gt;=thr_gm_cond),"CONDITIONAL – some thresholds unmet","NO-GO – thresholds unmet"))</f>
        <v>NO-GO – thresholds unmet</v>
      </c>
      <c r="C13" s="7"/>
      <c r="D13" s="7"/>
      <c r="E13" s="7"/>
      <c r="F13" s="7"/>
      <c r="G13" s="7"/>
    </row>
    <row r="15" customFormat="false" ht="15" hidden="false" customHeight="false" outlineLevel="0" collapsed="false">
      <c r="A15" s="3" t="s">
        <v>12</v>
      </c>
      <c r="B15" s="4"/>
      <c r="C15" s="4"/>
      <c r="D15" s="4"/>
      <c r="E15" s="4"/>
      <c r="F15" s="4"/>
      <c r="G15" s="4"/>
    </row>
    <row r="16" customFormat="false" ht="15" hidden="false" customHeight="false" outlineLevel="0" collapsed="false">
      <c r="A16" s="13" t="s">
        <v>13</v>
      </c>
      <c r="B16" s="13" t="s">
        <v>14</v>
      </c>
      <c r="C16" s="13" t="s">
        <v>15</v>
      </c>
      <c r="D16" s="13" t="s">
        <v>16</v>
      </c>
      <c r="E16" s="13" t="s">
        <v>17</v>
      </c>
      <c r="F16" s="13" t="s">
        <v>18</v>
      </c>
      <c r="G16" s="13" t="s">
        <v>19</v>
      </c>
    </row>
    <row r="17" customFormat="false" ht="15" hidden="false" customHeight="false" outlineLevel="0" collapsed="false">
      <c r="A17" s="9" t="s">
        <v>20</v>
      </c>
      <c r="B17" s="14" t="n">
        <f aca="false">INDEX(eng_U,sel_row)</f>
        <v>77400</v>
      </c>
      <c r="C17" s="15" t="n">
        <f aca="false">INDEX(eng_units_3464,sel_row)</f>
        <v>25800</v>
      </c>
      <c r="D17" s="15" t="n">
        <f aca="false">INDEX(eng_units_3463,sel_row)</f>
        <v>25800</v>
      </c>
      <c r="E17" s="15" t="n">
        <f aca="false">INDEX(eng_units_3460,sel_row)</f>
        <v>25800</v>
      </c>
      <c r="F17" s="9" t="s">
        <v>21</v>
      </c>
      <c r="G17" s="16"/>
    </row>
    <row r="18" customFormat="false" ht="15" hidden="false" customHeight="false" outlineLevel="0" collapsed="false">
      <c r="A18" s="9" t="s">
        <v>22</v>
      </c>
      <c r="B18" s="14" t="n">
        <f aca="false">INDEX(eng_SALE,sel_row)</f>
        <v>76239</v>
      </c>
      <c r="C18" s="15" t="n">
        <f aca="false">INDEX(eng_sale_3464,sel_row)</f>
        <v>25413</v>
      </c>
      <c r="D18" s="15" t="n">
        <f aca="false">INDEX(eng_sale_3463,sel_row)</f>
        <v>25413</v>
      </c>
      <c r="E18" s="15" t="n">
        <f aca="false">INDEX(eng_sale_3460,sel_row)</f>
        <v>25413</v>
      </c>
      <c r="F18" s="9" t="s">
        <v>21</v>
      </c>
      <c r="G18" s="16"/>
    </row>
    <row r="19" customFormat="false" ht="15" hidden="false" customHeight="false" outlineLevel="0" collapsed="false">
      <c r="A19" s="9" t="s">
        <v>23</v>
      </c>
      <c r="B19" s="17" t="n">
        <f aca="false">INDEX(eng_n,sel_row)</f>
        <v>1</v>
      </c>
      <c r="F19" s="9"/>
      <c r="G19" s="8" t="str">
        <f aca="false">INDEX(cfg_name,sel_cfg)</f>
        <v>C4 Full 40' HC – equal-units mix (max)</v>
      </c>
    </row>
    <row r="20" customFormat="false" ht="15" hidden="false" customHeight="false" outlineLevel="0" collapsed="false">
      <c r="A20" s="9" t="s">
        <v>24</v>
      </c>
      <c r="B20" s="18" t="str">
        <f aca="false">IF(INDEX(eng_fits,sel_row),"YES","NO – does not fit")</f>
        <v>YES</v>
      </c>
      <c r="F20" s="9"/>
      <c r="G20" s="16" t="s">
        <v>25</v>
      </c>
    </row>
    <row r="21" customFormat="false" ht="15" hidden="false" customHeight="false" outlineLevel="0" collapsed="false">
      <c r="A21" s="5" t="s">
        <v>26</v>
      </c>
      <c r="B21" s="19" t="n">
        <f aca="false">INDEX(eng_avg_cpb,sel_row)</f>
        <v>0.26663404657784</v>
      </c>
      <c r="C21" s="20" t="n">
        <f aca="false">INDEX(eng_cpb_3464,sel_row)</f>
        <v>0.280098818454852</v>
      </c>
      <c r="D21" s="20" t="n">
        <f aca="false">INDEX(eng_cpb_3463,sel_row)</f>
        <v>0.28775748106156</v>
      </c>
      <c r="E21" s="20" t="n">
        <f aca="false">INDEX(eng_cpb_3460,sel_row)</f>
        <v>0.232045840217106</v>
      </c>
      <c r="F21" s="9" t="s">
        <v>27</v>
      </c>
      <c r="G21" s="16" t="s">
        <v>28</v>
      </c>
    </row>
    <row r="22" customFormat="false" ht="15" hidden="false" customHeight="false" outlineLevel="0" collapsed="false">
      <c r="A22" s="9" t="s">
        <v>29</v>
      </c>
      <c r="B22" s="21" t="n">
        <f aca="false">INDEX(eng_avg_cpb,sel_row)*1000</f>
        <v>266.63404657784</v>
      </c>
      <c r="C22" s="22" t="n">
        <f aca="false">INDEX(eng_cpb_3464,sel_row)*1000</f>
        <v>280.098818454852</v>
      </c>
      <c r="D22" s="22" t="n">
        <f aca="false">INDEX(eng_cpb_3463,sel_row)*1000</f>
        <v>287.75748106156</v>
      </c>
      <c r="E22" s="22" t="n">
        <f aca="false">INDEX(eng_cpb_3460,sel_row)*1000</f>
        <v>232.045840217106</v>
      </c>
      <c r="F22" s="9" t="s">
        <v>30</v>
      </c>
      <c r="G22" s="16"/>
    </row>
    <row r="23" customFormat="false" ht="15" hidden="false" customHeight="false" outlineLevel="0" collapsed="false">
      <c r="A23" s="9" t="s">
        <v>31</v>
      </c>
      <c r="B23" s="23" t="n">
        <f aca="false">INDEX(eng_avg_cpb,sel_row)*INDEX(eng_fx,sel_row)</f>
        <v>14.0715584813362</v>
      </c>
      <c r="C23" s="24" t="n">
        <f aca="false">INDEX(eng_cpb_3464,sel_row)*INDEX(eng_fx,sel_row)</f>
        <v>14.7821591241911</v>
      </c>
      <c r="D23" s="24" t="n">
        <f aca="false">INDEX(eng_cpb_3463,sel_row)*INDEX(eng_fx,sel_row)</f>
        <v>15.1863435115276</v>
      </c>
      <c r="E23" s="24" t="n">
        <f aca="false">INDEX(eng_cpb_3460,sel_row)*INDEX(eng_fx,sel_row)</f>
        <v>12.2461728082898</v>
      </c>
      <c r="F23" s="9" t="s">
        <v>32</v>
      </c>
      <c r="G23" s="16" t="s">
        <v>33</v>
      </c>
    </row>
    <row r="24" customFormat="false" ht="15" hidden="false" customHeight="false" outlineLevel="0" collapsed="false">
      <c r="A24" s="9" t="s">
        <v>34</v>
      </c>
      <c r="B24" s="19" t="n">
        <f aca="false">INDEX(eng_avg_price,sel_row)</f>
        <v>0.243</v>
      </c>
      <c r="C24" s="20" t="n">
        <f aca="false">INDEX(eng_price_3464,sel_row)</f>
        <v>0.234</v>
      </c>
      <c r="D24" s="20" t="n">
        <f aca="false">INDEX(eng_price_3463,sel_row)</f>
        <v>0.27</v>
      </c>
      <c r="E24" s="20" t="n">
        <f aca="false">INDEX(eng_price_3460,sel_row)</f>
        <v>0.225</v>
      </c>
      <c r="F24" s="9" t="s">
        <v>27</v>
      </c>
      <c r="G24" s="16" t="s">
        <v>35</v>
      </c>
    </row>
    <row r="25" customFormat="false" ht="15" hidden="false" customHeight="false" outlineLevel="0" collapsed="false">
      <c r="A25" s="9" t="s">
        <v>36</v>
      </c>
      <c r="B25" s="21" t="n">
        <f aca="false">INDEX(eng_COGS,sel_row)</f>
        <v>20327.9130770479</v>
      </c>
      <c r="F25" s="9" t="s">
        <v>37</v>
      </c>
      <c r="G25" s="16"/>
    </row>
    <row r="26" customFormat="false" ht="15" hidden="false" customHeight="false" outlineLevel="0" collapsed="false">
      <c r="A26" s="9" t="s">
        <v>38</v>
      </c>
      <c r="B26" s="21" t="n">
        <f aca="false">INDEX(eng_REV,sel_row)</f>
        <v>18526.077</v>
      </c>
      <c r="F26" s="9" t="s">
        <v>37</v>
      </c>
      <c r="G26" s="16"/>
    </row>
    <row r="27" customFormat="false" ht="15" hidden="false" customHeight="false" outlineLevel="0" collapsed="false">
      <c r="A27" s="9" t="s">
        <v>39</v>
      </c>
      <c r="B27" s="21" t="n">
        <f aca="false">INDEX(eng_GP,sel_row)</f>
        <v>-1801.83607704791</v>
      </c>
      <c r="F27" s="9" t="s">
        <v>37</v>
      </c>
      <c r="G27" s="16"/>
    </row>
    <row r="28" customFormat="false" ht="15" hidden="false" customHeight="false" outlineLevel="0" collapsed="false">
      <c r="A28" s="9" t="s">
        <v>40</v>
      </c>
      <c r="B28" s="25" t="n">
        <f aca="false">INDEX(eng_GM,sel_row)</f>
        <v>-0.0972594509376113</v>
      </c>
      <c r="F28" s="9" t="s">
        <v>41</v>
      </c>
      <c r="G28" s="16" t="s">
        <v>42</v>
      </c>
    </row>
    <row r="29" customFormat="false" ht="15" hidden="false" customHeight="false" outlineLevel="0" collapsed="false">
      <c r="A29" s="9" t="s">
        <v>43</v>
      </c>
      <c r="B29" s="21" t="n">
        <f aca="false">INDEX(eng_CONTRIB,sel_row)</f>
        <v>-6405.74659036083</v>
      </c>
      <c r="F29" s="9" t="s">
        <v>37</v>
      </c>
      <c r="G29" s="16"/>
    </row>
    <row r="30" customFormat="false" ht="15" hidden="false" customHeight="false" outlineLevel="0" collapsed="false">
      <c r="A30" s="9" t="s">
        <v>44</v>
      </c>
      <c r="B30" s="25" t="n">
        <f aca="false">INDEX(eng_CM,sel_row)</f>
        <v>-0.345769187419486</v>
      </c>
      <c r="F30" s="9" t="s">
        <v>41</v>
      </c>
      <c r="G30" s="16"/>
    </row>
    <row r="31" customFormat="false" ht="15" hidden="false" customHeight="false" outlineLevel="0" collapsed="false">
      <c r="A31" s="9" t="s">
        <v>45</v>
      </c>
      <c r="B31" s="25" t="n">
        <f aca="false">INDEX(eng_f_be,sel_row)-1</f>
        <v>0.367058585371004</v>
      </c>
      <c r="F31" s="9" t="s">
        <v>41</v>
      </c>
      <c r="G31" s="16" t="s">
        <v>46</v>
      </c>
    </row>
    <row r="32" customFormat="false" ht="15" hidden="false" customHeight="false" outlineLevel="0" collapsed="false">
      <c r="A32" s="9" t="s">
        <v>47</v>
      </c>
      <c r="B32" s="25" t="n">
        <f aca="false">INDEX(eng_chg_gm_t,sel_row)</f>
        <v>-0.502855973870326</v>
      </c>
      <c r="F32" s="9" t="s">
        <v>48</v>
      </c>
      <c r="G32" s="16" t="s">
        <v>49</v>
      </c>
    </row>
    <row r="33" customFormat="false" ht="15" hidden="false" customHeight="false" outlineLevel="0" collapsed="false">
      <c r="A33" s="9" t="s">
        <v>50</v>
      </c>
      <c r="B33" s="21" t="n">
        <f aca="false">INDEX(eng_DUTY,sel_row)</f>
        <v>1415.58328975193</v>
      </c>
      <c r="F33" s="9" t="s">
        <v>37</v>
      </c>
      <c r="G33" s="16" t="s">
        <v>51</v>
      </c>
    </row>
    <row r="34" customFormat="false" ht="15" hidden="false" customHeight="false" outlineLevel="0" collapsed="false">
      <c r="A34" s="9" t="s">
        <v>52</v>
      </c>
      <c r="B34" s="21" t="n">
        <f aca="false">INDEX(eng_out0,sel_row)</f>
        <v>8955.05980126879</v>
      </c>
      <c r="F34" s="9" t="s">
        <v>37</v>
      </c>
      <c r="G34" s="16" t="s">
        <v>53</v>
      </c>
    </row>
    <row r="35" customFormat="false" ht="15" hidden="false" customHeight="false" outlineLevel="0" collapsed="false">
      <c r="A35" s="9" t="s">
        <v>54</v>
      </c>
      <c r="B35" s="21" t="n">
        <f aca="false">INDEX(eng_out1,sel_row)</f>
        <v>11937.9769890175</v>
      </c>
      <c r="F35" s="9" t="s">
        <v>37</v>
      </c>
      <c r="G35" s="16" t="s">
        <v>55</v>
      </c>
    </row>
    <row r="36" customFormat="false" ht="15" hidden="false" customHeight="false" outlineLevel="0" collapsed="false">
      <c r="A36" s="9" t="s">
        <v>56</v>
      </c>
      <c r="B36" s="21" t="n">
        <f aca="false">INDEX(eng_out2,sel_row)</f>
        <v>2010.32957128379</v>
      </c>
      <c r="F36" s="9" t="s">
        <v>37</v>
      </c>
      <c r="G36" s="16" t="s">
        <v>57</v>
      </c>
    </row>
    <row r="37" customFormat="false" ht="15" hidden="false" customHeight="false" outlineLevel="0" collapsed="false">
      <c r="A37" s="9" t="s">
        <v>58</v>
      </c>
      <c r="B37" s="21" t="n">
        <f aca="false">INDEX(eng_out3,sel_row)</f>
        <v>1510</v>
      </c>
      <c r="F37" s="9" t="s">
        <v>37</v>
      </c>
      <c r="G37" s="16" t="s">
        <v>59</v>
      </c>
    </row>
    <row r="38" customFormat="false" ht="15" hidden="false" customHeight="false" outlineLevel="0" collapsed="false">
      <c r="A38" s="9" t="s">
        <v>60</v>
      </c>
      <c r="B38" s="21" t="n">
        <f aca="false">INDEX(eng_CASH_TOTAL,sel_row)</f>
        <v>24413.3663615701</v>
      </c>
      <c r="F38" s="9" t="s">
        <v>37</v>
      </c>
      <c r="G38" s="16" t="s">
        <v>61</v>
      </c>
    </row>
    <row r="39" customFormat="false" ht="15" hidden="false" customHeight="false" outlineLevel="0" collapsed="false">
      <c r="A39" s="9" t="s">
        <v>62</v>
      </c>
      <c r="B39" s="21" t="n">
        <f aca="false">INDEX(eng_PEAK,sel_row)</f>
        <v>24413.3663615701</v>
      </c>
      <c r="F39" s="9" t="s">
        <v>37</v>
      </c>
      <c r="G39" s="16" t="s">
        <v>63</v>
      </c>
    </row>
    <row r="47" customFormat="false" ht="15" hidden="false" customHeight="false" outlineLevel="0" collapsed="false">
      <c r="A47" s="3" t="s">
        <v>64</v>
      </c>
      <c r="B47" s="4"/>
      <c r="C47" s="4"/>
      <c r="D47" s="4"/>
      <c r="E47" s="4"/>
      <c r="F47" s="4"/>
      <c r="G47" s="4"/>
    </row>
    <row r="48" customFormat="false" ht="15" hidden="false" customHeight="false" outlineLevel="0" collapsed="false">
      <c r="A48" s="13" t="s">
        <v>65</v>
      </c>
      <c r="B48" s="13" t="s">
        <v>66</v>
      </c>
      <c r="C48" s="13" t="s">
        <v>67</v>
      </c>
      <c r="D48" s="13" t="s">
        <v>68</v>
      </c>
      <c r="E48" s="13"/>
      <c r="F48" s="13"/>
      <c r="G48" s="13" t="s">
        <v>69</v>
      </c>
    </row>
    <row r="49" customFormat="false" ht="23.85" hidden="false" customHeight="false" outlineLevel="0" collapsed="false">
      <c r="A49" s="9" t="s">
        <v>70</v>
      </c>
      <c r="B49" s="26" t="n">
        <f aca="false">thr_gm_go</f>
        <v>0.25</v>
      </c>
      <c r="C49" s="26" t="n">
        <f aca="false">INDEX(eng_GM,sel_row)</f>
        <v>-0.0972594509376113</v>
      </c>
      <c r="D49" s="8" t="str">
        <f aca="false">IF(C49&gt;=B49,"PASS","FAIL")</f>
        <v>FAIL</v>
      </c>
      <c r="G49" s="16" t="s">
        <v>71</v>
      </c>
    </row>
    <row r="50" customFormat="false" ht="23.85" hidden="false" customHeight="false" outlineLevel="0" collapsed="false">
      <c r="A50" s="9" t="s">
        <v>72</v>
      </c>
      <c r="B50" s="26" t="n">
        <f aca="false">thr_cm_min</f>
        <v>0.12</v>
      </c>
      <c r="C50" s="26" t="n">
        <f aca="false">INDEX(eng_CM,sel_row)</f>
        <v>-0.345769187419486</v>
      </c>
      <c r="D50" s="8" t="str">
        <f aca="false">IF(C50&gt;=B50,"PASS","FAIL")</f>
        <v>FAIL</v>
      </c>
      <c r="G50" s="16" t="s">
        <v>73</v>
      </c>
    </row>
    <row r="51" customFormat="false" ht="23.85" hidden="false" customHeight="false" outlineLevel="0" collapsed="false">
      <c r="A51" s="9" t="s">
        <v>74</v>
      </c>
      <c r="B51" s="26" t="n">
        <f aca="false">thr_cost_max</f>
        <v>0.75</v>
      </c>
      <c r="C51" s="26" t="n">
        <f aca="false">IF(INDEX(eng_avg_price,sel_row)&gt;0,INDEX(eng_avg_cpb,sel_row)/INDEX(eng_avg_price,sel_row),1)</f>
        <v>1.09725945093761</v>
      </c>
      <c r="D51" s="8" t="str">
        <f aca="false">IF(C51&lt;=B51,"PASS","FAIL")</f>
        <v>FAIL</v>
      </c>
      <c r="G51" s="16" t="s">
        <v>75</v>
      </c>
    </row>
    <row r="52" customFormat="false" ht="15" hidden="false" customHeight="false" outlineLevel="0" collapsed="false">
      <c r="A52" s="9" t="s">
        <v>76</v>
      </c>
      <c r="B52" s="26" t="n">
        <f aca="false">thr_util_min</f>
        <v>0.85</v>
      </c>
      <c r="C52" s="26" t="n">
        <f aca="false">IF(INDEX(eng_ct,sel_row)=4,1,INDEX(eng_lenutil,sel_row))</f>
        <v>0.999580888516345</v>
      </c>
      <c r="D52" s="8" t="str">
        <f aca="false">IF(C52&gt;=B52,"PASS","FAIL")</f>
        <v>PASS</v>
      </c>
      <c r="G52" s="16" t="s">
        <v>77</v>
      </c>
    </row>
    <row r="53" customFormat="false" ht="23.85" hidden="false" customHeight="false" outlineLevel="0" collapsed="false">
      <c r="A53" s="9" t="s">
        <v>78</v>
      </c>
      <c r="B53" s="26" t="n">
        <f aca="false">thr_demand_min</f>
        <v>0.7</v>
      </c>
      <c r="C53" s="26" t="n">
        <f aca="false">demand_committed</f>
        <v>0</v>
      </c>
      <c r="D53" s="8" t="str">
        <f aca="false">IF(C53&gt;=B53,"PASS","FAIL")</f>
        <v>FAIL</v>
      </c>
      <c r="G53" s="16" t="s">
        <v>79</v>
      </c>
    </row>
    <row r="54" customFormat="false" ht="15" hidden="false" customHeight="false" outlineLevel="0" collapsed="false">
      <c r="A54" s="9" t="s">
        <v>80</v>
      </c>
      <c r="B54" s="10" t="n">
        <f aca="false">thr_blockers_max</f>
        <v>0</v>
      </c>
      <c r="C54" s="10" t="n">
        <f aca="false">COUNTIFS(rfq_blocks,"SHIPMENT",rfq_status,"&lt;&gt;Resolved")</f>
        <v>8</v>
      </c>
      <c r="D54" s="8" t="str">
        <f aca="false">IF(C54&lt;=B54,"PASS","FAIL")</f>
        <v>FAIL</v>
      </c>
      <c r="G54" s="16" t="s">
        <v>81</v>
      </c>
    </row>
    <row r="55" customFormat="false" ht="15" hidden="false" customHeight="false" outlineLevel="0" collapsed="false">
      <c r="A55" s="9" t="s">
        <v>82</v>
      </c>
      <c r="B55" s="9" t="s">
        <v>83</v>
      </c>
      <c r="C55" s="27" t="b">
        <f aca="false">INDEX(eng_fits,sel_row)</f>
        <v>1</v>
      </c>
      <c r="D55" s="8" t="str">
        <f aca="false">IF(C55,"PASS","FAIL")</f>
        <v>PASS</v>
      </c>
      <c r="G55" s="16" t="s">
        <v>84</v>
      </c>
    </row>
    <row r="57" customFormat="false" ht="15" hidden="false" customHeight="false" outlineLevel="0" collapsed="false">
      <c r="A57" s="3" t="s">
        <v>85</v>
      </c>
      <c r="B57" s="4"/>
      <c r="C57" s="4"/>
      <c r="D57" s="4"/>
      <c r="E57" s="4"/>
      <c r="F57" s="4"/>
      <c r="G57" s="4"/>
    </row>
    <row r="58" customFormat="false" ht="15" hidden="false" customHeight="false" outlineLevel="0" collapsed="false">
      <c r="A58" s="9" t="s">
        <v>86</v>
      </c>
      <c r="B58" s="28" t="n">
        <v>0.25</v>
      </c>
    </row>
    <row r="59" customFormat="false" ht="15" hidden="false" customHeight="false" outlineLevel="0" collapsed="false">
      <c r="A59" s="9" t="s">
        <v>87</v>
      </c>
      <c r="B59" s="28" t="n">
        <v>0.15</v>
      </c>
    </row>
    <row r="60" customFormat="false" ht="15" hidden="false" customHeight="false" outlineLevel="0" collapsed="false">
      <c r="A60" s="9" t="s">
        <v>88</v>
      </c>
      <c r="B60" s="28" t="n">
        <v>0.12</v>
      </c>
    </row>
    <row r="61" customFormat="false" ht="15" hidden="false" customHeight="false" outlineLevel="0" collapsed="false">
      <c r="A61" s="9" t="s">
        <v>89</v>
      </c>
      <c r="B61" s="28" t="n">
        <v>0.75</v>
      </c>
    </row>
    <row r="62" customFormat="false" ht="15" hidden="false" customHeight="false" outlineLevel="0" collapsed="false">
      <c r="A62" s="9" t="s">
        <v>90</v>
      </c>
      <c r="B62" s="28" t="n">
        <v>0.85</v>
      </c>
    </row>
    <row r="63" customFormat="false" ht="15" hidden="false" customHeight="false" outlineLevel="0" collapsed="false">
      <c r="A63" s="9" t="s">
        <v>91</v>
      </c>
      <c r="B63" s="28" t="n">
        <v>0.7</v>
      </c>
    </row>
    <row r="64" customFormat="false" ht="15" hidden="false" customHeight="false" outlineLevel="0" collapsed="false">
      <c r="A64" s="9" t="s">
        <v>92</v>
      </c>
      <c r="B64" s="6" t="n">
        <v>0</v>
      </c>
    </row>
    <row r="65" customFormat="false" ht="15" hidden="false" customHeight="false" outlineLevel="0" collapsed="false">
      <c r="A65" s="9" t="s">
        <v>93</v>
      </c>
      <c r="B65" s="28" t="n">
        <v>0</v>
      </c>
    </row>
    <row r="67" customFormat="false" ht="15" hidden="false" customHeight="false" outlineLevel="0" collapsed="false">
      <c r="A67" s="3" t="s">
        <v>94</v>
      </c>
      <c r="B67" s="4"/>
      <c r="C67" s="4"/>
      <c r="D67" s="4"/>
      <c r="E67" s="4"/>
      <c r="F67" s="4"/>
      <c r="G67" s="4"/>
    </row>
    <row r="68" customFormat="false" ht="15" hidden="false" customHeight="false" outlineLevel="0" collapsed="false">
      <c r="A68" s="5" t="s">
        <v>95</v>
      </c>
      <c r="B68" s="8" t="str">
        <f aca="false">q_status</f>
        <v>EXPIRED 16 days before valuation date – prices are historical reference only</v>
      </c>
      <c r="C68" s="8"/>
      <c r="D68" s="8"/>
      <c r="E68" s="8"/>
      <c r="F68" s="8"/>
      <c r="G68" s="8"/>
    </row>
    <row r="69" customFormat="false" ht="15" hidden="false" customHeight="false" outlineLevel="0" collapsed="false">
      <c r="A69" s="5" t="s">
        <v>96</v>
      </c>
      <c r="B69" s="8" t="str">
        <f aca="false">q_anomaly</f>
        <v>WARN – 355 mm box costs more than 405 mm box; ask NFC to explain (spec/print/error)</v>
      </c>
      <c r="C69" s="8"/>
      <c r="D69" s="8"/>
      <c r="E69" s="8"/>
      <c r="F69" s="8"/>
      <c r="G69" s="8"/>
    </row>
    <row r="70" customFormat="false" ht="15" hidden="false" customHeight="false" outlineLevel="0" collapsed="false">
      <c r="A70" s="5" t="s">
        <v>97</v>
      </c>
      <c r="B70" s="8" t="str">
        <f aca="false">"WARN – NFC identity, manufacturer status and bank beneficiary are UNVERIFIED (S088). No advance payment until verified."</f>
        <v>WARN – NFC identity, manufacturer status and bank beneficiary are UNVERIFIED (S088). No advance payment until verified.</v>
      </c>
      <c r="C70" s="8"/>
      <c r="D70" s="8"/>
      <c r="E70" s="8"/>
      <c r="F70" s="8"/>
      <c r="G70" s="8"/>
    </row>
    <row r="71" customFormat="false" ht="15" hidden="false" customHeight="false" outlineLevel="0" collapsed="false">
      <c r="A71" s="5" t="s">
        <v>98</v>
      </c>
      <c r="B71" s="8" t="str">
        <f aca="false">"WARN – "&amp;COUNTIFS(asm_flag,"⚠*")&amp;" high-impact inputs are not verified (see Assumptions Register)"</f>
        <v>WARN – 10 high-impact inputs are not verified (see Assumptions Register)</v>
      </c>
      <c r="C71" s="8"/>
      <c r="D71" s="8"/>
      <c r="E71" s="8"/>
      <c r="F71" s="8"/>
      <c r="G71" s="8"/>
    </row>
    <row r="72" customFormat="false" ht="15" hidden="false" customHeight="false" outlineLevel="0" collapsed="false">
      <c r="A72" s="5" t="s">
        <v>99</v>
      </c>
      <c r="B72" s="8" t="str">
        <f aca="false">chk_overall</f>
        <v>WARN – 1 warning(s), no failures</v>
      </c>
      <c r="C72" s="8"/>
      <c r="D72" s="8"/>
      <c r="E72" s="8"/>
      <c r="F72" s="8"/>
      <c r="G72" s="8"/>
    </row>
    <row r="73" customFormat="false" ht="15" hidden="false" customHeight="false" outlineLevel="0" collapsed="false">
      <c r="A73" s="5" t="s">
        <v>100</v>
      </c>
      <c r="B73" s="8" t="str">
        <f aca="false">IF(INDEX(eng_fits,sel_row),"OK – fits (provisional geometry)","FAIL – selected configuration does not fit")</f>
        <v>OK – fits (provisional geometry)</v>
      </c>
      <c r="C73" s="8"/>
      <c r="D73" s="8"/>
      <c r="E73" s="8"/>
      <c r="F73" s="8"/>
      <c r="G73" s="8"/>
    </row>
    <row r="74" customFormat="false" ht="15" hidden="false" customHeight="false" outlineLevel="0" collapsed="false">
      <c r="A74" s="5" t="s">
        <v>101</v>
      </c>
      <c r="B74" s="8" t="str">
        <f aca="false">ship_reco</f>
        <v>One 40' HC – a 40' GP fails under STRESS bundle thickness; HC is the robust choice</v>
      </c>
      <c r="C74" s="8"/>
      <c r="D74" s="8"/>
      <c r="E74" s="8"/>
      <c r="F74" s="8"/>
      <c r="G74" s="8"/>
    </row>
    <row r="76" customFormat="false" ht="15" hidden="false" customHeight="false" outlineLevel="0" collapsed="false">
      <c r="A76" s="3" t="s">
        <v>102</v>
      </c>
      <c r="B76" s="4"/>
      <c r="C76" s="4"/>
      <c r="D76" s="4"/>
      <c r="E76" s="4"/>
      <c r="F76" s="4"/>
      <c r="G76" s="4"/>
    </row>
    <row r="77" customFormat="false" ht="15" hidden="false" customHeight="false" outlineLevel="0" collapsed="false">
      <c r="A77" s="13" t="s">
        <v>13</v>
      </c>
      <c r="B77" s="13" t="s">
        <v>103</v>
      </c>
      <c r="C77" s="13" t="s">
        <v>104</v>
      </c>
      <c r="D77" s="13" t="s">
        <v>105</v>
      </c>
    </row>
    <row r="78" customFormat="false" ht="15" hidden="false" customHeight="false" outlineLevel="0" collapsed="false">
      <c r="A78" s="9" t="s">
        <v>106</v>
      </c>
      <c r="B78" s="20" t="n">
        <f aca="false">INDEX(eng_avg_cpb,MATCH(1*1000+sel_cfg*10+sel_dest,eng_key,0))</f>
        <v>0.196219645880282</v>
      </c>
      <c r="C78" s="20" t="n">
        <f aca="false">INDEX(eng_avg_cpb,MATCH(2*1000+sel_cfg*10+sel_dest,eng_key,0))</f>
        <v>0.26663404657784</v>
      </c>
      <c r="D78" s="20" t="n">
        <f aca="false">INDEX(eng_avg_cpb,MATCH(3*1000+sel_cfg*10+sel_dest,eng_key,0))</f>
        <v>0.444112849602634</v>
      </c>
    </row>
    <row r="79" customFormat="false" ht="15" hidden="false" customHeight="false" outlineLevel="0" collapsed="false">
      <c r="A79" s="9" t="s">
        <v>107</v>
      </c>
      <c r="B79" s="20" t="n">
        <f aca="false">INDEX(eng_avg_price,MATCH(1*1000+sel_cfg*10+sel_dest,eng_key,0))</f>
        <v>0.2848</v>
      </c>
      <c r="C79" s="20" t="n">
        <f aca="false">INDEX(eng_avg_price,MATCH(2*1000+sel_cfg*10+sel_dest,eng_key,0))</f>
        <v>0.243</v>
      </c>
      <c r="D79" s="20" t="n">
        <f aca="false">INDEX(eng_avg_price,MATCH(3*1000+sel_cfg*10+sel_dest,eng_key,0))</f>
        <v>0.21525</v>
      </c>
    </row>
    <row r="80" customFormat="false" ht="15" hidden="false" customHeight="false" outlineLevel="0" collapsed="false">
      <c r="A80" s="9" t="s">
        <v>40</v>
      </c>
      <c r="B80" s="26" t="n">
        <f aca="false">INDEX(eng_GM,MATCH(1*1000+sel_cfg*10+sel_dest,eng_key,0))</f>
        <v>0.311026524296762</v>
      </c>
      <c r="C80" s="26" t="n">
        <f aca="false">INDEX(eng_GM,MATCH(2*1000+sel_cfg*10+sel_dest,eng_key,0))</f>
        <v>-0.0972594509376113</v>
      </c>
      <c r="D80" s="26" t="n">
        <f aca="false">INDEX(eng_GM,MATCH(3*1000+sel_cfg*10+sel_dest,eng_key,0))</f>
        <v>-1.06324204228866</v>
      </c>
    </row>
    <row r="81" customFormat="false" ht="15" hidden="false" customHeight="false" outlineLevel="0" collapsed="false">
      <c r="A81" s="9" t="s">
        <v>44</v>
      </c>
      <c r="B81" s="26" t="n">
        <f aca="false">INDEX(eng_CM,MATCH(1*1000+sel_cfg*10+sel_dest,eng_key,0))</f>
        <v>0.216358989408495</v>
      </c>
      <c r="C81" s="26" t="n">
        <f aca="false">INDEX(eng_CM,MATCH(2*1000+sel_cfg*10+sel_dest,eng_key,0))</f>
        <v>-0.345769187419486</v>
      </c>
      <c r="D81" s="26" t="n">
        <f aca="false">INDEX(eng_CM,MATCH(3*1000+sel_cfg*10+sel_dest,eng_key,0))</f>
        <v>-1.61293445747936</v>
      </c>
    </row>
    <row r="82" customFormat="false" ht="15" hidden="false" customHeight="false" outlineLevel="0" collapsed="false">
      <c r="A82" s="9" t="s">
        <v>108</v>
      </c>
      <c r="B82" s="22" t="n">
        <f aca="false">INDEX(eng_CONTRIB,MATCH(1*1000+sel_cfg*10+sel_dest,eng_key,0))</f>
        <v>5150.11937854023</v>
      </c>
      <c r="C82" s="22" t="n">
        <f aca="false">INDEX(eng_CONTRIB,MATCH(2*1000+sel_cfg*10+sel_dest,eng_key,0))</f>
        <v>-6405.74659036083</v>
      </c>
      <c r="D82" s="22" t="n">
        <f aca="false">INDEX(eng_CONTRIB,MATCH(3*1000+sel_cfg*10+sel_dest,eng_key,0))</f>
        <v>-21397.653038045</v>
      </c>
    </row>
    <row r="83" customFormat="false" ht="15" hidden="false" customHeight="false" outlineLevel="0" collapsed="false">
      <c r="A83" s="9" t="s">
        <v>109</v>
      </c>
      <c r="B83" s="22" t="n">
        <f aca="false">INDEX(eng_PEAK,MATCH(1*1000+sel_cfg*10+sel_dest,eng_key,0))</f>
        <v>17400.038002674</v>
      </c>
      <c r="C83" s="22" t="n">
        <f aca="false">INDEX(eng_PEAK,MATCH(2*1000+sel_cfg*10+sel_dest,eng_key,0))</f>
        <v>24413.3663615701</v>
      </c>
      <c r="D83" s="22" t="n">
        <f aca="false">INDEX(eng_PEAK,MATCH(3*1000+sel_cfg*10+sel_dest,eng_key,0))</f>
        <v>31371.5631467095</v>
      </c>
    </row>
    <row r="84" customFormat="false" ht="15" hidden="false" customHeight="false" outlineLevel="0" collapsed="false">
      <c r="A84" s="9" t="s">
        <v>110</v>
      </c>
      <c r="B84" s="27" t="b">
        <f aca="false">INDEX(eng_fits,MATCH(1*1000+sel_cfg*10+sel_dest,eng_key,0))</f>
        <v>1</v>
      </c>
      <c r="C84" s="27" t="b">
        <f aca="false">INDEX(eng_fits,MATCH(2*1000+sel_cfg*10+sel_dest,eng_key,0))</f>
        <v>1</v>
      </c>
      <c r="D84" s="27" t="b">
        <f aca="false">INDEX(eng_fits,MATCH(3*1000+sel_cfg*10+sel_dest,eng_key,0))</f>
        <v>1</v>
      </c>
    </row>
    <row r="86" customFormat="false" ht="15" hidden="false" customHeight="false" outlineLevel="0" collapsed="false">
      <c r="A86" s="3" t="s">
        <v>111</v>
      </c>
      <c r="B86" s="4"/>
      <c r="C86" s="4"/>
      <c r="D86" s="4"/>
      <c r="E86" s="4"/>
      <c r="F86" s="4"/>
      <c r="G86" s="4"/>
    </row>
    <row r="87" customFormat="false" ht="15" hidden="false" customHeight="false" outlineLevel="0" collapsed="false">
      <c r="A87" s="13" t="s">
        <v>112</v>
      </c>
      <c r="B87" s="13" t="s">
        <v>113</v>
      </c>
      <c r="C87" s="13" t="s">
        <v>114</v>
      </c>
      <c r="D87" s="13" t="s">
        <v>44</v>
      </c>
      <c r="E87" s="13" t="s">
        <v>115</v>
      </c>
    </row>
    <row r="88" customFormat="false" ht="15" hidden="false" customHeight="false" outlineLevel="0" collapsed="false">
      <c r="A88" s="9" t="n">
        <v>1</v>
      </c>
      <c r="B88" s="8" t="str">
        <f aca="false">INDEX(scomp_cfgname,MATCH(1,scomp_rank,0))</f>
        <v>C2 Quoted 60,000 mix in one 40' GP</v>
      </c>
      <c r="C88" s="22" t="n">
        <f aca="false">INDEX(scomp_contrib,MATCH(1,scomp_rank,0))</f>
        <v>-7281.04069526394</v>
      </c>
      <c r="D88" s="26" t="n">
        <f aca="false">INDEX(scomp_cm,MATCH(1,scomp_rank,0))</f>
        <v>-0.506990362659643</v>
      </c>
      <c r="E88" s="20" t="n">
        <f aca="false">INDEX(scomp_cpb,MATCH(1,scomp_rank,0))</f>
        <v>0.293641847517159</v>
      </c>
    </row>
    <row r="89" customFormat="false" ht="15" hidden="false" customHeight="false" outlineLevel="0" collapsed="false">
      <c r="A89" s="9" t="n">
        <v>2</v>
      </c>
      <c r="B89" s="8" t="str">
        <f aca="false">INDEX(scomp_cfgname,MATCH(2,scomp_rank,0))</f>
        <v>C7 Full 40' HC – 3460 (12") only</v>
      </c>
      <c r="C89" s="22" t="n">
        <f aca="false">INDEX(scomp_contrib,MATCH(2,scomp_rank,0))</f>
        <v>-4657.20752067569</v>
      </c>
      <c r="D89" s="26" t="n">
        <f aca="false">INDEX(scomp_cm,MATCH(2,scomp_rank,0))</f>
        <v>-0.197499142130949</v>
      </c>
      <c r="E89" s="20" t="n">
        <f aca="false">INDEX(scomp_cpb,MATCH(2,scomp_rank,0))</f>
        <v>0.222009383891501</v>
      </c>
    </row>
    <row r="90" customFormat="false" ht="15" hidden="false" customHeight="false" outlineLevel="0" collapsed="false">
      <c r="A90" s="9" t="n">
        <v>3</v>
      </c>
      <c r="B90" s="8" t="str">
        <f aca="false">INDEX(scomp_cfgname,MATCH(3,scomp_rank,0))</f>
        <v>C6 Full 40' HC – 3463 (16") only</v>
      </c>
      <c r="C90" s="22" t="n">
        <f aca="false">INDEX(scomp_contrib,MATCH(3,scomp_rank,0))</f>
        <v>-5581.94590966994</v>
      </c>
      <c r="D90" s="26" t="n">
        <f aca="false">INDEX(scomp_cm,MATCH(3,scomp_rank,0))</f>
        <v>-0.313967154885258</v>
      </c>
      <c r="E90" s="20" t="n">
        <f aca="false">INDEX(scomp_cpb,MATCH(3,scomp_rank,0))</f>
        <v>0.286078967692703</v>
      </c>
    </row>
    <row r="91" customFormat="false" ht="15" hidden="false" customHeight="false" outlineLevel="0" collapsed="false">
      <c r="A91" s="9" t="n">
        <v>4</v>
      </c>
      <c r="B91" s="8" t="str">
        <f aca="false">INDEX(scomp_cfgname,MATCH(4,scomp_rank,0))</f>
        <v>C4 Full 40' HC – equal-units mix (max)</v>
      </c>
      <c r="C91" s="22" t="n">
        <f aca="false">INDEX(scomp_contrib,MATCH(4,scomp_rank,0))</f>
        <v>-6405.74659036083</v>
      </c>
      <c r="D91" s="26" t="n">
        <f aca="false">INDEX(scomp_cm,MATCH(4,scomp_rank,0))</f>
        <v>-0.345769187419486</v>
      </c>
      <c r="E91" s="20" t="n">
        <f aca="false">INDEX(scomp_cpb,MATCH(4,scomp_rank,0))</f>
        <v>0.26663404657784</v>
      </c>
    </row>
    <row r="92" customFormat="false" ht="15" hidden="false" customHeight="false" outlineLevel="0" collapsed="false">
      <c r="A92" s="9" t="n">
        <v>5</v>
      </c>
      <c r="B92" s="8" t="str">
        <f aca="false">INDEX(scomp_cfgname,MATCH(5,scomp_rank,0))</f>
        <v>C8 Full 40' GP – equal-units mix (max)</v>
      </c>
      <c r="C92" s="22" t="n">
        <f aca="false">INDEX(scomp_contrib,MATCH(5,scomp_rank,0))</f>
        <v>-6839.9835592274</v>
      </c>
      <c r="D92" s="26" t="n">
        <f aca="false">INDEX(scomp_cm,MATCH(5,scomp_rank,0))</f>
        <v>-0.421485714787412</v>
      </c>
      <c r="E92" s="20" t="n">
        <f aca="false">INDEX(scomp_cpb,MATCH(5,scomp_rank,0))</f>
        <v>0.27910637240512</v>
      </c>
    </row>
  </sheetData>
  <mergeCells count="11">
    <mergeCell ref="C6:G6"/>
    <mergeCell ref="C7:G7"/>
    <mergeCell ref="B12:G12"/>
    <mergeCell ref="B13:G13"/>
    <mergeCell ref="B68:G68"/>
    <mergeCell ref="B69:G69"/>
    <mergeCell ref="B70:G70"/>
    <mergeCell ref="B71:G71"/>
    <mergeCell ref="B72:G72"/>
    <mergeCell ref="B73:G73"/>
    <mergeCell ref="B74:G74"/>
  </mergeCells>
  <conditionalFormatting sqref="D49:D55">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conditionalFormatting sqref="B68:B74">
    <cfRule type="expression" priority="4" aboveAverage="0" equalAverage="0" bottom="0" percent="0" rank="0" text="" dxfId="0">
      <formula>LEFT(B68,2)="OK"</formula>
    </cfRule>
    <cfRule type="expression" priority="5" aboveAverage="0" equalAverage="0" bottom="0" percent="0" rank="0" text="" dxfId="1">
      <formula>OR(LEFT(B68,4)="FAIL",LEFT(B68,5)="ERROR")</formula>
    </cfRule>
    <cfRule type="expression" priority="6" aboveAverage="0" equalAverage="0" bottom="0" percent="0" rank="0" text="" dxfId="2">
      <formula>LEFT(B68,4)="WARN"</formula>
    </cfRule>
  </conditionalFormatting>
  <dataValidations count="3">
    <dataValidation allowBlank="false" error="Choose a value from the list" errorStyle="stop" errorTitle="Invalid entry" operator="between" showDropDown="false" showErrorMessage="false" showInputMessage="false" sqref="B5" type="list">
      <formula1>"1,2,3"</formula1>
      <formula2>0</formula2>
    </dataValidation>
    <dataValidation allowBlank="false" error="Choose a value from the list" errorStyle="stop" errorTitle="Invalid entry" operator="between" showDropDown="false" showErrorMessage="false" showInputMessage="false" sqref="B6" type="list">
      <formula1>"1,2,3,4,5,6,7,8,9,10"</formula1>
      <formula2>0</formula2>
    </dataValidation>
    <dataValidation allowBlank="false" error="Choose a value from the list" errorStyle="stop" errorTitle="Invalid entry" operator="between" showDropDown="false" showErrorMessage="false" showInputMessage="false" sqref="B7"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B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50"/>
  </cols>
  <sheetData>
    <row r="1" customFormat="false" ht="18.55" hidden="false" customHeight="false" outlineLevel="0" collapsed="false">
      <c r="A1" s="1" t="s">
        <v>116</v>
      </c>
    </row>
    <row r="2" customFormat="false" ht="15" hidden="false" customHeight="false" outlineLevel="0" collapsed="false">
      <c r="A2" s="2" t="s">
        <v>117</v>
      </c>
    </row>
    <row r="4" customFormat="false" ht="15" hidden="false" customHeight="false" outlineLevel="0" collapsed="false">
      <c r="B4" s="29" t="s">
        <v>118</v>
      </c>
    </row>
    <row r="5" customFormat="false" ht="45.75" hidden="false" customHeight="true" outlineLevel="0" collapsed="false">
      <c r="B5" s="30" t="s">
        <v>119</v>
      </c>
    </row>
    <row r="7" customFormat="false" ht="15" hidden="false" customHeight="false" outlineLevel="0" collapsed="false">
      <c r="B7" s="29" t="s">
        <v>120</v>
      </c>
    </row>
    <row r="8" customFormat="false" ht="45.75" hidden="false" customHeight="true" outlineLevel="0" collapsed="false">
      <c r="B8" s="30" t="s">
        <v>121</v>
      </c>
    </row>
    <row r="10" customFormat="false" ht="15" hidden="false" customHeight="false" outlineLevel="0" collapsed="false">
      <c r="B10" s="29" t="s">
        <v>122</v>
      </c>
    </row>
    <row r="11" customFormat="false" ht="45.75" hidden="false" customHeight="true" outlineLevel="0" collapsed="false">
      <c r="B11" s="30" t="s">
        <v>123</v>
      </c>
    </row>
    <row r="13" customFormat="false" ht="15" hidden="false" customHeight="false" outlineLevel="0" collapsed="false">
      <c r="B13" s="29" t="s">
        <v>124</v>
      </c>
    </row>
    <row r="14" customFormat="false" ht="45.75" hidden="false" customHeight="true" outlineLevel="0" collapsed="false">
      <c r="B14" s="30" t="s">
        <v>125</v>
      </c>
    </row>
    <row r="16" customFormat="false" ht="15" hidden="false" customHeight="false" outlineLevel="0" collapsed="false">
      <c r="B16" s="29" t="s">
        <v>126</v>
      </c>
    </row>
    <row r="17" customFormat="false" ht="45.75" hidden="false" customHeight="true" outlineLevel="0" collapsed="false">
      <c r="B17" s="30" t="s">
        <v>127</v>
      </c>
    </row>
    <row r="19" customFormat="false" ht="15" hidden="false" customHeight="false" outlineLevel="0" collapsed="false">
      <c r="B19" s="29" t="s">
        <v>128</v>
      </c>
    </row>
    <row r="20" customFormat="false" ht="45.75" hidden="false" customHeight="true" outlineLevel="0" collapsed="false">
      <c r="B20" s="30" t="s">
        <v>129</v>
      </c>
    </row>
    <row r="22" customFormat="false" ht="15" hidden="false" customHeight="false" outlineLevel="0" collapsed="false">
      <c r="B22" s="29" t="s">
        <v>130</v>
      </c>
    </row>
    <row r="23" customFormat="false" ht="45.75" hidden="false" customHeight="true" outlineLevel="0" collapsed="false">
      <c r="B23" s="30" t="s">
        <v>131</v>
      </c>
    </row>
    <row r="25" customFormat="false" ht="15" hidden="false" customHeight="false" outlineLevel="0" collapsed="false">
      <c r="B25" s="29" t="s">
        <v>132</v>
      </c>
    </row>
    <row r="26" customFormat="false" ht="45.75" hidden="false" customHeight="true" outlineLevel="0" collapsed="false">
      <c r="B26" s="30" t="s">
        <v>133</v>
      </c>
    </row>
    <row r="28" customFormat="false" ht="15" hidden="false" customHeight="false" outlineLevel="0" collapsed="false">
      <c r="B28" s="29" t="s">
        <v>134</v>
      </c>
    </row>
    <row r="29" customFormat="false" ht="45.75" hidden="false" customHeight="true" outlineLevel="0" collapsed="false">
      <c r="B29" s="30" t="s">
        <v>135</v>
      </c>
    </row>
    <row r="31" customFormat="false" ht="15" hidden="false" customHeight="false" outlineLevel="0" collapsed="false">
      <c r="B31" s="29" t="s">
        <v>136</v>
      </c>
    </row>
    <row r="32" customFormat="false" ht="45.75" hidden="false" customHeight="true" outlineLevel="0" collapsed="false">
      <c r="B32" s="30" t="s">
        <v>137</v>
      </c>
    </row>
    <row r="34" customFormat="false" ht="15" hidden="false" customHeight="false" outlineLevel="0" collapsed="false">
      <c r="B34" s="29" t="s">
        <v>138</v>
      </c>
    </row>
    <row r="35" customFormat="false" ht="45.75" hidden="false" customHeight="true" outlineLevel="0" collapsed="false">
      <c r="B35" s="30" t="s">
        <v>139</v>
      </c>
    </row>
    <row r="37" customFormat="false" ht="15" hidden="false" customHeight="false" outlineLevel="0" collapsed="false">
      <c r="B37" s="29" t="s">
        <v>140</v>
      </c>
    </row>
    <row r="38" customFormat="false" ht="45.75" hidden="false" customHeight="true" outlineLevel="0" collapsed="false">
      <c r="B38" s="30" t="s">
        <v>141</v>
      </c>
    </row>
    <row r="40" customFormat="false" ht="15" hidden="false" customHeight="false" outlineLevel="0" collapsed="false">
      <c r="B40" s="29" t="s">
        <v>142</v>
      </c>
    </row>
    <row r="41" customFormat="false" ht="45.75" hidden="false" customHeight="true" outlineLevel="0" collapsed="false">
      <c r="B41" s="30" t="s">
        <v>143</v>
      </c>
    </row>
    <row r="43" customFormat="false" ht="15" hidden="false" customHeight="false" outlineLevel="0" collapsed="false">
      <c r="B43" s="29" t="s">
        <v>144</v>
      </c>
    </row>
    <row r="44" customFormat="false" ht="45.75" hidden="false" customHeight="true" outlineLevel="0" collapsed="false">
      <c r="B44" s="30" t="s">
        <v>145</v>
      </c>
    </row>
    <row r="46" customFormat="false" ht="15" hidden="false" customHeight="false" outlineLevel="0" collapsed="false">
      <c r="B46" s="29" t="s">
        <v>146</v>
      </c>
    </row>
    <row r="47" customFormat="false" ht="45.75" hidden="false" customHeight="true" outlineLevel="0" collapsed="false">
      <c r="B47" s="30" t="s">
        <v>147</v>
      </c>
    </row>
    <row r="49" customFormat="false" ht="15" hidden="false" customHeight="false" outlineLevel="0" collapsed="false">
      <c r="B49" s="29" t="s">
        <v>148</v>
      </c>
    </row>
    <row r="50" customFormat="false" ht="45.75" hidden="false" customHeight="true" outlineLevel="0" collapsed="false">
      <c r="B50" s="30" t="s">
        <v>149</v>
      </c>
    </row>
    <row r="52" customFormat="false" ht="15" hidden="false" customHeight="false" outlineLevel="0" collapsed="false">
      <c r="B52" s="29" t="s">
        <v>150</v>
      </c>
    </row>
    <row r="53" customFormat="false" ht="15" hidden="false" customHeight="false" outlineLevel="0" collapsed="false">
      <c r="B53" s="31" t="s">
        <v>151</v>
      </c>
    </row>
    <row r="54" customFormat="false" ht="15" hidden="false" customHeight="false" outlineLevel="0" collapsed="false">
      <c r="B54" s="31" t="s">
        <v>152</v>
      </c>
    </row>
    <row r="55" customFormat="false" ht="15" hidden="false" customHeight="false" outlineLevel="0" collapsed="false">
      <c r="B55" s="31" t="s">
        <v>153</v>
      </c>
    </row>
    <row r="56" customFormat="false" ht="15" hidden="false" customHeight="false" outlineLevel="0" collapsed="false">
      <c r="B56" s="31" t="s">
        <v>154</v>
      </c>
    </row>
    <row r="57" customFormat="false" ht="15" hidden="false" customHeight="false" outlineLevel="0" collapsed="false">
      <c r="B57" s="31" t="s">
        <v>155</v>
      </c>
    </row>
    <row r="58" customFormat="false" ht="15" hidden="false" customHeight="false" outlineLevel="0" collapsed="false">
      <c r="B58" s="31" t="s">
        <v>156</v>
      </c>
    </row>
    <row r="59" customFormat="false" ht="15" hidden="false" customHeight="false" outlineLevel="0" collapsed="false">
      <c r="B59" s="31" t="s">
        <v>157</v>
      </c>
    </row>
    <row r="60" customFormat="false" ht="15" hidden="false" customHeight="false" outlineLevel="0" collapsed="false">
      <c r="B60" s="31" t="s">
        <v>158</v>
      </c>
    </row>
    <row r="61" customFormat="false" ht="15" hidden="false" customHeight="false" outlineLevel="0" collapsed="false">
      <c r="B61" s="31" t="s">
        <v>159</v>
      </c>
    </row>
    <row r="62" customFormat="false" ht="15" hidden="false" customHeight="false" outlineLevel="0" collapsed="false">
      <c r="B62" s="31" t="s">
        <v>160</v>
      </c>
    </row>
    <row r="63" customFormat="false" ht="15" hidden="false" customHeight="false" outlineLevel="0" collapsed="false">
      <c r="B63" s="31" t="s">
        <v>161</v>
      </c>
    </row>
    <row r="64" customFormat="false" ht="15" hidden="false" customHeight="false" outlineLevel="0" collapsed="false">
      <c r="B64" s="31" t="s">
        <v>162</v>
      </c>
    </row>
    <row r="65" customFormat="false" ht="15" hidden="false" customHeight="false" outlineLevel="0" collapsed="false">
      <c r="B65" s="31" t="s">
        <v>163</v>
      </c>
    </row>
    <row r="66" customFormat="false" ht="15" hidden="false" customHeight="false" outlineLevel="0" collapsed="false">
      <c r="B66" s="31" t="s">
        <v>164</v>
      </c>
    </row>
    <row r="67" customFormat="false" ht="15" hidden="false" customHeight="false" outlineLevel="0" collapsed="false">
      <c r="B67" s="31" t="s">
        <v>165</v>
      </c>
    </row>
    <row r="68" customFormat="false" ht="15" hidden="false" customHeight="false" outlineLevel="0" collapsed="false">
      <c r="B68" s="31" t="s">
        <v>166</v>
      </c>
    </row>
    <row r="69" customFormat="false" ht="15" hidden="false" customHeight="false" outlineLevel="0" collapsed="false">
      <c r="B69" s="31" t="s">
        <v>167</v>
      </c>
    </row>
    <row r="70" customFormat="false" ht="15" hidden="false" customHeight="false" outlineLevel="0" collapsed="false">
      <c r="B70" s="31" t="s">
        <v>168</v>
      </c>
    </row>
    <row r="71" customFormat="false" ht="15" hidden="false" customHeight="false" outlineLevel="0" collapsed="false">
      <c r="B71" s="31" t="s">
        <v>169</v>
      </c>
    </row>
    <row r="72" customFormat="false" ht="15" hidden="false" customHeight="false" outlineLevel="0" collapsed="false">
      <c r="B72" s="31" t="s">
        <v>170</v>
      </c>
    </row>
    <row r="73" customFormat="false" ht="15" hidden="false" customHeight="false" outlineLevel="0" collapsed="false">
      <c r="B73" s="31" t="s">
        <v>171</v>
      </c>
    </row>
    <row r="74" customFormat="false" ht="15" hidden="false" customHeight="false" outlineLevel="0" collapsed="false">
      <c r="B74" s="31" t="s">
        <v>172</v>
      </c>
    </row>
    <row r="75" customFormat="false" ht="15" hidden="false" customHeight="false" outlineLevel="0" collapsed="false">
      <c r="B75" s="31" t="s">
        <v>173</v>
      </c>
    </row>
    <row r="76" customFormat="false" ht="15" hidden="false" customHeight="false" outlineLevel="0" collapsed="false">
      <c r="B76" s="31" t="s">
        <v>174</v>
      </c>
    </row>
    <row r="77" customFormat="false" ht="15" hidden="false" customHeight="false" outlineLevel="0" collapsed="false">
      <c r="B77" s="31" t="s">
        <v>175</v>
      </c>
    </row>
    <row r="78" customFormat="false" ht="15" hidden="false" customHeight="false" outlineLevel="0" collapsed="false">
      <c r="B78" s="31" t="s">
        <v>176</v>
      </c>
    </row>
    <row r="79" customFormat="false" ht="15" hidden="false" customHeight="false" outlineLevel="0" collapsed="false">
      <c r="B79" s="31" t="s">
        <v>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U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4"/>
    <col collapsed="false" customWidth="true" hidden="false" outlineLevel="0" max="3" min="3" style="0" width="26"/>
    <col collapsed="false" customWidth="true" hidden="false" outlineLevel="0" max="4" min="4" style="0" width="24"/>
    <col collapsed="false" customWidth="true" hidden="false" outlineLevel="0" max="5" min="5" style="0" width="50"/>
    <col collapsed="false" customWidth="true" hidden="false" outlineLevel="0" max="8" min="6" style="0" width="7"/>
    <col collapsed="false" customWidth="true" hidden="false" outlineLevel="0" max="11" min="9" style="0" width="8"/>
    <col collapsed="false" customWidth="true" hidden="false" outlineLevel="0" max="12" min="12" style="0" width="9"/>
    <col collapsed="false" customWidth="true" hidden="false" outlineLevel="0" max="14" min="13" style="0" width="10"/>
    <col collapsed="false" customWidth="true" hidden="false" outlineLevel="0" max="16" min="15" style="0" width="12"/>
    <col collapsed="false" customWidth="true" hidden="false" outlineLevel="0" max="18" min="17" style="0" width="10"/>
    <col collapsed="false" customWidth="true" hidden="false" outlineLevel="0" max="19" min="19" style="0" width="11"/>
    <col collapsed="false" customWidth="true" hidden="false" outlineLevel="0" max="20" min="20" style="0" width="12"/>
    <col collapsed="false" customWidth="true" hidden="false" outlineLevel="0" max="21" min="21" style="0" width="10"/>
  </cols>
  <sheetData>
    <row r="1" customFormat="false" ht="18.55" hidden="false" customHeight="false" outlineLevel="0" collapsed="false">
      <c r="A1" s="1" t="s">
        <v>178</v>
      </c>
    </row>
    <row r="2" customFormat="false" ht="15" hidden="false" customHeight="false" outlineLevel="0" collapsed="false">
      <c r="A2" s="2" t="s">
        <v>179</v>
      </c>
    </row>
    <row r="4" customFormat="false" ht="23.85" hidden="false" customHeight="false" outlineLevel="0" collapsed="false">
      <c r="A4" s="13" t="s">
        <v>180</v>
      </c>
      <c r="B4" s="13" t="s">
        <v>181</v>
      </c>
      <c r="C4" s="13" t="s">
        <v>182</v>
      </c>
      <c r="D4" s="13" t="s">
        <v>183</v>
      </c>
      <c r="E4" s="13" t="s">
        <v>184</v>
      </c>
      <c r="F4" s="13" t="s">
        <v>185</v>
      </c>
      <c r="G4" s="13" t="s">
        <v>186</v>
      </c>
      <c r="H4" s="13" t="s">
        <v>187</v>
      </c>
      <c r="I4" s="13" t="s">
        <v>188</v>
      </c>
      <c r="J4" s="13" t="s">
        <v>189</v>
      </c>
      <c r="K4" s="13" t="s">
        <v>190</v>
      </c>
      <c r="L4" s="13" t="s">
        <v>191</v>
      </c>
      <c r="M4" s="13" t="s">
        <v>192</v>
      </c>
      <c r="N4" s="13" t="s">
        <v>193</v>
      </c>
      <c r="O4" s="13" t="s">
        <v>194</v>
      </c>
      <c r="P4" s="13" t="s">
        <v>195</v>
      </c>
      <c r="Q4" s="13" t="s">
        <v>196</v>
      </c>
      <c r="R4" s="13" t="s">
        <v>197</v>
      </c>
      <c r="S4" s="13" t="s">
        <v>198</v>
      </c>
      <c r="T4" s="13" t="s">
        <v>199</v>
      </c>
      <c r="U4" s="13" t="s">
        <v>200</v>
      </c>
    </row>
    <row r="5" customFormat="false" ht="48" hidden="false" customHeight="true" outlineLevel="0" collapsed="false">
      <c r="A5" s="5" t="s">
        <v>15</v>
      </c>
      <c r="B5" s="32" t="s">
        <v>201</v>
      </c>
      <c r="C5" s="16" t="s">
        <v>202</v>
      </c>
      <c r="D5" s="16" t="s">
        <v>203</v>
      </c>
      <c r="E5" s="12" t="s">
        <v>204</v>
      </c>
      <c r="F5" s="10" t="n">
        <f aca="false">q_L_3464</f>
        <v>355</v>
      </c>
      <c r="G5" s="10" t="n">
        <f aca="false">q_W_3464</f>
        <v>355</v>
      </c>
      <c r="H5" s="10" t="n">
        <f aca="false">q_H_3464</f>
        <v>50</v>
      </c>
      <c r="I5" s="33" t="n">
        <f aca="false">F5/25.4</f>
        <v>13.9763779527559</v>
      </c>
      <c r="J5" s="33" t="n">
        <f aca="false">G5/25.4</f>
        <v>13.9763779527559</v>
      </c>
      <c r="K5" s="33" t="n">
        <f aca="false">H5/25.4</f>
        <v>1.96850393700787</v>
      </c>
      <c r="L5" s="9" t="s">
        <v>205</v>
      </c>
      <c r="M5" s="34" t="n">
        <f aca="false">F5*G5/1000000</f>
        <v>0.126025</v>
      </c>
      <c r="N5" s="24" t="n">
        <f aca="false">q_price_3464</f>
        <v>8.365</v>
      </c>
      <c r="O5" s="35" t="n">
        <f aca="false">N5/M5</f>
        <v>66.3757191033525</v>
      </c>
      <c r="P5" s="22" t="n">
        <f aca="false">O5/fx_active</f>
        <v>1.2577161657335</v>
      </c>
      <c r="Q5" s="10" t="n">
        <f aca="false">INDEX(lg_blankL_3464,2)</f>
        <v>935</v>
      </c>
      <c r="R5" s="10" t="n">
        <f aca="false">INDEX(lg_blankW_3464,2)</f>
        <v>468</v>
      </c>
      <c r="S5" s="34" t="n">
        <f aca="false">Q5*R5/1000000*INDEX(in_eng_net_area,1,2)</f>
        <v>0.4025736</v>
      </c>
      <c r="T5" s="35" t="n">
        <f aca="false">N5/S5</f>
        <v>20.7788091419805</v>
      </c>
      <c r="U5" s="36" t="s">
        <v>206</v>
      </c>
    </row>
    <row r="6" customFormat="false" ht="48" hidden="false" customHeight="true" outlineLevel="0" collapsed="false">
      <c r="A6" s="5" t="s">
        <v>16</v>
      </c>
      <c r="B6" s="32" t="s">
        <v>207</v>
      </c>
      <c r="C6" s="16" t="s">
        <v>208</v>
      </c>
      <c r="D6" s="16" t="s">
        <v>209</v>
      </c>
      <c r="E6" s="12" t="s">
        <v>210</v>
      </c>
      <c r="F6" s="10" t="n">
        <f aca="false">q_L_3463</f>
        <v>405</v>
      </c>
      <c r="G6" s="10" t="n">
        <f aca="false">q_W_3463</f>
        <v>405</v>
      </c>
      <c r="H6" s="10" t="n">
        <f aca="false">q_H_3463</f>
        <v>50</v>
      </c>
      <c r="I6" s="33" t="n">
        <f aca="false">F6/25.4</f>
        <v>15.9448818897638</v>
      </c>
      <c r="J6" s="33" t="n">
        <f aca="false">G6/25.4</f>
        <v>15.9448818897638</v>
      </c>
      <c r="K6" s="33" t="n">
        <f aca="false">H6/25.4</f>
        <v>1.96850393700787</v>
      </c>
      <c r="L6" s="9" t="s">
        <v>211</v>
      </c>
      <c r="M6" s="34" t="n">
        <f aca="false">F6*G6/1000000</f>
        <v>0.164025</v>
      </c>
      <c r="N6" s="24" t="n">
        <f aca="false">q_price_3463</f>
        <v>7.9</v>
      </c>
      <c r="O6" s="35" t="n">
        <f aca="false">N6/M6</f>
        <v>48.1633897271757</v>
      </c>
      <c r="P6" s="22" t="n">
        <f aca="false">O6/fx_active</f>
        <v>0.91262098060392</v>
      </c>
      <c r="Q6" s="10" t="n">
        <f aca="false">INDEX(lg_blankL_3463,2)</f>
        <v>1035</v>
      </c>
      <c r="R6" s="10" t="n">
        <f aca="false">INDEX(lg_blankW_3463,2)</f>
        <v>518</v>
      </c>
      <c r="S6" s="34" t="n">
        <f aca="false">Q6*R6/1000000*INDEX(in_eng_net_area,1,2)</f>
        <v>0.4932396</v>
      </c>
      <c r="T6" s="35" t="n">
        <f aca="false">N6/S6</f>
        <v>16.0165566592788</v>
      </c>
      <c r="U6" s="36" t="s">
        <v>206</v>
      </c>
    </row>
    <row r="7" customFormat="false" ht="48" hidden="false" customHeight="true" outlineLevel="0" collapsed="false">
      <c r="A7" s="5" t="s">
        <v>17</v>
      </c>
      <c r="B7" s="32" t="s">
        <v>212</v>
      </c>
      <c r="C7" s="16" t="s">
        <v>213</v>
      </c>
      <c r="D7" s="16" t="s">
        <v>214</v>
      </c>
      <c r="E7" s="12" t="s">
        <v>215</v>
      </c>
      <c r="F7" s="10" t="n">
        <f aca="false">q_L_3460</f>
        <v>305</v>
      </c>
      <c r="G7" s="10" t="n">
        <f aca="false">q_W_3460</f>
        <v>305</v>
      </c>
      <c r="H7" s="10" t="n">
        <f aca="false">q_H_3460</f>
        <v>50</v>
      </c>
      <c r="I7" s="33" t="n">
        <f aca="false">F7/25.4</f>
        <v>12.007874015748</v>
      </c>
      <c r="J7" s="33" t="n">
        <f aca="false">G7/25.4</f>
        <v>12.007874015748</v>
      </c>
      <c r="K7" s="33" t="n">
        <f aca="false">H7/25.4</f>
        <v>1.96850393700787</v>
      </c>
      <c r="L7" s="9" t="s">
        <v>216</v>
      </c>
      <c r="M7" s="34" t="n">
        <f aca="false">F7*G7/1000000</f>
        <v>0.093025</v>
      </c>
      <c r="N7" s="24" t="n">
        <f aca="false">q_price_3460</f>
        <v>6.9</v>
      </c>
      <c r="O7" s="35" t="n">
        <f aca="false">N7/M7</f>
        <v>74.1736092448267</v>
      </c>
      <c r="P7" s="22" t="n">
        <f aca="false">O7/fx_active</f>
        <v>1.40547399980344</v>
      </c>
      <c r="Q7" s="10" t="n">
        <f aca="false">INDEX(lg_blankL_3460,2)</f>
        <v>835</v>
      </c>
      <c r="R7" s="10" t="n">
        <f aca="false">INDEX(lg_blankW_3460,2)</f>
        <v>418</v>
      </c>
      <c r="S7" s="34" t="n">
        <f aca="false">Q7*R7/1000000*INDEX(in_eng_net_area,1,2)</f>
        <v>0.3211076</v>
      </c>
      <c r="T7" s="35" t="n">
        <f aca="false">N7/S7</f>
        <v>21.4881242300089</v>
      </c>
      <c r="U7" s="36" t="s">
        <v>217</v>
      </c>
    </row>
    <row r="9" customFormat="false" ht="15" hidden="false" customHeight="false" outlineLevel="0" collapsed="false">
      <c r="A9" s="5" t="s">
        <v>218</v>
      </c>
    </row>
    <row r="10" customFormat="false" ht="27.75" hidden="false" customHeight="true" outlineLevel="0" collapsed="false">
      <c r="B10" s="16" t="s">
        <v>219</v>
      </c>
      <c r="C10" s="16"/>
      <c r="D10" s="16"/>
      <c r="E10" s="16"/>
      <c r="F10" s="16"/>
      <c r="G10" s="16"/>
      <c r="H10" s="16"/>
      <c r="I10" s="16"/>
      <c r="J10" s="16"/>
      <c r="K10" s="16"/>
      <c r="L10" s="16"/>
      <c r="M10" s="16"/>
      <c r="N10" s="16"/>
      <c r="O10" s="16"/>
      <c r="P10" s="16"/>
    </row>
    <row r="11" customFormat="false" ht="27.75" hidden="false" customHeight="true" outlineLevel="0" collapsed="false">
      <c r="B11" s="16" t="s">
        <v>220</v>
      </c>
      <c r="C11" s="16"/>
      <c r="D11" s="16"/>
      <c r="E11" s="16"/>
      <c r="F11" s="16"/>
      <c r="G11" s="16"/>
      <c r="H11" s="16"/>
      <c r="I11" s="16"/>
      <c r="J11" s="16"/>
      <c r="K11" s="16"/>
      <c r="L11" s="16"/>
      <c r="M11" s="16"/>
      <c r="N11" s="16"/>
      <c r="O11" s="16"/>
      <c r="P11" s="16"/>
    </row>
    <row r="12" customFormat="false" ht="27.75" hidden="false" customHeight="true" outlineLevel="0" collapsed="false">
      <c r="B12" s="16" t="s">
        <v>221</v>
      </c>
      <c r="C12" s="16"/>
      <c r="D12" s="16"/>
      <c r="E12" s="16"/>
      <c r="F12" s="16"/>
      <c r="G12" s="16"/>
      <c r="H12" s="16"/>
      <c r="I12" s="16"/>
      <c r="J12" s="16"/>
      <c r="K12" s="16"/>
      <c r="L12" s="16"/>
      <c r="M12" s="16"/>
      <c r="N12" s="16"/>
      <c r="O12" s="16"/>
      <c r="P12" s="16"/>
    </row>
  </sheetData>
  <mergeCells count="3">
    <mergeCell ref="B10:P10"/>
    <mergeCell ref="B11:P11"/>
    <mergeCell ref="B12:P12"/>
  </mergeCells>
  <dataValidations count="1">
    <dataValidation allowBlank="false" error="Choose a value from the list" errorStyle="stop" errorTitle="Invalid entry" operator="between" showDropDown="false" showErrorMessage="false" showInputMessage="false" sqref="U5:U7" type="list">
      <formula1>"B,E"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P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11"/>
    <col collapsed="false" customWidth="true" hidden="false" outlineLevel="0" max="6" min="4" style="0" width="9"/>
    <col collapsed="false" customWidth="true" hidden="false" outlineLevel="0" max="7" min="7" style="0" width="10"/>
    <col collapsed="false" customWidth="true" hidden="false" outlineLevel="0" max="8" min="8" style="0" width="12"/>
    <col collapsed="false" customWidth="true" hidden="false" outlineLevel="0" max="10" min="9" style="0" width="15"/>
    <col collapsed="false" customWidth="true" hidden="false" outlineLevel="0" max="11" min="11" style="0" width="11"/>
    <col collapsed="false" customWidth="true" hidden="false" outlineLevel="0" max="12" min="12" style="0" width="12"/>
    <col collapsed="false" customWidth="true" hidden="false" outlineLevel="0" max="14" min="13" style="0" width="13"/>
    <col collapsed="false" customWidth="true" hidden="false" outlineLevel="0" max="16" min="15" style="0" width="14"/>
  </cols>
  <sheetData>
    <row r="1" customFormat="false" ht="18.55" hidden="false" customHeight="false" outlineLevel="0" collapsed="false">
      <c r="A1" s="1" t="s">
        <v>222</v>
      </c>
    </row>
    <row r="2" customFormat="false" ht="15" hidden="false" customHeight="false" outlineLevel="0" collapsed="false">
      <c r="A2" s="2" t="s">
        <v>223</v>
      </c>
    </row>
    <row r="4" customFormat="false" ht="15" hidden="false" customHeight="false" outlineLevel="0" collapsed="false">
      <c r="A4" s="3" t="s">
        <v>224</v>
      </c>
      <c r="B4" s="4"/>
      <c r="C4" s="4"/>
      <c r="D4" s="4"/>
      <c r="E4" s="4"/>
      <c r="F4" s="4"/>
      <c r="G4" s="4"/>
      <c r="H4" s="4"/>
      <c r="I4" s="4"/>
      <c r="J4" s="4"/>
      <c r="K4" s="4"/>
      <c r="L4" s="4"/>
      <c r="M4" s="4"/>
      <c r="N4" s="4"/>
      <c r="O4" s="4"/>
      <c r="P4" s="4"/>
    </row>
    <row r="5" customFormat="false" ht="15" hidden="false" customHeight="false" outlineLevel="0" collapsed="false">
      <c r="A5" s="5" t="s">
        <v>225</v>
      </c>
      <c r="B5" s="36" t="s">
        <v>226</v>
      </c>
      <c r="C5" s="36"/>
      <c r="D5" s="36"/>
      <c r="E5" s="36"/>
      <c r="F5" s="36"/>
      <c r="G5" s="36"/>
      <c r="H5" s="36"/>
    </row>
    <row r="6" customFormat="false" ht="15" hidden="false" customHeight="false" outlineLevel="0" collapsed="false">
      <c r="A6" s="5" t="s">
        <v>227</v>
      </c>
      <c r="B6" s="11" t="n">
        <v>46288</v>
      </c>
    </row>
    <row r="7" customFormat="false" ht="15" hidden="false" customHeight="false" outlineLevel="0" collapsed="false">
      <c r="A7" s="5" t="s">
        <v>228</v>
      </c>
      <c r="B7" s="11" t="n">
        <v>46295</v>
      </c>
    </row>
    <row r="8" customFormat="false" ht="15" hidden="false" customHeight="false" outlineLevel="0" collapsed="false">
      <c r="A8" s="5" t="s">
        <v>229</v>
      </c>
      <c r="B8" s="36" t="s">
        <v>230</v>
      </c>
      <c r="C8" s="36"/>
      <c r="D8" s="36"/>
      <c r="E8" s="36"/>
      <c r="F8" s="36"/>
      <c r="G8" s="36"/>
      <c r="H8" s="36"/>
    </row>
    <row r="9" customFormat="false" ht="15" hidden="false" customHeight="false" outlineLevel="0" collapsed="false">
      <c r="A9" s="5" t="s">
        <v>231</v>
      </c>
      <c r="B9" s="28" t="n">
        <v>0.14</v>
      </c>
    </row>
    <row r="10" customFormat="false" ht="15" hidden="false" customHeight="false" outlineLevel="0" collapsed="false">
      <c r="A10" s="5" t="s">
        <v>232</v>
      </c>
      <c r="B10" s="36" t="s">
        <v>233</v>
      </c>
      <c r="C10" s="36"/>
      <c r="D10" s="36"/>
      <c r="E10" s="36"/>
      <c r="F10" s="36"/>
      <c r="G10" s="36"/>
      <c r="H10" s="36"/>
    </row>
    <row r="11" customFormat="false" ht="15" hidden="false" customHeight="false" outlineLevel="0" collapsed="false">
      <c r="A11" s="5" t="s">
        <v>234</v>
      </c>
      <c r="B11" s="36" t="s">
        <v>235</v>
      </c>
      <c r="C11" s="36"/>
      <c r="D11" s="36"/>
      <c r="E11" s="36"/>
      <c r="F11" s="36"/>
      <c r="G11" s="36"/>
      <c r="H11" s="36"/>
    </row>
    <row r="12" customFormat="false" ht="15" hidden="false" customHeight="false" outlineLevel="0" collapsed="false">
      <c r="A12" s="5" t="s">
        <v>236</v>
      </c>
      <c r="B12" s="36" t="s">
        <v>237</v>
      </c>
      <c r="C12" s="36"/>
      <c r="D12" s="36"/>
      <c r="E12" s="36"/>
      <c r="F12" s="36"/>
      <c r="G12" s="36"/>
      <c r="H12" s="36"/>
    </row>
    <row r="13" customFormat="false" ht="15" hidden="false" customHeight="false" outlineLevel="0" collapsed="false">
      <c r="A13" s="5" t="s">
        <v>238</v>
      </c>
      <c r="B13" s="37" t="s">
        <v>239</v>
      </c>
      <c r="C13" s="37"/>
      <c r="D13" s="37"/>
      <c r="E13" s="37"/>
      <c r="F13" s="37"/>
      <c r="G13" s="37"/>
      <c r="H13" s="37"/>
    </row>
    <row r="14" customFormat="false" ht="15" hidden="false" customHeight="false" outlineLevel="0" collapsed="false">
      <c r="A14" s="5" t="s">
        <v>240</v>
      </c>
      <c r="B14" s="36" t="s">
        <v>241</v>
      </c>
      <c r="C14" s="36"/>
      <c r="D14" s="36"/>
      <c r="E14" s="36"/>
      <c r="F14" s="36"/>
      <c r="G14" s="36"/>
      <c r="H14" s="36"/>
    </row>
    <row r="15" customFormat="false" ht="15" hidden="false" customHeight="false" outlineLevel="0" collapsed="false">
      <c r="A15" s="5" t="s">
        <v>242</v>
      </c>
      <c r="B15" s="36" t="s">
        <v>243</v>
      </c>
      <c r="C15" s="36"/>
      <c r="D15" s="36"/>
      <c r="E15" s="36"/>
      <c r="F15" s="36"/>
      <c r="G15" s="36"/>
      <c r="H15" s="36"/>
    </row>
    <row r="16" customFormat="false" ht="15" hidden="false" customHeight="false" outlineLevel="0" collapsed="false">
      <c r="A16" s="5" t="s">
        <v>244</v>
      </c>
      <c r="B16" s="36" t="s">
        <v>245</v>
      </c>
      <c r="C16" s="36"/>
      <c r="D16" s="36"/>
      <c r="E16" s="36"/>
      <c r="F16" s="36"/>
      <c r="G16" s="36"/>
      <c r="H16" s="36"/>
    </row>
    <row r="17" customFormat="false" ht="15" hidden="false" customHeight="false" outlineLevel="0" collapsed="false">
      <c r="A17" s="5" t="s">
        <v>246</v>
      </c>
      <c r="B17" s="8" t="str">
        <f aca="false">IF(val_date&gt;q_valid_until,"EXPIRED "&amp;TEXT(val_date-q_valid_until,"0")&amp;" days before valuation date – prices are historical reference only","Valid")</f>
        <v>EXPIRED 16 days before valuation date – prices are historical reference only</v>
      </c>
      <c r="C17" s="8"/>
      <c r="D17" s="8"/>
      <c r="E17" s="8"/>
      <c r="F17" s="8"/>
      <c r="G17" s="8"/>
      <c r="H17" s="8"/>
    </row>
    <row r="19" customFormat="false" ht="15" hidden="false" customHeight="false" outlineLevel="0" collapsed="false">
      <c r="A19" s="3" t="s">
        <v>247</v>
      </c>
      <c r="B19" s="4"/>
      <c r="C19" s="4"/>
      <c r="D19" s="4"/>
      <c r="E19" s="4"/>
      <c r="F19" s="4"/>
      <c r="G19" s="4"/>
      <c r="H19" s="4"/>
      <c r="I19" s="4"/>
      <c r="J19" s="4"/>
      <c r="K19" s="4"/>
      <c r="L19" s="4"/>
      <c r="M19" s="4"/>
      <c r="N19" s="4"/>
      <c r="O19" s="4"/>
      <c r="P19" s="4"/>
    </row>
    <row r="20" customFormat="false" ht="23.85" hidden="false" customHeight="false" outlineLevel="0" collapsed="false">
      <c r="A20" s="13" t="s">
        <v>248</v>
      </c>
      <c r="B20" s="13" t="s">
        <v>181</v>
      </c>
      <c r="C20" s="13" t="s">
        <v>249</v>
      </c>
      <c r="D20" s="13" t="s">
        <v>185</v>
      </c>
      <c r="E20" s="13" t="s">
        <v>186</v>
      </c>
      <c r="F20" s="13" t="s">
        <v>187</v>
      </c>
      <c r="G20" s="13" t="s">
        <v>250</v>
      </c>
      <c r="H20" s="13" t="s">
        <v>193</v>
      </c>
      <c r="I20" s="13" t="s">
        <v>251</v>
      </c>
      <c r="J20" s="13" t="s">
        <v>252</v>
      </c>
      <c r="K20" s="13" t="s">
        <v>253</v>
      </c>
      <c r="L20" s="13" t="s">
        <v>254</v>
      </c>
      <c r="M20" s="13" t="s">
        <v>255</v>
      </c>
      <c r="N20" s="13" t="s">
        <v>256</v>
      </c>
      <c r="O20" s="13" t="s">
        <v>257</v>
      </c>
      <c r="P20" s="13" t="s">
        <v>258</v>
      </c>
    </row>
    <row r="21" customFormat="false" ht="15" hidden="false" customHeight="false" outlineLevel="0" collapsed="false">
      <c r="A21" s="5" t="s">
        <v>15</v>
      </c>
      <c r="B21" s="38" t="s">
        <v>201</v>
      </c>
      <c r="C21" s="9" t="s">
        <v>259</v>
      </c>
      <c r="D21" s="39" t="n">
        <v>355</v>
      </c>
      <c r="E21" s="39" t="n">
        <v>355</v>
      </c>
      <c r="F21" s="39" t="n">
        <v>50</v>
      </c>
      <c r="G21" s="39" t="n">
        <v>20000</v>
      </c>
      <c r="H21" s="40" t="n">
        <v>8.365</v>
      </c>
      <c r="I21" s="41" t="n">
        <v>167300</v>
      </c>
      <c r="J21" s="35" t="n">
        <f aca="false">G21*H21</f>
        <v>167300</v>
      </c>
      <c r="K21" s="35" t="n">
        <f aca="false">J21-I21</f>
        <v>0</v>
      </c>
      <c r="L21" s="20" t="n">
        <f aca="false">H21/fx_active</f>
        <v>0.158503679786565</v>
      </c>
      <c r="M21" s="22" t="n">
        <f aca="false">J21/fx_active</f>
        <v>3170.0735957313</v>
      </c>
      <c r="N21" s="35" t="n">
        <f aca="false">H21*1000</f>
        <v>8365</v>
      </c>
      <c r="O21" s="35" t="n">
        <f aca="false">H21/(D21*E21/1000000)</f>
        <v>66.3757191033525</v>
      </c>
      <c r="P21" s="24" t="n">
        <f aca="false">H21*(1+q_tax_rate)</f>
        <v>9.5361</v>
      </c>
    </row>
    <row r="22" customFormat="false" ht="15" hidden="false" customHeight="false" outlineLevel="0" collapsed="false">
      <c r="A22" s="5" t="s">
        <v>16</v>
      </c>
      <c r="B22" s="38" t="s">
        <v>207</v>
      </c>
      <c r="C22" s="9" t="s">
        <v>259</v>
      </c>
      <c r="D22" s="39" t="n">
        <v>405</v>
      </c>
      <c r="E22" s="39" t="n">
        <v>405</v>
      </c>
      <c r="F22" s="39" t="n">
        <v>50</v>
      </c>
      <c r="G22" s="39" t="n">
        <v>20000</v>
      </c>
      <c r="H22" s="40" t="n">
        <v>7.9</v>
      </c>
      <c r="I22" s="41" t="n">
        <v>158000</v>
      </c>
      <c r="J22" s="35" t="n">
        <f aca="false">G22*H22</f>
        <v>158000</v>
      </c>
      <c r="K22" s="35" t="n">
        <f aca="false">J22-I22</f>
        <v>0</v>
      </c>
      <c r="L22" s="20" t="n">
        <f aca="false">H22/fx_active</f>
        <v>0.149692656343558</v>
      </c>
      <c r="M22" s="22" t="n">
        <f aca="false">J22/fx_active</f>
        <v>2993.85312687116</v>
      </c>
      <c r="N22" s="35" t="n">
        <f aca="false">H22*1000</f>
        <v>7900</v>
      </c>
      <c r="O22" s="35" t="n">
        <f aca="false">H22/(D22*E22/1000000)</f>
        <v>48.1633897271757</v>
      </c>
      <c r="P22" s="24" t="n">
        <f aca="false">H22*(1+q_tax_rate)</f>
        <v>9.006</v>
      </c>
    </row>
    <row r="23" customFormat="false" ht="15" hidden="false" customHeight="false" outlineLevel="0" collapsed="false">
      <c r="A23" s="5" t="s">
        <v>17</v>
      </c>
      <c r="B23" s="38" t="s">
        <v>212</v>
      </c>
      <c r="C23" s="9" t="s">
        <v>259</v>
      </c>
      <c r="D23" s="39" t="n">
        <v>305</v>
      </c>
      <c r="E23" s="39" t="n">
        <v>305</v>
      </c>
      <c r="F23" s="39" t="n">
        <v>50</v>
      </c>
      <c r="G23" s="39" t="n">
        <v>20000</v>
      </c>
      <c r="H23" s="40" t="n">
        <v>6.9</v>
      </c>
      <c r="I23" s="41" t="n">
        <v>138000</v>
      </c>
      <c r="J23" s="35" t="n">
        <f aca="false">G23*H23</f>
        <v>138000</v>
      </c>
      <c r="K23" s="35" t="n">
        <f aca="false">J23-I23</f>
        <v>0</v>
      </c>
      <c r="L23" s="20" t="n">
        <f aca="false">H23/fx_active</f>
        <v>0.130744218831715</v>
      </c>
      <c r="M23" s="22" t="n">
        <f aca="false">J23/fx_active</f>
        <v>2614.8843766343</v>
      </c>
      <c r="N23" s="35" t="n">
        <f aca="false">H23*1000</f>
        <v>6900</v>
      </c>
      <c r="O23" s="35" t="n">
        <f aca="false">H23/(D23*E23/1000000)</f>
        <v>74.1736092448267</v>
      </c>
      <c r="P23" s="24" t="n">
        <f aca="false">H23*(1+q_tax_rate)</f>
        <v>7.866</v>
      </c>
    </row>
    <row r="24" customFormat="false" ht="15" hidden="false" customHeight="false" outlineLevel="0" collapsed="false">
      <c r="A24" s="5" t="s">
        <v>260</v>
      </c>
      <c r="G24" s="42" t="n">
        <f aca="false">SUM(G21:G23)</f>
        <v>60000</v>
      </c>
      <c r="J24" s="43" t="n">
        <f aca="false">SUM(J21:J23)</f>
        <v>463300</v>
      </c>
      <c r="M24" s="44" t="n">
        <f aca="false">SUM(M21:M23)</f>
        <v>8778.81109923676</v>
      </c>
    </row>
    <row r="26" customFormat="false" ht="23.85" hidden="false" customHeight="false" outlineLevel="0" collapsed="false">
      <c r="A26" s="13" t="s">
        <v>261</v>
      </c>
      <c r="B26" s="13" t="s">
        <v>262</v>
      </c>
      <c r="C26" s="13" t="s">
        <v>263</v>
      </c>
      <c r="D26" s="13" t="s">
        <v>253</v>
      </c>
      <c r="E26" s="13" t="s">
        <v>264</v>
      </c>
    </row>
    <row r="27" customFormat="false" ht="15" hidden="false" customHeight="false" outlineLevel="0" collapsed="false">
      <c r="A27" s="9" t="s">
        <v>265</v>
      </c>
      <c r="B27" s="41" t="n">
        <v>463300</v>
      </c>
      <c r="C27" s="35" t="n">
        <f aca="false">q_sub_calc</f>
        <v>463300</v>
      </c>
      <c r="D27" s="35" t="n">
        <f aca="false">C27-B27</f>
        <v>0</v>
      </c>
      <c r="E27" s="8" t="str">
        <f aca="false">IF(ABS(D27)&lt;0.005,"OK","FAIL")</f>
        <v>OK</v>
      </c>
    </row>
    <row r="28" customFormat="false" ht="15" hidden="false" customHeight="false" outlineLevel="0" collapsed="false">
      <c r="A28" s="9" t="s">
        <v>266</v>
      </c>
      <c r="B28" s="41" t="n">
        <v>64862</v>
      </c>
      <c r="C28" s="35" t="n">
        <f aca="false">q_sub_calc*q_tax_rate</f>
        <v>64862</v>
      </c>
      <c r="D28" s="35" t="n">
        <f aca="false">C28-B28</f>
        <v>0</v>
      </c>
      <c r="E28" s="8" t="str">
        <f aca="false">IF(ABS(D28)&lt;0.005,"OK","FAIL")</f>
        <v>OK</v>
      </c>
    </row>
    <row r="29" customFormat="false" ht="15" hidden="false" customHeight="false" outlineLevel="0" collapsed="false">
      <c r="A29" s="9" t="s">
        <v>267</v>
      </c>
      <c r="B29" s="41" t="n">
        <v>528162</v>
      </c>
      <c r="C29" s="35" t="n">
        <f aca="false">q_sub_calc*(1+q_tax_rate)</f>
        <v>528162</v>
      </c>
      <c r="D29" s="35" t="n">
        <f aca="false">C29-B29</f>
        <v>0</v>
      </c>
      <c r="E29" s="8" t="str">
        <f aca="false">IF(ABS(D29)&lt;0.005,"OK","FAIL")</f>
        <v>OK</v>
      </c>
    </row>
    <row r="30" customFormat="false" ht="15" hidden="false" customHeight="false" outlineLevel="0" collapsed="false">
      <c r="A30" s="9" t="s">
        <v>268</v>
      </c>
      <c r="C30" s="15" t="n">
        <f aca="false">q_qty_total</f>
        <v>60000</v>
      </c>
      <c r="E30" s="8" t="str">
        <f aca="false">IF(q_qty_total=60000,"OK","FAIL")</f>
        <v>OK</v>
      </c>
    </row>
    <row r="32" customFormat="false" ht="15" hidden="false" customHeight="false" outlineLevel="0" collapsed="false">
      <c r="A32" s="3" t="s">
        <v>269</v>
      </c>
      <c r="B32" s="4"/>
      <c r="C32" s="4"/>
      <c r="D32" s="4"/>
      <c r="E32" s="4"/>
      <c r="F32" s="4"/>
      <c r="G32" s="4"/>
      <c r="H32" s="4"/>
      <c r="I32" s="4"/>
      <c r="J32" s="4"/>
      <c r="K32" s="4"/>
      <c r="L32" s="4"/>
      <c r="M32" s="4"/>
      <c r="N32" s="4"/>
      <c r="O32" s="4"/>
      <c r="P32" s="4"/>
    </row>
    <row r="33" customFormat="false" ht="15" hidden="false" customHeight="true" outlineLevel="0" collapsed="false">
      <c r="A33" s="16" t="s">
        <v>270</v>
      </c>
      <c r="B33" s="16"/>
      <c r="C33" s="16"/>
      <c r="D33" s="16"/>
      <c r="E33" s="16"/>
      <c r="F33" s="45" t="n">
        <f aca="false">q_sub_calc/q_qty_total</f>
        <v>7.72166666666667</v>
      </c>
    </row>
    <row r="34" customFormat="false" ht="15" hidden="false" customHeight="true" outlineLevel="0" collapsed="false">
      <c r="A34" s="16" t="s">
        <v>271</v>
      </c>
      <c r="B34" s="16"/>
      <c r="C34" s="16"/>
      <c r="D34" s="16"/>
      <c r="E34" s="16"/>
      <c r="F34" s="20" t="n">
        <f aca="false">q_sub_calc/q_qty_total/fx_active</f>
        <v>0.146313518320613</v>
      </c>
    </row>
    <row r="35" customFormat="false" ht="15" hidden="false" customHeight="true" outlineLevel="0" collapsed="false">
      <c r="A35" s="16" t="s">
        <v>272</v>
      </c>
      <c r="B35" s="16"/>
      <c r="C35" s="16"/>
      <c r="D35" s="16"/>
      <c r="E35" s="16"/>
      <c r="F35" s="45" t="n">
        <f aca="false">q_sub_calc*(1+q_tax_rate)/q_qty_total</f>
        <v>8.8027</v>
      </c>
    </row>
    <row r="36" customFormat="false" ht="15" hidden="false" customHeight="true" outlineLevel="0" collapsed="false">
      <c r="A36" s="16" t="s">
        <v>273</v>
      </c>
      <c r="B36" s="16"/>
      <c r="C36" s="16"/>
      <c r="D36" s="16"/>
      <c r="E36" s="16"/>
      <c r="F36" s="22" t="n">
        <f aca="false">q_sub_calc/fx_active</f>
        <v>8778.81109923676</v>
      </c>
    </row>
    <row r="37" customFormat="false" ht="15" hidden="false" customHeight="true" outlineLevel="0" collapsed="false">
      <c r="A37" s="16" t="s">
        <v>274</v>
      </c>
      <c r="B37" s="16"/>
      <c r="C37" s="16"/>
      <c r="D37" s="16"/>
      <c r="E37" s="16"/>
      <c r="F37" s="35" t="n">
        <f aca="false">q_sub_calc/q_qty_total*1000</f>
        <v>7721.66666666667</v>
      </c>
    </row>
    <row r="38" customFormat="false" ht="15" hidden="false" customHeight="true" outlineLevel="0" collapsed="false">
      <c r="A38" s="16" t="s">
        <v>275</v>
      </c>
      <c r="B38" s="16"/>
      <c r="C38" s="16"/>
      <c r="D38" s="16"/>
      <c r="E38" s="16"/>
      <c r="F38" s="26" t="n">
        <f aca="false">q_price_3464/q_price_3463-1</f>
        <v>0.0588607594936708</v>
      </c>
    </row>
    <row r="39" customFormat="false" ht="15" hidden="false" customHeight="true" outlineLevel="0" collapsed="false">
      <c r="A39" s="16" t="s">
        <v>276</v>
      </c>
      <c r="B39" s="16"/>
      <c r="C39" s="16"/>
      <c r="D39" s="16"/>
      <c r="E39" s="16"/>
      <c r="F39" s="26" t="n">
        <f aca="false">q_price_3460/q_price_3463-1</f>
        <v>-0.126582278481013</v>
      </c>
    </row>
    <row r="40" customFormat="false" ht="15" hidden="false" customHeight="true" outlineLevel="0" collapsed="false">
      <c r="A40" s="16" t="s">
        <v>277</v>
      </c>
      <c r="B40" s="16"/>
      <c r="C40" s="16"/>
      <c r="D40" s="16"/>
      <c r="E40" s="16"/>
      <c r="F40" s="8" t="str">
        <f aca="false">IF(q_price_3464&gt;q_price_3463,"WARN – 355 mm box costs more than 405 mm box; ask NFC to explain (spec/print/error)","OK")</f>
        <v>WARN – 355 mm box costs more than 405 mm box; ask NFC to explain (spec/print/error)</v>
      </c>
      <c r="G40" s="8"/>
      <c r="H40" s="8"/>
      <c r="I40" s="8"/>
      <c r="J40" s="8"/>
      <c r="K40" s="8"/>
      <c r="L40" s="8"/>
      <c r="M40" s="8"/>
      <c r="N40" s="8"/>
    </row>
    <row r="42" customFormat="false" ht="15" hidden="false" customHeight="false" outlineLevel="0" collapsed="false">
      <c r="A42" s="3" t="s">
        <v>278</v>
      </c>
      <c r="B42" s="4"/>
      <c r="C42" s="4"/>
      <c r="D42" s="4"/>
      <c r="E42" s="4"/>
      <c r="F42" s="4"/>
      <c r="G42" s="4"/>
      <c r="H42" s="4"/>
      <c r="I42" s="4"/>
      <c r="J42" s="4"/>
    </row>
    <row r="43" customFormat="false" ht="35.05" hidden="false" customHeight="false" outlineLevel="0" collapsed="false">
      <c r="A43" s="13" t="s">
        <v>279</v>
      </c>
      <c r="B43" s="13" t="s">
        <v>280</v>
      </c>
      <c r="C43" s="13" t="s">
        <v>18</v>
      </c>
      <c r="D43" s="13" t="s">
        <v>103</v>
      </c>
      <c r="E43" s="13" t="s">
        <v>104</v>
      </c>
      <c r="F43" s="13" t="s">
        <v>105</v>
      </c>
      <c r="G43" s="13" t="s">
        <v>281</v>
      </c>
      <c r="H43" s="13" t="s">
        <v>282</v>
      </c>
      <c r="I43" s="13" t="s">
        <v>283</v>
      </c>
      <c r="J43" s="13" t="s">
        <v>284</v>
      </c>
    </row>
    <row r="44" customFormat="false" ht="91" hidden="false" customHeight="false" outlineLevel="0" collapsed="false">
      <c r="A44" s="9" t="s">
        <v>285</v>
      </c>
      <c r="B44" s="16" t="s">
        <v>286</v>
      </c>
      <c r="C44" s="9" t="s">
        <v>41</v>
      </c>
      <c r="D44" s="46" t="n">
        <v>-0.05</v>
      </c>
      <c r="E44" s="46" t="n">
        <v>0</v>
      </c>
      <c r="F44" s="46" t="n">
        <v>0.1</v>
      </c>
      <c r="G44" s="47" t="n">
        <f aca="false">INDEX(D44:F44,1,sel_scen)</f>
        <v>0</v>
      </c>
      <c r="H44" s="9" t="s">
        <v>287</v>
      </c>
      <c r="I44" s="16" t="s">
        <v>288</v>
      </c>
      <c r="J44" s="16" t="s">
        <v>289</v>
      </c>
    </row>
    <row r="45" customFormat="false" ht="15" hidden="false" customHeight="false" outlineLevel="0" collapsed="false">
      <c r="A45" s="9" t="s">
        <v>290</v>
      </c>
      <c r="B45" s="16" t="s">
        <v>291</v>
      </c>
      <c r="C45" s="9" t="s">
        <v>41</v>
      </c>
      <c r="D45" s="46" t="n">
        <v>0.14</v>
      </c>
      <c r="E45" s="46" t="n">
        <v>0.14</v>
      </c>
      <c r="F45" s="46" t="n">
        <v>0.14</v>
      </c>
      <c r="G45" s="47" t="n">
        <f aca="false">INDEX(D45:F45,1,sel_scen)</f>
        <v>0.14</v>
      </c>
      <c r="H45" s="9" t="s">
        <v>292</v>
      </c>
      <c r="I45" s="16" t="s">
        <v>293</v>
      </c>
      <c r="J45" s="16"/>
    </row>
    <row r="46" customFormat="false" ht="68.65" hidden="false" customHeight="false" outlineLevel="0" collapsed="false">
      <c r="A46" s="9" t="s">
        <v>294</v>
      </c>
      <c r="B46" s="16" t="s">
        <v>295</v>
      </c>
      <c r="C46" s="9" t="s">
        <v>296</v>
      </c>
      <c r="D46" s="6" t="n">
        <v>1</v>
      </c>
      <c r="E46" s="6" t="n">
        <v>2</v>
      </c>
      <c r="F46" s="6" t="n">
        <v>3</v>
      </c>
      <c r="G46" s="10" t="n">
        <f aca="false">INDEX(D46:F46,1,sel_scen)</f>
        <v>2</v>
      </c>
      <c r="H46" s="9" t="s">
        <v>297</v>
      </c>
      <c r="I46" s="16" t="s">
        <v>298</v>
      </c>
      <c r="J46" s="16" t="s">
        <v>299</v>
      </c>
    </row>
    <row r="47" customFormat="false" ht="57.45" hidden="false" customHeight="false" outlineLevel="0" collapsed="false">
      <c r="A47" s="9" t="s">
        <v>300</v>
      </c>
      <c r="B47" s="16" t="s">
        <v>301</v>
      </c>
      <c r="C47" s="9" t="s">
        <v>302</v>
      </c>
      <c r="D47" s="48" t="n">
        <v>30</v>
      </c>
      <c r="E47" s="48" t="n">
        <v>60</v>
      </c>
      <c r="F47" s="48" t="n">
        <v>180</v>
      </c>
      <c r="G47" s="49" t="n">
        <f aca="false">INDEX(D47:F47,1,sel_scen)</f>
        <v>60</v>
      </c>
      <c r="H47" s="9" t="s">
        <v>303</v>
      </c>
      <c r="I47" s="16" t="s">
        <v>304</v>
      </c>
      <c r="J47" s="16" t="s">
        <v>305</v>
      </c>
    </row>
    <row r="48" customFormat="false" ht="35.05" hidden="false" customHeight="false" outlineLevel="0" collapsed="false">
      <c r="A48" s="9" t="s">
        <v>306</v>
      </c>
      <c r="B48" s="16" t="s">
        <v>307</v>
      </c>
      <c r="C48" s="9" t="s">
        <v>41</v>
      </c>
      <c r="D48" s="46" t="n">
        <v>0.5</v>
      </c>
      <c r="E48" s="46" t="n">
        <v>0.5</v>
      </c>
      <c r="F48" s="46" t="n">
        <v>0.5</v>
      </c>
      <c r="G48" s="47" t="n">
        <f aca="false">INDEX(D48:F48,1,sel_scen)</f>
        <v>0.5</v>
      </c>
      <c r="H48" s="9" t="s">
        <v>292</v>
      </c>
      <c r="I48" s="16" t="s">
        <v>308</v>
      </c>
      <c r="J48" s="16" t="s">
        <v>309</v>
      </c>
    </row>
    <row r="49" customFormat="false" ht="57.45" hidden="false" customHeight="false" outlineLevel="0" collapsed="false">
      <c r="A49" s="9" t="s">
        <v>310</v>
      </c>
      <c r="B49" s="16" t="s">
        <v>311</v>
      </c>
      <c r="C49" s="9" t="s">
        <v>230</v>
      </c>
      <c r="D49" s="39" t="n">
        <v>0</v>
      </c>
      <c r="E49" s="39" t="n">
        <v>0</v>
      </c>
      <c r="F49" s="39" t="n">
        <v>25000</v>
      </c>
      <c r="G49" s="15" t="n">
        <f aca="false">INDEX(D49:F49,1,sel_scen)</f>
        <v>0</v>
      </c>
      <c r="H49" s="9" t="s">
        <v>287</v>
      </c>
      <c r="I49" s="16"/>
      <c r="J49" s="16" t="s">
        <v>312</v>
      </c>
    </row>
    <row r="50" customFormat="false" ht="23.85" hidden="false" customHeight="false" outlineLevel="0" collapsed="false">
      <c r="A50" s="9" t="s">
        <v>313</v>
      </c>
      <c r="B50" s="16" t="s">
        <v>314</v>
      </c>
      <c r="C50" s="9" t="s">
        <v>302</v>
      </c>
      <c r="D50" s="48" t="n">
        <v>14</v>
      </c>
      <c r="E50" s="48" t="n">
        <v>21</v>
      </c>
      <c r="F50" s="48" t="n">
        <v>35</v>
      </c>
      <c r="G50" s="49" t="n">
        <f aca="false">INDEX(D50:F50,1,sel_scen)</f>
        <v>21</v>
      </c>
      <c r="H50" s="9" t="s">
        <v>287</v>
      </c>
      <c r="I50" s="16"/>
      <c r="J50" s="16" t="s">
        <v>315</v>
      </c>
    </row>
    <row r="52" customFormat="false" ht="15" hidden="false" customHeight="false" outlineLevel="0" collapsed="false">
      <c r="A52" s="3" t="s">
        <v>316</v>
      </c>
      <c r="B52" s="4"/>
      <c r="C52" s="4"/>
      <c r="D52" s="4"/>
      <c r="E52" s="4"/>
      <c r="F52" s="4"/>
      <c r="G52" s="4"/>
      <c r="H52" s="4"/>
      <c r="I52" s="4"/>
      <c r="J52" s="4"/>
    </row>
    <row r="53" customFormat="false" ht="27.75" hidden="false" customHeight="true" outlineLevel="0" collapsed="false">
      <c r="A53" s="9" t="s">
        <v>317</v>
      </c>
      <c r="B53" s="16" t="s">
        <v>318</v>
      </c>
      <c r="C53" s="16"/>
      <c r="D53" s="16"/>
      <c r="E53" s="16"/>
      <c r="F53" s="16"/>
      <c r="G53" s="16"/>
      <c r="H53" s="16"/>
      <c r="I53" s="16"/>
      <c r="J53" s="16"/>
      <c r="K53" s="16"/>
      <c r="L53" s="16"/>
    </row>
    <row r="54" customFormat="false" ht="27.75" hidden="false" customHeight="true" outlineLevel="0" collapsed="false">
      <c r="A54" s="9" t="s">
        <v>319</v>
      </c>
      <c r="B54" s="16" t="s">
        <v>320</v>
      </c>
      <c r="C54" s="16"/>
      <c r="D54" s="16"/>
      <c r="E54" s="16"/>
      <c r="F54" s="16"/>
      <c r="G54" s="16"/>
      <c r="H54" s="16"/>
      <c r="I54" s="16"/>
      <c r="J54" s="16"/>
      <c r="K54" s="16"/>
      <c r="L54" s="16"/>
    </row>
    <row r="55" customFormat="false" ht="27.75" hidden="false" customHeight="true" outlineLevel="0" collapsed="false">
      <c r="A55" s="9" t="s">
        <v>321</v>
      </c>
      <c r="B55" s="16" t="s">
        <v>322</v>
      </c>
      <c r="C55" s="16"/>
      <c r="D55" s="16"/>
      <c r="E55" s="16"/>
      <c r="F55" s="16"/>
      <c r="G55" s="16"/>
      <c r="H55" s="16"/>
      <c r="I55" s="16"/>
      <c r="J55" s="16"/>
      <c r="K55" s="16"/>
      <c r="L55" s="16"/>
    </row>
    <row r="56" customFormat="false" ht="27.75" hidden="false" customHeight="true" outlineLevel="0" collapsed="false">
      <c r="A56" s="9" t="s">
        <v>323</v>
      </c>
      <c r="B56" s="16" t="s">
        <v>324</v>
      </c>
      <c r="C56" s="16"/>
      <c r="D56" s="16"/>
      <c r="E56" s="16"/>
      <c r="F56" s="16"/>
      <c r="G56" s="16"/>
      <c r="H56" s="16"/>
      <c r="I56" s="16"/>
      <c r="J56" s="16"/>
      <c r="K56" s="16"/>
      <c r="L56" s="16"/>
    </row>
    <row r="57" customFormat="false" ht="27.75" hidden="false" customHeight="true" outlineLevel="0" collapsed="false">
      <c r="A57" s="9" t="s">
        <v>325</v>
      </c>
      <c r="B57" s="16" t="s">
        <v>326</v>
      </c>
      <c r="C57" s="16"/>
      <c r="D57" s="16"/>
      <c r="E57" s="16"/>
      <c r="F57" s="16"/>
      <c r="G57" s="16"/>
      <c r="H57" s="16"/>
      <c r="I57" s="16"/>
      <c r="J57" s="16"/>
      <c r="K57" s="16"/>
      <c r="L57" s="16"/>
    </row>
    <row r="58" customFormat="false" ht="27.75" hidden="false" customHeight="true" outlineLevel="0" collapsed="false">
      <c r="A58" s="9" t="s">
        <v>327</v>
      </c>
      <c r="B58" s="16" t="s">
        <v>328</v>
      </c>
      <c r="C58" s="16"/>
      <c r="D58" s="16"/>
      <c r="E58" s="16"/>
      <c r="F58" s="16"/>
      <c r="G58" s="16"/>
      <c r="H58" s="16"/>
      <c r="I58" s="16"/>
      <c r="J58" s="16"/>
      <c r="K58" s="16"/>
      <c r="L58" s="16"/>
    </row>
    <row r="59" customFormat="false" ht="27.75" hidden="false" customHeight="true" outlineLevel="0" collapsed="false">
      <c r="A59" s="9" t="s">
        <v>329</v>
      </c>
      <c r="B59" s="16" t="s">
        <v>330</v>
      </c>
      <c r="C59" s="16"/>
      <c r="D59" s="16"/>
      <c r="E59" s="16"/>
      <c r="F59" s="16"/>
      <c r="G59" s="16"/>
      <c r="H59" s="16"/>
      <c r="I59" s="16"/>
      <c r="J59" s="16"/>
      <c r="K59" s="16"/>
      <c r="L59" s="16"/>
    </row>
    <row r="60" customFormat="false" ht="27.75" hidden="false" customHeight="true" outlineLevel="0" collapsed="false">
      <c r="A60" s="9" t="s">
        <v>331</v>
      </c>
      <c r="B60" s="16" t="s">
        <v>332</v>
      </c>
      <c r="C60" s="16"/>
      <c r="D60" s="16"/>
      <c r="E60" s="16"/>
      <c r="F60" s="16"/>
      <c r="G60" s="16"/>
      <c r="H60" s="16"/>
      <c r="I60" s="16"/>
      <c r="J60" s="16"/>
      <c r="K60" s="16"/>
      <c r="L60" s="16"/>
    </row>
    <row r="61" customFormat="false" ht="27.75" hidden="false" customHeight="true" outlineLevel="0" collapsed="false">
      <c r="A61" s="9" t="s">
        <v>333</v>
      </c>
      <c r="B61" s="16" t="s">
        <v>334</v>
      </c>
      <c r="C61" s="16"/>
      <c r="D61" s="16"/>
      <c r="E61" s="16"/>
      <c r="F61" s="16"/>
      <c r="G61" s="16"/>
      <c r="H61" s="16"/>
      <c r="I61" s="16"/>
      <c r="J61" s="16"/>
      <c r="K61" s="16"/>
      <c r="L61" s="16"/>
    </row>
    <row r="62" customFormat="false" ht="27.75" hidden="false" customHeight="true" outlineLevel="0" collapsed="false">
      <c r="A62" s="9" t="s">
        <v>335</v>
      </c>
      <c r="B62" s="16" t="s">
        <v>336</v>
      </c>
      <c r="C62" s="16"/>
      <c r="D62" s="16"/>
      <c r="E62" s="16"/>
      <c r="F62" s="16"/>
      <c r="G62" s="16"/>
      <c r="H62" s="16"/>
      <c r="I62" s="16"/>
      <c r="J62" s="16"/>
      <c r="K62" s="16"/>
      <c r="L62" s="16"/>
    </row>
    <row r="63" customFormat="false" ht="27.75" hidden="false" customHeight="true" outlineLevel="0" collapsed="false">
      <c r="A63" s="9" t="s">
        <v>337</v>
      </c>
      <c r="B63" s="16" t="s">
        <v>338</v>
      </c>
      <c r="C63" s="16"/>
      <c r="D63" s="16"/>
      <c r="E63" s="16"/>
      <c r="F63" s="16"/>
      <c r="G63" s="16"/>
      <c r="H63" s="16"/>
      <c r="I63" s="16"/>
      <c r="J63" s="16"/>
      <c r="K63" s="16"/>
      <c r="L63" s="16"/>
    </row>
    <row r="64" customFormat="false" ht="27.75" hidden="false" customHeight="true" outlineLevel="0" collapsed="false">
      <c r="A64" s="9" t="s">
        <v>339</v>
      </c>
      <c r="B64" s="16" t="s">
        <v>340</v>
      </c>
      <c r="C64" s="16"/>
      <c r="D64" s="16"/>
      <c r="E64" s="16"/>
      <c r="F64" s="16"/>
      <c r="G64" s="16"/>
      <c r="H64" s="16"/>
      <c r="I64" s="16"/>
      <c r="J64" s="16"/>
      <c r="K64" s="16"/>
      <c r="L64" s="16"/>
    </row>
    <row r="65" customFormat="false" ht="27.75" hidden="false" customHeight="true" outlineLevel="0" collapsed="false">
      <c r="A65" s="9" t="s">
        <v>341</v>
      </c>
      <c r="B65" s="16" t="s">
        <v>342</v>
      </c>
      <c r="C65" s="16"/>
      <c r="D65" s="16"/>
      <c r="E65" s="16"/>
      <c r="F65" s="16"/>
      <c r="G65" s="16"/>
      <c r="H65" s="16"/>
      <c r="I65" s="16"/>
      <c r="J65" s="16"/>
      <c r="K65" s="16"/>
      <c r="L65" s="16"/>
    </row>
    <row r="66" customFormat="false" ht="27.75" hidden="false" customHeight="true" outlineLevel="0" collapsed="false">
      <c r="A66" s="9" t="s">
        <v>343</v>
      </c>
      <c r="B66" s="16" t="s">
        <v>344</v>
      </c>
      <c r="C66" s="16"/>
      <c r="D66" s="16"/>
      <c r="E66" s="16"/>
      <c r="F66" s="16"/>
      <c r="G66" s="16"/>
      <c r="H66" s="16"/>
      <c r="I66" s="16"/>
      <c r="J66" s="16"/>
      <c r="K66" s="16"/>
      <c r="L66" s="16"/>
    </row>
    <row r="67" customFormat="false" ht="27.75" hidden="false" customHeight="true" outlineLevel="0" collapsed="false">
      <c r="A67" s="9" t="s">
        <v>345</v>
      </c>
      <c r="B67" s="16" t="s">
        <v>346</v>
      </c>
      <c r="C67" s="16"/>
      <c r="D67" s="16"/>
      <c r="E67" s="16"/>
      <c r="F67" s="16"/>
      <c r="G67" s="16"/>
      <c r="H67" s="16"/>
      <c r="I67" s="16"/>
      <c r="J67" s="16"/>
      <c r="K67" s="16"/>
      <c r="L67" s="16"/>
    </row>
    <row r="68" customFormat="false" ht="27.75" hidden="false" customHeight="true" outlineLevel="0" collapsed="false">
      <c r="A68" s="9" t="s">
        <v>347</v>
      </c>
      <c r="B68" s="16" t="s">
        <v>348</v>
      </c>
      <c r="C68" s="16"/>
      <c r="D68" s="16"/>
      <c r="E68" s="16"/>
      <c r="F68" s="16"/>
      <c r="G68" s="16"/>
      <c r="H68" s="16"/>
      <c r="I68" s="16"/>
      <c r="J68" s="16"/>
      <c r="K68" s="16"/>
      <c r="L68" s="16"/>
    </row>
    <row r="69" customFormat="false" ht="27.75" hidden="false" customHeight="true" outlineLevel="0" collapsed="false">
      <c r="A69" s="9" t="s">
        <v>349</v>
      </c>
      <c r="B69" s="16" t="s">
        <v>350</v>
      </c>
      <c r="C69" s="16"/>
      <c r="D69" s="16"/>
      <c r="E69" s="16"/>
      <c r="F69" s="16"/>
      <c r="G69" s="16"/>
      <c r="H69" s="16"/>
      <c r="I69" s="16"/>
      <c r="J69" s="16"/>
      <c r="K69" s="16"/>
      <c r="L69" s="16"/>
    </row>
    <row r="70" customFormat="false" ht="27.75" hidden="false" customHeight="true" outlineLevel="0" collapsed="false">
      <c r="A70" s="9" t="s">
        <v>351</v>
      </c>
      <c r="B70" s="16" t="s">
        <v>352</v>
      </c>
      <c r="C70" s="16"/>
      <c r="D70" s="16"/>
      <c r="E70" s="16"/>
      <c r="F70" s="16"/>
      <c r="G70" s="16"/>
      <c r="H70" s="16"/>
      <c r="I70" s="16"/>
      <c r="J70" s="16"/>
      <c r="K70" s="16"/>
      <c r="L70" s="16"/>
    </row>
  </sheetData>
  <mergeCells count="37">
    <mergeCell ref="B5:H5"/>
    <mergeCell ref="B8:H8"/>
    <mergeCell ref="B10:H10"/>
    <mergeCell ref="B11:H11"/>
    <mergeCell ref="B12:H12"/>
    <mergeCell ref="B13:H13"/>
    <mergeCell ref="B14:H14"/>
    <mergeCell ref="B15:H15"/>
    <mergeCell ref="B16:H16"/>
    <mergeCell ref="B17:H17"/>
    <mergeCell ref="A33:E33"/>
    <mergeCell ref="A34:E34"/>
    <mergeCell ref="A35:E35"/>
    <mergeCell ref="A36:E36"/>
    <mergeCell ref="A37:E37"/>
    <mergeCell ref="A38:E38"/>
    <mergeCell ref="A39:E39"/>
    <mergeCell ref="A40:E40"/>
    <mergeCell ref="F40:N40"/>
    <mergeCell ref="B53:L53"/>
    <mergeCell ref="B54:L54"/>
    <mergeCell ref="B55:L55"/>
    <mergeCell ref="B56:L56"/>
    <mergeCell ref="B57:L57"/>
    <mergeCell ref="B58:L58"/>
    <mergeCell ref="B59:L59"/>
    <mergeCell ref="B60:L60"/>
    <mergeCell ref="B61:L61"/>
    <mergeCell ref="B62:L62"/>
    <mergeCell ref="B63:L63"/>
    <mergeCell ref="B64:L64"/>
    <mergeCell ref="B65:L65"/>
    <mergeCell ref="B66:L66"/>
    <mergeCell ref="B67:L67"/>
    <mergeCell ref="B68:L68"/>
    <mergeCell ref="B69:L69"/>
    <mergeCell ref="B70:L70"/>
  </mergeCells>
  <conditionalFormatting sqref="H44:H50">
    <cfRule type="expression" priority="2" aboveAverage="0" equalAverage="0" bottom="0" percent="0" rank="0" text="" dxfId="0">
      <formula>LEFT(H44,8)="VERIFIED"</formula>
    </cfRule>
    <cfRule type="expression" priority="3" aboveAverage="0" equalAverage="0" bottom="0" percent="0" rank="0" text="" dxfId="2">
      <formula>OR(H44="ESTIMATED",H44="CALCULATED")</formula>
    </cfRule>
    <cfRule type="expression" priority="4" aboveAverage="0" equalAverage="0" bottom="0" percent="0" rank="0" text="" dxfId="1">
      <formula>OR(H44="ASSUMED",H44="UNRESOLVED",H44="UNVERIFIED")</formula>
    </cfRule>
  </conditionalFormatting>
  <dataValidations count="1">
    <dataValidation allowBlank="true" error="Value outside the allowed range" errorStyle="stop" operator="between" showDropDown="false" showErrorMessage="false" showInputMessage="false" sqref="D44:F50"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J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5" min="3" style="0" width="18"/>
    <col collapsed="false" customWidth="true" hidden="false" outlineLevel="0" max="6" min="6" style="0" width="14"/>
    <col collapsed="false" customWidth="true" hidden="false" outlineLevel="0" max="7" min="7" style="0" width="26"/>
    <col collapsed="false" customWidth="true" hidden="false" outlineLevel="0" max="8" min="8" style="0" width="18"/>
    <col collapsed="false" customWidth="true" hidden="false" outlineLevel="0" max="9" min="9" style="0" width="16"/>
    <col collapsed="false" customWidth="true" hidden="false" outlineLevel="0" max="10" min="10" style="0" width="50"/>
  </cols>
  <sheetData>
    <row r="1" customFormat="false" ht="18.55" hidden="false" customHeight="false" outlineLevel="0" collapsed="false">
      <c r="A1" s="1" t="s">
        <v>353</v>
      </c>
    </row>
    <row r="2" customFormat="false" ht="15" hidden="false" customHeight="false" outlineLevel="0" collapsed="false">
      <c r="A2" s="2" t="s">
        <v>354</v>
      </c>
    </row>
    <row r="4" customFormat="false" ht="15" hidden="false" customHeight="false" outlineLevel="0" collapsed="false">
      <c r="A4" s="3" t="s">
        <v>355</v>
      </c>
      <c r="B4" s="4"/>
      <c r="C4" s="4"/>
      <c r="D4" s="4"/>
      <c r="E4" s="4"/>
      <c r="F4" s="4"/>
      <c r="G4" s="4"/>
      <c r="H4" s="4"/>
      <c r="I4" s="4"/>
      <c r="J4" s="4"/>
    </row>
    <row r="5" customFormat="false" ht="15" hidden="false" customHeight="false" outlineLevel="0" collapsed="false">
      <c r="A5" s="13" t="s">
        <v>356</v>
      </c>
      <c r="B5" s="13" t="s">
        <v>357</v>
      </c>
      <c r="C5" s="13" t="s">
        <v>15</v>
      </c>
      <c r="D5" s="13" t="s">
        <v>16</v>
      </c>
      <c r="E5" s="13" t="s">
        <v>17</v>
      </c>
      <c r="F5" s="13" t="s">
        <v>264</v>
      </c>
      <c r="G5" s="13" t="s">
        <v>358</v>
      </c>
      <c r="H5" s="13" t="s">
        <v>282</v>
      </c>
      <c r="I5" s="13" t="s">
        <v>359</v>
      </c>
      <c r="J5" s="13" t="s">
        <v>360</v>
      </c>
    </row>
    <row r="6" customFormat="false" ht="30" hidden="false" customHeight="true" outlineLevel="0" collapsed="false">
      <c r="A6" s="9" t="s">
        <v>361</v>
      </c>
      <c r="B6" s="16" t="s">
        <v>362</v>
      </c>
      <c r="C6" s="16" t="s">
        <v>363</v>
      </c>
      <c r="D6" s="16" t="s">
        <v>363</v>
      </c>
      <c r="E6" s="16" t="s">
        <v>363</v>
      </c>
      <c r="F6" s="9" t="s">
        <v>297</v>
      </c>
      <c r="G6" s="16" t="s">
        <v>364</v>
      </c>
      <c r="H6" s="9" t="s">
        <v>297</v>
      </c>
      <c r="I6" s="9" t="s">
        <v>365</v>
      </c>
      <c r="J6" s="16" t="s">
        <v>366</v>
      </c>
    </row>
    <row r="7" customFormat="false" ht="30" hidden="false" customHeight="true" outlineLevel="0" collapsed="false">
      <c r="A7" s="9" t="s">
        <v>367</v>
      </c>
      <c r="B7" s="16" t="s">
        <v>368</v>
      </c>
      <c r="C7" s="16" t="s">
        <v>369</v>
      </c>
      <c r="D7" s="16" t="s">
        <v>369</v>
      </c>
      <c r="E7" s="16" t="s">
        <v>369</v>
      </c>
      <c r="F7" s="9" t="s">
        <v>297</v>
      </c>
      <c r="G7" s="16" t="s">
        <v>370</v>
      </c>
      <c r="H7" s="9" t="s">
        <v>297</v>
      </c>
      <c r="I7" s="9" t="s">
        <v>365</v>
      </c>
      <c r="J7" s="16" t="s">
        <v>371</v>
      </c>
    </row>
    <row r="8" customFormat="false" ht="30" hidden="false" customHeight="true" outlineLevel="0" collapsed="false">
      <c r="A8" s="9" t="s">
        <v>372</v>
      </c>
      <c r="B8" s="16" t="s">
        <v>373</v>
      </c>
      <c r="C8" s="16" t="s">
        <v>374</v>
      </c>
      <c r="D8" s="16" t="s">
        <v>374</v>
      </c>
      <c r="E8" s="16" t="s">
        <v>374</v>
      </c>
      <c r="F8" s="9" t="s">
        <v>297</v>
      </c>
      <c r="G8" s="16" t="s">
        <v>375</v>
      </c>
      <c r="H8" s="9" t="s">
        <v>297</v>
      </c>
      <c r="I8" s="9" t="s">
        <v>365</v>
      </c>
      <c r="J8" s="16" t="s">
        <v>376</v>
      </c>
    </row>
    <row r="9" customFormat="false" ht="30" hidden="false" customHeight="true" outlineLevel="0" collapsed="false">
      <c r="A9" s="9" t="s">
        <v>377</v>
      </c>
      <c r="B9" s="16" t="s">
        <v>378</v>
      </c>
      <c r="C9" s="16" t="s">
        <v>379</v>
      </c>
      <c r="D9" s="16" t="s">
        <v>379</v>
      </c>
      <c r="E9" s="16" t="s">
        <v>379</v>
      </c>
      <c r="F9" s="9" t="s">
        <v>297</v>
      </c>
      <c r="G9" s="16" t="s">
        <v>380</v>
      </c>
      <c r="H9" s="9" t="s">
        <v>297</v>
      </c>
      <c r="I9" s="9" t="s">
        <v>365</v>
      </c>
      <c r="J9" s="16" t="s">
        <v>381</v>
      </c>
    </row>
    <row r="10" customFormat="false" ht="30" hidden="false" customHeight="true" outlineLevel="0" collapsed="false">
      <c r="A10" s="9" t="s">
        <v>382</v>
      </c>
      <c r="B10" s="16" t="s">
        <v>383</v>
      </c>
      <c r="C10" s="16" t="s">
        <v>384</v>
      </c>
      <c r="D10" s="16" t="s">
        <v>384</v>
      </c>
      <c r="E10" s="16" t="s">
        <v>384</v>
      </c>
      <c r="F10" s="9" t="s">
        <v>297</v>
      </c>
      <c r="G10" s="16" t="s">
        <v>385</v>
      </c>
      <c r="H10" s="9" t="s">
        <v>297</v>
      </c>
      <c r="I10" s="9" t="s">
        <v>365</v>
      </c>
      <c r="J10" s="16" t="s">
        <v>386</v>
      </c>
    </row>
    <row r="11" customFormat="false" ht="30" hidden="false" customHeight="true" outlineLevel="0" collapsed="false">
      <c r="A11" s="9" t="s">
        <v>387</v>
      </c>
      <c r="B11" s="16" t="s">
        <v>388</v>
      </c>
      <c r="C11" s="16" t="s">
        <v>379</v>
      </c>
      <c r="D11" s="16" t="s">
        <v>379</v>
      </c>
      <c r="E11" s="16" t="s">
        <v>379</v>
      </c>
      <c r="F11" s="9" t="s">
        <v>297</v>
      </c>
      <c r="G11" s="16" t="s">
        <v>389</v>
      </c>
      <c r="H11" s="9" t="s">
        <v>297</v>
      </c>
      <c r="I11" s="9" t="s">
        <v>365</v>
      </c>
      <c r="J11" s="16" t="s">
        <v>390</v>
      </c>
    </row>
    <row r="12" customFormat="false" ht="30" hidden="false" customHeight="true" outlineLevel="0" collapsed="false">
      <c r="A12" s="9" t="s">
        <v>391</v>
      </c>
      <c r="B12" s="16" t="s">
        <v>392</v>
      </c>
      <c r="C12" s="16" t="s">
        <v>379</v>
      </c>
      <c r="D12" s="16" t="s">
        <v>379</v>
      </c>
      <c r="E12" s="16" t="s">
        <v>379</v>
      </c>
      <c r="F12" s="9" t="s">
        <v>297</v>
      </c>
      <c r="G12" s="16" t="s">
        <v>393</v>
      </c>
      <c r="H12" s="9" t="s">
        <v>297</v>
      </c>
      <c r="I12" s="9" t="s">
        <v>365</v>
      </c>
      <c r="J12" s="16" t="s">
        <v>394</v>
      </c>
    </row>
    <row r="13" customFormat="false" ht="30" hidden="false" customHeight="true" outlineLevel="0" collapsed="false">
      <c r="A13" s="9" t="s">
        <v>395</v>
      </c>
      <c r="B13" s="16" t="s">
        <v>396</v>
      </c>
      <c r="C13" s="16" t="s">
        <v>379</v>
      </c>
      <c r="D13" s="16" t="s">
        <v>379</v>
      </c>
      <c r="E13" s="16" t="s">
        <v>379</v>
      </c>
      <c r="F13" s="9" t="s">
        <v>297</v>
      </c>
      <c r="G13" s="16" t="s">
        <v>397</v>
      </c>
      <c r="H13" s="9" t="s">
        <v>297</v>
      </c>
      <c r="I13" s="9" t="s">
        <v>365</v>
      </c>
      <c r="J13" s="16" t="s">
        <v>398</v>
      </c>
    </row>
    <row r="14" customFormat="false" ht="30" hidden="false" customHeight="true" outlineLevel="0" collapsed="false">
      <c r="A14" s="9" t="s">
        <v>399</v>
      </c>
      <c r="B14" s="16" t="s">
        <v>400</v>
      </c>
      <c r="C14" s="16" t="s">
        <v>379</v>
      </c>
      <c r="D14" s="16" t="s">
        <v>379</v>
      </c>
      <c r="E14" s="16" t="s">
        <v>379</v>
      </c>
      <c r="F14" s="9" t="s">
        <v>297</v>
      </c>
      <c r="G14" s="16" t="s">
        <v>401</v>
      </c>
      <c r="H14" s="9" t="s">
        <v>297</v>
      </c>
      <c r="I14" s="9" t="s">
        <v>365</v>
      </c>
      <c r="J14" s="16" t="s">
        <v>402</v>
      </c>
    </row>
    <row r="15" customFormat="false" ht="30" hidden="false" customHeight="true" outlineLevel="0" collapsed="false">
      <c r="A15" s="9" t="s">
        <v>403</v>
      </c>
      <c r="B15" s="16" t="s">
        <v>404</v>
      </c>
      <c r="C15" s="16" t="s">
        <v>379</v>
      </c>
      <c r="D15" s="16" t="s">
        <v>379</v>
      </c>
      <c r="E15" s="16" t="s">
        <v>379</v>
      </c>
      <c r="F15" s="9" t="s">
        <v>297</v>
      </c>
      <c r="G15" s="16" t="s">
        <v>401</v>
      </c>
      <c r="H15" s="9" t="s">
        <v>297</v>
      </c>
      <c r="I15" s="9" t="s">
        <v>365</v>
      </c>
      <c r="J15" s="16" t="s">
        <v>405</v>
      </c>
    </row>
    <row r="16" customFormat="false" ht="30" hidden="false" customHeight="true" outlineLevel="0" collapsed="false">
      <c r="A16" s="9" t="s">
        <v>406</v>
      </c>
      <c r="B16" s="16" t="s">
        <v>407</v>
      </c>
      <c r="C16" s="16" t="s">
        <v>408</v>
      </c>
      <c r="D16" s="16" t="s">
        <v>408</v>
      </c>
      <c r="E16" s="16" t="s">
        <v>408</v>
      </c>
      <c r="F16" s="9" t="s">
        <v>297</v>
      </c>
      <c r="G16" s="16" t="s">
        <v>409</v>
      </c>
      <c r="H16" s="9" t="s">
        <v>297</v>
      </c>
      <c r="I16" s="9" t="s">
        <v>365</v>
      </c>
      <c r="J16" s="16" t="s">
        <v>410</v>
      </c>
    </row>
    <row r="17" customFormat="false" ht="30" hidden="false" customHeight="true" outlineLevel="0" collapsed="false">
      <c r="A17" s="9" t="s">
        <v>411</v>
      </c>
      <c r="B17" s="16" t="s">
        <v>412</v>
      </c>
      <c r="C17" s="16" t="s">
        <v>379</v>
      </c>
      <c r="D17" s="16" t="s">
        <v>379</v>
      </c>
      <c r="E17" s="16" t="s">
        <v>379</v>
      </c>
      <c r="F17" s="9" t="s">
        <v>297</v>
      </c>
      <c r="G17" s="16" t="s">
        <v>413</v>
      </c>
      <c r="H17" s="9" t="s">
        <v>297</v>
      </c>
      <c r="I17" s="9" t="s">
        <v>365</v>
      </c>
      <c r="J17" s="16" t="s">
        <v>414</v>
      </c>
    </row>
    <row r="18" customFormat="false" ht="30" hidden="false" customHeight="true" outlineLevel="0" collapsed="false">
      <c r="A18" s="9" t="s">
        <v>415</v>
      </c>
      <c r="B18" s="16" t="s">
        <v>416</v>
      </c>
      <c r="C18" s="16" t="s">
        <v>379</v>
      </c>
      <c r="D18" s="16" t="s">
        <v>379</v>
      </c>
      <c r="E18" s="16" t="s">
        <v>379</v>
      </c>
      <c r="F18" s="9" t="s">
        <v>297</v>
      </c>
      <c r="G18" s="16" t="s">
        <v>417</v>
      </c>
      <c r="H18" s="9" t="s">
        <v>297</v>
      </c>
      <c r="I18" s="9" t="s">
        <v>365</v>
      </c>
      <c r="J18" s="16" t="s">
        <v>418</v>
      </c>
    </row>
    <row r="19" customFormat="false" ht="30" hidden="false" customHeight="true" outlineLevel="0" collapsed="false">
      <c r="A19" s="9" t="s">
        <v>419</v>
      </c>
      <c r="B19" s="16" t="s">
        <v>420</v>
      </c>
      <c r="C19" s="16" t="s">
        <v>379</v>
      </c>
      <c r="D19" s="16" t="s">
        <v>379</v>
      </c>
      <c r="E19" s="16" t="s">
        <v>379</v>
      </c>
      <c r="F19" s="9" t="s">
        <v>297</v>
      </c>
      <c r="G19" s="16" t="s">
        <v>421</v>
      </c>
      <c r="H19" s="9" t="s">
        <v>297</v>
      </c>
      <c r="I19" s="9" t="s">
        <v>365</v>
      </c>
      <c r="J19" s="16" t="s">
        <v>422</v>
      </c>
    </row>
    <row r="20" customFormat="false" ht="30" hidden="false" customHeight="true" outlineLevel="0" collapsed="false">
      <c r="A20" s="9" t="s">
        <v>423</v>
      </c>
      <c r="B20" s="16" t="s">
        <v>424</v>
      </c>
      <c r="C20" s="16" t="s">
        <v>379</v>
      </c>
      <c r="D20" s="16" t="s">
        <v>379</v>
      </c>
      <c r="E20" s="16" t="s">
        <v>379</v>
      </c>
      <c r="F20" s="9" t="s">
        <v>297</v>
      </c>
      <c r="G20" s="16" t="s">
        <v>421</v>
      </c>
      <c r="H20" s="9" t="s">
        <v>297</v>
      </c>
      <c r="I20" s="9" t="s">
        <v>365</v>
      </c>
      <c r="J20" s="16" t="s">
        <v>425</v>
      </c>
    </row>
    <row r="21" customFormat="false" ht="30" hidden="false" customHeight="true" outlineLevel="0" collapsed="false">
      <c r="A21" s="9" t="s">
        <v>426</v>
      </c>
      <c r="B21" s="16" t="s">
        <v>427</v>
      </c>
      <c r="C21" s="16" t="s">
        <v>379</v>
      </c>
      <c r="D21" s="16" t="s">
        <v>379</v>
      </c>
      <c r="E21" s="16" t="s">
        <v>379</v>
      </c>
      <c r="F21" s="9" t="s">
        <v>297</v>
      </c>
      <c r="G21" s="16" t="s">
        <v>428</v>
      </c>
      <c r="H21" s="9" t="s">
        <v>297</v>
      </c>
      <c r="I21" s="9" t="s">
        <v>365</v>
      </c>
      <c r="J21" s="16" t="s">
        <v>429</v>
      </c>
    </row>
    <row r="22" customFormat="false" ht="30" hidden="false" customHeight="true" outlineLevel="0" collapsed="false">
      <c r="A22" s="9" t="s">
        <v>430</v>
      </c>
      <c r="B22" s="16" t="s">
        <v>431</v>
      </c>
      <c r="C22" s="16" t="s">
        <v>432</v>
      </c>
      <c r="D22" s="16" t="s">
        <v>432</v>
      </c>
      <c r="E22" s="16" t="s">
        <v>432</v>
      </c>
      <c r="F22" s="9" t="s">
        <v>297</v>
      </c>
      <c r="G22" s="16" t="s">
        <v>433</v>
      </c>
      <c r="H22" s="9" t="s">
        <v>297</v>
      </c>
      <c r="I22" s="9" t="s">
        <v>365</v>
      </c>
      <c r="J22" s="16" t="s">
        <v>434</v>
      </c>
    </row>
    <row r="24" customFormat="false" ht="15" hidden="false" customHeight="false" outlineLevel="0" collapsed="false">
      <c r="A24" s="3" t="s">
        <v>435</v>
      </c>
      <c r="B24" s="4"/>
      <c r="C24" s="4"/>
      <c r="D24" s="4"/>
      <c r="E24" s="4"/>
      <c r="F24" s="4"/>
      <c r="G24" s="4"/>
      <c r="H24" s="4"/>
      <c r="I24" s="4"/>
      <c r="J24" s="4"/>
    </row>
    <row r="25" customFormat="false" ht="15" hidden="false" customHeight="false" outlineLevel="0" collapsed="false">
      <c r="A25" s="13" t="s">
        <v>279</v>
      </c>
      <c r="B25" s="13" t="s">
        <v>280</v>
      </c>
      <c r="C25" s="13" t="s">
        <v>18</v>
      </c>
      <c r="D25" s="13" t="s">
        <v>103</v>
      </c>
      <c r="E25" s="13" t="s">
        <v>104</v>
      </c>
      <c r="F25" s="13" t="s">
        <v>105</v>
      </c>
      <c r="G25" s="13" t="s">
        <v>281</v>
      </c>
      <c r="H25" s="13" t="s">
        <v>282</v>
      </c>
      <c r="I25" s="13" t="s">
        <v>283</v>
      </c>
      <c r="J25" s="13" t="s">
        <v>284</v>
      </c>
    </row>
    <row r="26" customFormat="false" ht="23.85" hidden="false" customHeight="false" outlineLevel="0" collapsed="false">
      <c r="A26" s="9" t="s">
        <v>436</v>
      </c>
      <c r="B26" s="16" t="s">
        <v>437</v>
      </c>
      <c r="C26" s="9" t="s">
        <v>438</v>
      </c>
      <c r="D26" s="40" t="n">
        <v>4.5</v>
      </c>
      <c r="E26" s="40" t="n">
        <v>4.5</v>
      </c>
      <c r="F26" s="40" t="n">
        <v>4.5</v>
      </c>
      <c r="G26" s="24" t="n">
        <f aca="false">INDEX(D26:F26,1,sel_scen)</f>
        <v>4.5</v>
      </c>
      <c r="H26" s="9" t="s">
        <v>303</v>
      </c>
      <c r="I26" s="16" t="s">
        <v>439</v>
      </c>
      <c r="J26" s="16" t="s">
        <v>440</v>
      </c>
    </row>
    <row r="27" customFormat="false" ht="23.85" hidden="false" customHeight="false" outlineLevel="0" collapsed="false">
      <c r="A27" s="9" t="s">
        <v>441</v>
      </c>
      <c r="B27" s="16" t="s">
        <v>442</v>
      </c>
      <c r="C27" s="9" t="s">
        <v>443</v>
      </c>
      <c r="D27" s="48" t="n">
        <v>13</v>
      </c>
      <c r="E27" s="48" t="n">
        <v>13</v>
      </c>
      <c r="F27" s="48" t="n">
        <v>13</v>
      </c>
      <c r="G27" s="49" t="n">
        <f aca="false">INDEX(D27:F27,1,sel_scen)</f>
        <v>13</v>
      </c>
      <c r="H27" s="9" t="s">
        <v>303</v>
      </c>
      <c r="I27" s="16" t="s">
        <v>439</v>
      </c>
      <c r="J27" s="16" t="s">
        <v>444</v>
      </c>
    </row>
    <row r="28" customFormat="false" ht="15" hidden="false" customHeight="false" outlineLevel="0" collapsed="false">
      <c r="A28" s="9" t="s">
        <v>445</v>
      </c>
      <c r="B28" s="16" t="s">
        <v>446</v>
      </c>
      <c r="C28" s="9" t="s">
        <v>447</v>
      </c>
      <c r="D28" s="40" t="n">
        <v>0.92</v>
      </c>
      <c r="E28" s="40" t="n">
        <v>0.92</v>
      </c>
      <c r="F28" s="40" t="n">
        <v>0.92</v>
      </c>
      <c r="G28" s="24" t="n">
        <f aca="false">INDEX(D28:F28,1,sel_scen)</f>
        <v>0.92</v>
      </c>
      <c r="H28" s="9" t="s">
        <v>287</v>
      </c>
      <c r="I28" s="16"/>
      <c r="J28" s="16" t="s">
        <v>448</v>
      </c>
    </row>
    <row r="29" customFormat="false" ht="23.85" hidden="false" customHeight="false" outlineLevel="0" collapsed="false">
      <c r="A29" s="9" t="s">
        <v>449</v>
      </c>
      <c r="B29" s="16" t="s">
        <v>450</v>
      </c>
      <c r="C29" s="9" t="s">
        <v>451</v>
      </c>
      <c r="D29" s="48" t="n">
        <v>400</v>
      </c>
      <c r="E29" s="48" t="n">
        <v>420</v>
      </c>
      <c r="F29" s="48" t="n">
        <v>480</v>
      </c>
      <c r="G29" s="49" t="n">
        <f aca="false">INDEX(D29:F29,1,sel_scen)</f>
        <v>420</v>
      </c>
      <c r="H29" s="9" t="s">
        <v>303</v>
      </c>
      <c r="I29" s="16" t="s">
        <v>452</v>
      </c>
      <c r="J29" s="16" t="s">
        <v>453</v>
      </c>
    </row>
    <row r="30" customFormat="false" ht="23.85" hidden="false" customHeight="false" outlineLevel="0" collapsed="false">
      <c r="A30" s="9" t="s">
        <v>454</v>
      </c>
      <c r="B30" s="16" t="s">
        <v>455</v>
      </c>
      <c r="C30" s="9" t="s">
        <v>443</v>
      </c>
      <c r="D30" s="48" t="n">
        <v>1.5</v>
      </c>
      <c r="E30" s="48" t="n">
        <v>1.6</v>
      </c>
      <c r="F30" s="48" t="n">
        <v>1.8</v>
      </c>
      <c r="G30" s="49" t="n">
        <f aca="false">INDEX(D30:F30,1,sel_scen)</f>
        <v>1.6</v>
      </c>
      <c r="H30" s="9" t="s">
        <v>303</v>
      </c>
      <c r="I30" s="16" t="s">
        <v>456</v>
      </c>
      <c r="J30" s="16" t="s">
        <v>457</v>
      </c>
    </row>
    <row r="31" customFormat="false" ht="15" hidden="false" customHeight="false" outlineLevel="0" collapsed="false">
      <c r="A31" s="9" t="s">
        <v>458</v>
      </c>
      <c r="B31" s="16" t="s">
        <v>459</v>
      </c>
      <c r="C31" s="9" t="s">
        <v>460</v>
      </c>
      <c r="D31" s="48" t="n">
        <v>50</v>
      </c>
      <c r="E31" s="48" t="n">
        <v>50</v>
      </c>
      <c r="F31" s="48" t="n">
        <v>50</v>
      </c>
      <c r="G31" s="49" t="n">
        <f aca="false">INDEX(D31:F31,1,sel_scen)</f>
        <v>50</v>
      </c>
      <c r="H31" s="9" t="s">
        <v>287</v>
      </c>
      <c r="I31" s="16" t="s">
        <v>461</v>
      </c>
      <c r="J31" s="16" t="s">
        <v>462</v>
      </c>
    </row>
    <row r="32" customFormat="false" ht="15" hidden="false" customHeight="false" outlineLevel="0" collapsed="false">
      <c r="A32" s="9" t="s">
        <v>463</v>
      </c>
      <c r="B32" s="16" t="s">
        <v>464</v>
      </c>
      <c r="C32" s="9" t="s">
        <v>443</v>
      </c>
      <c r="D32" s="48" t="n">
        <v>5</v>
      </c>
      <c r="E32" s="48" t="n">
        <v>5</v>
      </c>
      <c r="F32" s="48" t="n">
        <v>5</v>
      </c>
      <c r="G32" s="49" t="n">
        <f aca="false">INDEX(D32:F32,1,sel_scen)</f>
        <v>5</v>
      </c>
      <c r="H32" s="9" t="s">
        <v>287</v>
      </c>
      <c r="I32" s="16"/>
      <c r="J32" s="16"/>
    </row>
    <row r="33" customFormat="false" ht="15" hidden="false" customHeight="false" outlineLevel="0" collapsed="false">
      <c r="A33" s="9" t="s">
        <v>465</v>
      </c>
      <c r="B33" s="16" t="s">
        <v>466</v>
      </c>
      <c r="C33" s="9" t="s">
        <v>467</v>
      </c>
      <c r="D33" s="48" t="n">
        <v>0.1</v>
      </c>
      <c r="E33" s="48" t="n">
        <v>0.1</v>
      </c>
      <c r="F33" s="48" t="n">
        <v>0.1</v>
      </c>
      <c r="G33" s="49" t="n">
        <f aca="false">INDEX(D33:F33,1,sel_scen)</f>
        <v>0.1</v>
      </c>
      <c r="H33" s="9" t="s">
        <v>287</v>
      </c>
      <c r="I33" s="16"/>
      <c r="J33" s="16"/>
    </row>
    <row r="35" customFormat="false" ht="15" hidden="false" customHeight="false" outlineLevel="0" collapsed="false">
      <c r="A35" s="3" t="s">
        <v>468</v>
      </c>
      <c r="B35" s="4"/>
      <c r="C35" s="4"/>
      <c r="D35" s="4"/>
      <c r="E35" s="4"/>
      <c r="F35" s="4"/>
      <c r="G35" s="4"/>
      <c r="H35" s="4"/>
      <c r="I35" s="4"/>
      <c r="J35" s="4"/>
    </row>
    <row r="36" customFormat="false" ht="23.85" hidden="false" customHeight="false" outlineLevel="0" collapsed="false">
      <c r="A36" s="13" t="s">
        <v>356</v>
      </c>
      <c r="B36" s="13" t="s">
        <v>469</v>
      </c>
      <c r="C36" s="13" t="s">
        <v>470</v>
      </c>
      <c r="D36" s="13" t="s">
        <v>471</v>
      </c>
      <c r="E36" s="13" t="s">
        <v>472</v>
      </c>
      <c r="F36" s="13" t="s">
        <v>473</v>
      </c>
      <c r="G36" s="13" t="s">
        <v>474</v>
      </c>
      <c r="H36" s="13" t="s">
        <v>475</v>
      </c>
      <c r="I36" s="13" t="s">
        <v>476</v>
      </c>
      <c r="J36" s="13" t="s">
        <v>477</v>
      </c>
    </row>
    <row r="37" customFormat="false" ht="15" hidden="false" customHeight="false" outlineLevel="0" collapsed="false">
      <c r="A37" s="9" t="s">
        <v>478</v>
      </c>
      <c r="B37" s="16" t="s">
        <v>479</v>
      </c>
      <c r="C37" s="16" t="s">
        <v>216</v>
      </c>
      <c r="D37" s="16" t="s">
        <v>217</v>
      </c>
      <c r="E37" s="16" t="s">
        <v>480</v>
      </c>
      <c r="F37" s="16" t="s">
        <v>481</v>
      </c>
      <c r="G37" s="16" t="s">
        <v>482</v>
      </c>
      <c r="H37" s="16" t="s">
        <v>483</v>
      </c>
      <c r="I37" s="16" t="s">
        <v>484</v>
      </c>
      <c r="J37" s="16" t="s">
        <v>485</v>
      </c>
    </row>
    <row r="38" customFormat="false" ht="15" hidden="false" customHeight="false" outlineLevel="0" collapsed="false">
      <c r="A38" s="9" t="s">
        <v>486</v>
      </c>
      <c r="B38" s="16" t="s">
        <v>487</v>
      </c>
      <c r="C38" s="16" t="s">
        <v>216</v>
      </c>
      <c r="D38" s="16" t="s">
        <v>206</v>
      </c>
      <c r="E38" s="16" t="s">
        <v>488</v>
      </c>
      <c r="F38" s="16" t="s">
        <v>489</v>
      </c>
      <c r="G38" s="16" t="s">
        <v>482</v>
      </c>
      <c r="H38" s="16" t="s">
        <v>490</v>
      </c>
      <c r="I38" s="16" t="s">
        <v>491</v>
      </c>
      <c r="J38" s="16" t="s">
        <v>492</v>
      </c>
    </row>
    <row r="39" customFormat="false" ht="15" hidden="false" customHeight="false" outlineLevel="0" collapsed="false">
      <c r="A39" s="9" t="s">
        <v>493</v>
      </c>
      <c r="B39" s="16" t="s">
        <v>494</v>
      </c>
      <c r="C39" s="16" t="s">
        <v>205</v>
      </c>
      <c r="D39" s="16" t="s">
        <v>206</v>
      </c>
      <c r="E39" s="16" t="s">
        <v>488</v>
      </c>
      <c r="F39" s="16" t="s">
        <v>495</v>
      </c>
      <c r="G39" s="16" t="s">
        <v>482</v>
      </c>
      <c r="H39" s="16" t="s">
        <v>496</v>
      </c>
      <c r="I39" s="16" t="s">
        <v>497</v>
      </c>
      <c r="J39" s="16" t="s">
        <v>498</v>
      </c>
    </row>
    <row r="40" customFormat="false" ht="15" hidden="false" customHeight="false" outlineLevel="0" collapsed="false">
      <c r="A40" s="9" t="s">
        <v>499</v>
      </c>
      <c r="B40" s="16" t="s">
        <v>500</v>
      </c>
      <c r="C40" s="16" t="s">
        <v>211</v>
      </c>
      <c r="D40" s="16" t="s">
        <v>501</v>
      </c>
      <c r="E40" s="16" t="s">
        <v>489</v>
      </c>
      <c r="F40" s="16" t="s">
        <v>489</v>
      </c>
      <c r="G40" s="16" t="s">
        <v>482</v>
      </c>
      <c r="H40" s="16" t="s">
        <v>502</v>
      </c>
      <c r="I40" s="16" t="s">
        <v>503</v>
      </c>
      <c r="J40" s="16" t="s">
        <v>504</v>
      </c>
    </row>
    <row r="41" customFormat="false" ht="15" hidden="false" customHeight="false" outlineLevel="0" collapsed="false">
      <c r="A41" s="9" t="s">
        <v>505</v>
      </c>
      <c r="B41" s="16" t="s">
        <v>506</v>
      </c>
      <c r="C41" s="16" t="s">
        <v>507</v>
      </c>
      <c r="D41" s="16" t="s">
        <v>217</v>
      </c>
      <c r="E41" s="16" t="s">
        <v>489</v>
      </c>
      <c r="F41" s="16" t="s">
        <v>489</v>
      </c>
      <c r="G41" s="16" t="s">
        <v>482</v>
      </c>
      <c r="H41" s="16" t="s">
        <v>508</v>
      </c>
      <c r="I41" s="16" t="s">
        <v>509</v>
      </c>
      <c r="J41" s="16" t="s">
        <v>510</v>
      </c>
    </row>
    <row r="42" customFormat="false" ht="15" hidden="false" customHeight="false" outlineLevel="0" collapsed="false">
      <c r="A42" s="9" t="s">
        <v>511</v>
      </c>
      <c r="B42" s="16" t="s">
        <v>512</v>
      </c>
      <c r="C42" s="16" t="s">
        <v>513</v>
      </c>
      <c r="D42" s="16" t="s">
        <v>514</v>
      </c>
      <c r="E42" s="16" t="s">
        <v>489</v>
      </c>
      <c r="F42" s="16" t="s">
        <v>489</v>
      </c>
      <c r="G42" s="16" t="s">
        <v>482</v>
      </c>
      <c r="H42" s="16" t="s">
        <v>515</v>
      </c>
      <c r="I42" s="16" t="s">
        <v>516</v>
      </c>
      <c r="J42" s="16" t="s">
        <v>517</v>
      </c>
    </row>
    <row r="44" customFormat="false" ht="15" hidden="false" customHeight="false" outlineLevel="0" collapsed="false">
      <c r="A44" s="3" t="s">
        <v>518</v>
      </c>
      <c r="B44" s="4"/>
      <c r="C44" s="4"/>
      <c r="D44" s="4"/>
      <c r="E44" s="4"/>
      <c r="F44" s="4"/>
      <c r="G44" s="4"/>
      <c r="H44" s="4"/>
      <c r="I44" s="4"/>
      <c r="J44" s="4"/>
    </row>
    <row r="45" customFormat="false" ht="15" hidden="false" customHeight="false" outlineLevel="0" collapsed="false">
      <c r="A45" s="13" t="s">
        <v>356</v>
      </c>
      <c r="B45" s="13" t="s">
        <v>65</v>
      </c>
      <c r="C45" s="13" t="s">
        <v>519</v>
      </c>
      <c r="D45" s="13" t="s">
        <v>520</v>
      </c>
      <c r="E45" s="13"/>
      <c r="F45" s="13" t="s">
        <v>521</v>
      </c>
      <c r="G45" s="13" t="s">
        <v>522</v>
      </c>
      <c r="H45" s="13" t="s">
        <v>282</v>
      </c>
      <c r="I45" s="13" t="s">
        <v>523</v>
      </c>
      <c r="J45" s="13" t="s">
        <v>19</v>
      </c>
    </row>
    <row r="46" customFormat="false" ht="33.75" hidden="false" customHeight="true" outlineLevel="0" collapsed="false">
      <c r="A46" s="9" t="s">
        <v>317</v>
      </c>
      <c r="B46" s="16" t="s">
        <v>524</v>
      </c>
      <c r="C46" s="16" t="s">
        <v>525</v>
      </c>
      <c r="D46" s="16" t="s">
        <v>526</v>
      </c>
      <c r="F46" s="16" t="s">
        <v>527</v>
      </c>
      <c r="G46" s="16" t="s">
        <v>528</v>
      </c>
      <c r="H46" s="16" t="s">
        <v>287</v>
      </c>
      <c r="I46" s="16"/>
      <c r="J46" s="16" t="s">
        <v>529</v>
      </c>
    </row>
    <row r="47" customFormat="false" ht="33.75" hidden="false" customHeight="true" outlineLevel="0" collapsed="false">
      <c r="A47" s="9" t="s">
        <v>319</v>
      </c>
      <c r="B47" s="16" t="s">
        <v>530</v>
      </c>
      <c r="C47" s="16" t="s">
        <v>531</v>
      </c>
      <c r="D47" s="16" t="s">
        <v>532</v>
      </c>
      <c r="F47" s="16" t="s">
        <v>533</v>
      </c>
      <c r="G47" s="16" t="s">
        <v>534</v>
      </c>
      <c r="H47" s="16" t="s">
        <v>287</v>
      </c>
      <c r="I47" s="16"/>
      <c r="J47" s="16" t="s">
        <v>535</v>
      </c>
    </row>
    <row r="48" customFormat="false" ht="33.75" hidden="false" customHeight="true" outlineLevel="0" collapsed="false">
      <c r="A48" s="9" t="s">
        <v>321</v>
      </c>
      <c r="B48" s="16" t="s">
        <v>536</v>
      </c>
      <c r="C48" s="16" t="s">
        <v>537</v>
      </c>
      <c r="D48" s="16" t="s">
        <v>538</v>
      </c>
      <c r="F48" s="16" t="s">
        <v>539</v>
      </c>
      <c r="G48" s="16" t="s">
        <v>534</v>
      </c>
      <c r="H48" s="16" t="s">
        <v>287</v>
      </c>
      <c r="I48" s="16"/>
      <c r="J48" s="16"/>
    </row>
    <row r="49" customFormat="false" ht="33.75" hidden="false" customHeight="true" outlineLevel="0" collapsed="false">
      <c r="A49" s="9" t="s">
        <v>323</v>
      </c>
      <c r="B49" s="16" t="s">
        <v>540</v>
      </c>
      <c r="C49" s="16" t="s">
        <v>541</v>
      </c>
      <c r="D49" s="16" t="s">
        <v>542</v>
      </c>
      <c r="F49" s="16" t="s">
        <v>533</v>
      </c>
      <c r="G49" s="16" t="s">
        <v>534</v>
      </c>
      <c r="H49" s="16" t="s">
        <v>287</v>
      </c>
      <c r="I49" s="16"/>
      <c r="J49" s="16" t="s">
        <v>543</v>
      </c>
    </row>
    <row r="50" customFormat="false" ht="33.75" hidden="false" customHeight="true" outlineLevel="0" collapsed="false">
      <c r="A50" s="9" t="s">
        <v>325</v>
      </c>
      <c r="B50" s="16" t="s">
        <v>544</v>
      </c>
      <c r="C50" s="16" t="s">
        <v>545</v>
      </c>
      <c r="D50" s="16" t="s">
        <v>546</v>
      </c>
      <c r="F50" s="16" t="s">
        <v>547</v>
      </c>
      <c r="G50" s="16" t="s">
        <v>548</v>
      </c>
      <c r="H50" s="16" t="s">
        <v>303</v>
      </c>
      <c r="I50" s="16" t="s">
        <v>549</v>
      </c>
      <c r="J50" s="16"/>
    </row>
    <row r="51" customFormat="false" ht="33.75" hidden="false" customHeight="true" outlineLevel="0" collapsed="false">
      <c r="A51" s="9" t="s">
        <v>327</v>
      </c>
      <c r="B51" s="16" t="s">
        <v>550</v>
      </c>
      <c r="C51" s="16" t="s">
        <v>551</v>
      </c>
      <c r="D51" s="16" t="s">
        <v>552</v>
      </c>
      <c r="F51" s="16" t="s">
        <v>553</v>
      </c>
      <c r="G51" s="16" t="s">
        <v>554</v>
      </c>
      <c r="H51" s="16" t="s">
        <v>287</v>
      </c>
      <c r="I51" s="16" t="s">
        <v>555</v>
      </c>
      <c r="J51" s="16"/>
    </row>
    <row r="52" customFormat="false" ht="33.75" hidden="false" customHeight="true" outlineLevel="0" collapsed="false">
      <c r="A52" s="9" t="s">
        <v>329</v>
      </c>
      <c r="B52" s="16" t="s">
        <v>556</v>
      </c>
      <c r="C52" s="16" t="s">
        <v>557</v>
      </c>
      <c r="D52" s="16" t="s">
        <v>558</v>
      </c>
      <c r="F52" s="16" t="s">
        <v>559</v>
      </c>
      <c r="G52" s="16" t="s">
        <v>560</v>
      </c>
      <c r="H52" s="16" t="s">
        <v>287</v>
      </c>
      <c r="I52" s="16" t="s">
        <v>561</v>
      </c>
      <c r="J52" s="16"/>
    </row>
    <row r="53" customFormat="false" ht="33.75" hidden="false" customHeight="true" outlineLevel="0" collapsed="false">
      <c r="A53" s="9" t="s">
        <v>331</v>
      </c>
      <c r="B53" s="16" t="s">
        <v>562</v>
      </c>
      <c r="C53" s="16" t="s">
        <v>563</v>
      </c>
      <c r="D53" s="16" t="s">
        <v>564</v>
      </c>
      <c r="F53" s="16" t="s">
        <v>533</v>
      </c>
      <c r="G53" s="16" t="s">
        <v>565</v>
      </c>
      <c r="H53" s="16" t="s">
        <v>287</v>
      </c>
      <c r="I53" s="16"/>
      <c r="J53" s="16"/>
    </row>
    <row r="54" customFormat="false" ht="33.75" hidden="false" customHeight="true" outlineLevel="0" collapsed="false">
      <c r="A54" s="9" t="s">
        <v>333</v>
      </c>
      <c r="B54" s="16" t="s">
        <v>566</v>
      </c>
      <c r="C54" s="16" t="s">
        <v>567</v>
      </c>
      <c r="D54" s="16" t="s">
        <v>568</v>
      </c>
      <c r="F54" s="16" t="s">
        <v>533</v>
      </c>
      <c r="G54" s="16" t="s">
        <v>528</v>
      </c>
      <c r="H54" s="16" t="s">
        <v>287</v>
      </c>
      <c r="I54" s="16"/>
      <c r="J54" s="16" t="s">
        <v>569</v>
      </c>
    </row>
  </sheetData>
  <conditionalFormatting sqref="F6:F22">
    <cfRule type="expression" priority="2" aboveAverage="0" equalAverage="0" bottom="0" percent="0" rank="0" text="" dxfId="0">
      <formula>LEFT(F6,8)="VERIFIED"</formula>
    </cfRule>
    <cfRule type="expression" priority="3" aboveAverage="0" equalAverage="0" bottom="0" percent="0" rank="0" text="" dxfId="2">
      <formula>OR(F6="ESTIMATED",F6="CALCULATED")</formula>
    </cfRule>
    <cfRule type="expression" priority="4" aboveAverage="0" equalAverage="0" bottom="0" percent="0" rank="0" text="" dxfId="1">
      <formula>OR(F6="ASSUMED",F6="UNRESOLVED",F6="UNVERIFIED")</formula>
    </cfRule>
  </conditionalFormatting>
  <conditionalFormatting sqref="H26:H33">
    <cfRule type="expression" priority="5" aboveAverage="0" equalAverage="0" bottom="0" percent="0" rank="0" text="" dxfId="0">
      <formula>LEFT(H26,8)="VERIFIED"</formula>
    </cfRule>
    <cfRule type="expression" priority="6" aboveAverage="0" equalAverage="0" bottom="0" percent="0" rank="0" text="" dxfId="2">
      <formula>OR(H26="ESTIMATED",H26="CALCULATED")</formula>
    </cfRule>
    <cfRule type="expression" priority="7" aboveAverage="0" equalAverage="0" bottom="0" percent="0" rank="0" text="" dxfId="1">
      <formula>OR(H26="ASSUMED",H26="UNRESOLVED",H26="UNVERIFIED")</formula>
    </cfRule>
  </conditionalFormatting>
  <dataValidations count="1">
    <dataValidation allowBlank="true" error="Value outside the allowed range" errorStyle="stop" operator="between" showDropDown="false" showErrorMessage="false" showInputMessage="false" sqref="D26:F33"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J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6" min="3" style="0" width="12"/>
    <col collapsed="false" customWidth="true" hidden="false" outlineLevel="0" max="7" min="7" style="0" width="16"/>
    <col collapsed="false" customWidth="true" hidden="false" outlineLevel="0" max="9" min="8" style="0" width="18"/>
    <col collapsed="false" customWidth="true" hidden="false" outlineLevel="0" max="10" min="10" style="0" width="60"/>
  </cols>
  <sheetData>
    <row r="1" customFormat="false" ht="18.55" hidden="false" customHeight="false" outlineLevel="0" collapsed="false">
      <c r="A1" s="1" t="s">
        <v>570</v>
      </c>
    </row>
    <row r="2" customFormat="false" ht="15" hidden="false" customHeight="false" outlineLevel="0" collapsed="false">
      <c r="A2" s="2" t="s">
        <v>571</v>
      </c>
    </row>
    <row r="4" customFormat="false" ht="15" hidden="false" customHeight="false" outlineLevel="0" collapsed="false">
      <c r="A4" s="3" t="s">
        <v>572</v>
      </c>
      <c r="B4" s="4"/>
      <c r="C4" s="4"/>
      <c r="D4" s="4"/>
      <c r="E4" s="4"/>
      <c r="F4" s="4"/>
      <c r="G4" s="4"/>
      <c r="H4" s="4"/>
      <c r="I4" s="4"/>
      <c r="J4" s="4"/>
    </row>
    <row r="5" customFormat="false" ht="23.85" hidden="false" customHeight="false" outlineLevel="0" collapsed="false">
      <c r="A5" s="13" t="s">
        <v>279</v>
      </c>
      <c r="B5" s="13" t="s">
        <v>280</v>
      </c>
      <c r="C5" s="13" t="s">
        <v>18</v>
      </c>
      <c r="D5" s="13" t="s">
        <v>103</v>
      </c>
      <c r="E5" s="13" t="s">
        <v>104</v>
      </c>
      <c r="F5" s="13" t="s">
        <v>105</v>
      </c>
      <c r="G5" s="13" t="s">
        <v>281</v>
      </c>
      <c r="H5" s="13" t="s">
        <v>282</v>
      </c>
      <c r="I5" s="13" t="s">
        <v>283</v>
      </c>
      <c r="J5" s="13" t="s">
        <v>284</v>
      </c>
    </row>
    <row r="6" customFormat="false" ht="23.85" hidden="false" customHeight="false" outlineLevel="0" collapsed="false">
      <c r="A6" s="9" t="s">
        <v>573</v>
      </c>
      <c r="B6" s="16" t="s">
        <v>574</v>
      </c>
      <c r="C6" s="9" t="s">
        <v>575</v>
      </c>
      <c r="D6" s="50" t="n">
        <v>54.6</v>
      </c>
      <c r="E6" s="50" t="n">
        <v>53.04</v>
      </c>
      <c r="F6" s="50" t="n">
        <v>49</v>
      </c>
      <c r="G6" s="45" t="n">
        <f aca="false">INDEX(D6:F6,1,sel_scen)</f>
        <v>53.04</v>
      </c>
      <c r="H6" s="9" t="s">
        <v>576</v>
      </c>
      <c r="I6" s="16" t="s">
        <v>577</v>
      </c>
      <c r="J6" s="16" t="s">
        <v>578</v>
      </c>
    </row>
    <row r="7" customFormat="false" ht="15" hidden="false" customHeight="false" outlineLevel="0" collapsed="false">
      <c r="A7" s="9" t="s">
        <v>579</v>
      </c>
      <c r="B7" s="16" t="s">
        <v>580</v>
      </c>
      <c r="C7" s="9" t="s">
        <v>41</v>
      </c>
      <c r="D7" s="46" t="n">
        <v>0</v>
      </c>
      <c r="E7" s="46" t="n">
        <v>0.005</v>
      </c>
      <c r="F7" s="46" t="n">
        <v>0.015</v>
      </c>
      <c r="G7" s="47" t="n">
        <f aca="false">INDEX(D7:F7,1,sel_scen)</f>
        <v>0.005</v>
      </c>
      <c r="H7" s="9" t="s">
        <v>287</v>
      </c>
      <c r="I7" s="16"/>
      <c r="J7" s="16" t="s">
        <v>581</v>
      </c>
    </row>
    <row r="9" customFormat="false" ht="15" hidden="false" customHeight="false" outlineLevel="0" collapsed="false">
      <c r="A9" s="3" t="s">
        <v>582</v>
      </c>
      <c r="B9" s="4"/>
      <c r="C9" s="4"/>
      <c r="D9" s="4"/>
      <c r="E9" s="4"/>
      <c r="F9" s="4"/>
      <c r="G9" s="4"/>
      <c r="H9" s="4"/>
      <c r="I9" s="4"/>
      <c r="J9" s="4"/>
    </row>
    <row r="10" customFormat="false" ht="15" hidden="false" customHeight="false" outlineLevel="0" collapsed="false">
      <c r="A10" s="13"/>
      <c r="B10" s="13" t="s">
        <v>583</v>
      </c>
      <c r="C10" s="13"/>
      <c r="D10" s="13" t="s">
        <v>103</v>
      </c>
      <c r="E10" s="13" t="s">
        <v>104</v>
      </c>
      <c r="F10" s="13" t="s">
        <v>105</v>
      </c>
      <c r="G10" s="13" t="s">
        <v>584</v>
      </c>
    </row>
    <row r="11" customFormat="false" ht="15" hidden="false" customHeight="false" outlineLevel="0" collapsed="false">
      <c r="B11" s="9" t="s">
        <v>585</v>
      </c>
      <c r="D11" s="45" t="n">
        <f aca="false">INDEX(in_fx_cbe,1,1)*(1-INDEX(in_fx_spread,1,1))</f>
        <v>54.6</v>
      </c>
      <c r="E11" s="45" t="n">
        <f aca="false">INDEX(in_fx_cbe,1,2)*(1-INDEX(in_fx_spread,1,2))</f>
        <v>52.7748</v>
      </c>
      <c r="F11" s="45" t="n">
        <f aca="false">INDEX(in_fx_cbe,1,3)*(1-INDEX(in_fx_spread,1,3))</f>
        <v>48.265</v>
      </c>
      <c r="G11" s="51" t="n">
        <f aca="false">INDEX(D11:F11,1,sel_scen)</f>
        <v>52.7748</v>
      </c>
    </row>
    <row r="13" customFormat="false" ht="15" hidden="false" customHeight="false" outlineLevel="0" collapsed="false">
      <c r="A13" s="3" t="s">
        <v>586</v>
      </c>
      <c r="B13" s="4"/>
      <c r="C13" s="4"/>
      <c r="D13" s="4"/>
      <c r="E13" s="4"/>
      <c r="F13" s="4"/>
      <c r="G13" s="4"/>
      <c r="H13" s="4"/>
      <c r="I13" s="4"/>
      <c r="J13" s="4"/>
    </row>
    <row r="14" customFormat="false" ht="15" hidden="false" customHeight="false" outlineLevel="0" collapsed="false">
      <c r="A14" s="13" t="s">
        <v>587</v>
      </c>
      <c r="B14" s="13" t="s">
        <v>588</v>
      </c>
      <c r="C14" s="13" t="s">
        <v>575</v>
      </c>
      <c r="D14" s="13"/>
      <c r="E14" s="13"/>
      <c r="F14" s="13"/>
      <c r="G14" s="13"/>
      <c r="H14" s="13" t="s">
        <v>523</v>
      </c>
      <c r="I14" s="13" t="s">
        <v>589</v>
      </c>
      <c r="J14" s="13" t="s">
        <v>19</v>
      </c>
    </row>
    <row r="15" customFormat="false" ht="15" hidden="false" customHeight="false" outlineLevel="0" collapsed="false">
      <c r="A15" s="9" t="s">
        <v>590</v>
      </c>
      <c r="B15" s="9" t="s">
        <v>591</v>
      </c>
      <c r="C15" s="52" t="n">
        <v>47.64</v>
      </c>
      <c r="H15" s="9" t="s">
        <v>592</v>
      </c>
      <c r="I15" s="9" t="s">
        <v>593</v>
      </c>
      <c r="J15" s="9"/>
    </row>
    <row r="16" customFormat="false" ht="15" hidden="false" customHeight="false" outlineLevel="0" collapsed="false">
      <c r="A16" s="9" t="s">
        <v>594</v>
      </c>
      <c r="B16" s="9" t="s">
        <v>595</v>
      </c>
      <c r="C16" s="52" t="n">
        <v>54.6</v>
      </c>
      <c r="H16" s="9" t="s">
        <v>592</v>
      </c>
      <c r="I16" s="9" t="s">
        <v>596</v>
      </c>
      <c r="J16" s="9" t="s">
        <v>597</v>
      </c>
    </row>
    <row r="17" customFormat="false" ht="15" hidden="false" customHeight="false" outlineLevel="0" collapsed="false">
      <c r="A17" s="9" t="s">
        <v>598</v>
      </c>
      <c r="B17" s="9" t="s">
        <v>599</v>
      </c>
      <c r="C17" s="52" t="n">
        <v>52.83</v>
      </c>
      <c r="H17" s="9" t="s">
        <v>592</v>
      </c>
      <c r="I17" s="9" t="s">
        <v>593</v>
      </c>
      <c r="J17" s="9"/>
    </row>
    <row r="18" customFormat="false" ht="15" hidden="false" customHeight="false" outlineLevel="0" collapsed="false">
      <c r="A18" s="9" t="s">
        <v>600</v>
      </c>
      <c r="B18" s="9" t="s">
        <v>601</v>
      </c>
      <c r="C18" s="52" t="n">
        <v>50.6</v>
      </c>
      <c r="H18" s="9" t="s">
        <v>592</v>
      </c>
      <c r="I18" s="9" t="s">
        <v>593</v>
      </c>
      <c r="J18" s="9"/>
    </row>
    <row r="19" customFormat="false" ht="15" hidden="false" customHeight="false" outlineLevel="0" collapsed="false">
      <c r="A19" s="9" t="s">
        <v>602</v>
      </c>
      <c r="B19" s="9" t="s">
        <v>603</v>
      </c>
      <c r="C19" s="52" t="n">
        <v>52.53</v>
      </c>
      <c r="H19" s="9" t="s">
        <v>604</v>
      </c>
      <c r="I19" s="9" t="s">
        <v>605</v>
      </c>
      <c r="J19" s="9"/>
    </row>
    <row r="20" customFormat="false" ht="15" hidden="false" customHeight="false" outlineLevel="0" collapsed="false">
      <c r="A20" s="9" t="s">
        <v>606</v>
      </c>
      <c r="B20" s="9" t="s">
        <v>607</v>
      </c>
      <c r="C20" s="52" t="n">
        <v>53.0544</v>
      </c>
      <c r="H20" s="9" t="s">
        <v>604</v>
      </c>
      <c r="I20" s="9" t="s">
        <v>608</v>
      </c>
      <c r="J20" s="9"/>
    </row>
    <row r="21" customFormat="false" ht="15" hidden="false" customHeight="false" outlineLevel="0" collapsed="false">
      <c r="A21" s="9" t="s">
        <v>609</v>
      </c>
      <c r="B21" s="9" t="s">
        <v>610</v>
      </c>
      <c r="C21" s="52" t="n">
        <v>53.04</v>
      </c>
      <c r="H21" s="9" t="s">
        <v>604</v>
      </c>
      <c r="I21" s="9" t="s">
        <v>611</v>
      </c>
      <c r="J21" s="9" t="s">
        <v>104</v>
      </c>
    </row>
    <row r="22" customFormat="false" ht="15" hidden="false" customHeight="false" outlineLevel="0" collapsed="false">
      <c r="A22" s="9" t="s">
        <v>612</v>
      </c>
      <c r="B22" s="9" t="s">
        <v>613</v>
      </c>
      <c r="C22" s="52" t="n">
        <v>49</v>
      </c>
      <c r="H22" s="9" t="s">
        <v>614</v>
      </c>
      <c r="I22" s="9" t="s">
        <v>615</v>
      </c>
      <c r="J22" s="9" t="s">
        <v>616</v>
      </c>
    </row>
    <row r="24" customFormat="false" ht="15" hidden="false" customHeight="false" outlineLevel="0" collapsed="false">
      <c r="B24" s="5" t="s">
        <v>617</v>
      </c>
      <c r="C24" s="36" t="s">
        <v>609</v>
      </c>
    </row>
  </sheetData>
  <conditionalFormatting sqref="H6:H7">
    <cfRule type="expression" priority="2" aboveAverage="0" equalAverage="0" bottom="0" percent="0" rank="0" text="" dxfId="0">
      <formula>LEFT(H6,8)="VERIFIED"</formula>
    </cfRule>
    <cfRule type="expression" priority="3" aboveAverage="0" equalAverage="0" bottom="0" percent="0" rank="0" text="" dxfId="2">
      <formula>OR(H6="ESTIMATED",H6="CALCULATED")</formula>
    </cfRule>
    <cfRule type="expression" priority="4" aboveAverage="0" equalAverage="0" bottom="0" percent="0" rank="0" text="" dxfId="1">
      <formula>OR(H6="ASSUMED",H6="UNRESOLVED",H6="UNVERIFIED")</formula>
    </cfRule>
  </conditionalFormatting>
  <dataValidations count="1">
    <dataValidation allowBlank="true" error="Value outside the allowed range" errorStyle="stop" operator="between" showDropDown="false" showErrorMessage="false" showInputMessage="false" sqref="D6:F7"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O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8" min="3" style="0" width="10"/>
    <col collapsed="false" customWidth="true" hidden="false" outlineLevel="0" max="9" min="9" style="0" width="11"/>
    <col collapsed="false" customWidth="true" hidden="false" outlineLevel="0" max="10" min="10" style="0" width="9"/>
    <col collapsed="false" customWidth="true" hidden="false" outlineLevel="0" max="11" min="11" style="0" width="7"/>
    <col collapsed="false" customWidth="true" hidden="false" outlineLevel="0" max="13" min="12" style="0" width="13"/>
    <col collapsed="false" customWidth="true" hidden="false" outlineLevel="0" max="14" min="14" style="0" width="50"/>
    <col collapsed="false" customWidth="true" hidden="false" outlineLevel="0" max="15" min="15" style="0" width="18"/>
  </cols>
  <sheetData>
    <row r="1" customFormat="false" ht="18.55" hidden="false" customHeight="false" outlineLevel="0" collapsed="false">
      <c r="A1" s="1" t="s">
        <v>618</v>
      </c>
    </row>
    <row r="2" customFormat="false" ht="15" hidden="false" customHeight="false" outlineLevel="0" collapsed="false">
      <c r="A2" s="2" t="s">
        <v>619</v>
      </c>
    </row>
    <row r="4" customFormat="false" ht="15" hidden="false" customHeight="false" outlineLevel="0" collapsed="false">
      <c r="A4" s="3" t="s">
        <v>620</v>
      </c>
      <c r="B4" s="4"/>
      <c r="C4" s="4"/>
      <c r="D4" s="4"/>
      <c r="E4" s="4"/>
      <c r="F4" s="4"/>
      <c r="G4" s="4"/>
      <c r="H4" s="4"/>
      <c r="I4" s="4"/>
      <c r="J4" s="4"/>
      <c r="K4" s="4"/>
      <c r="L4" s="4"/>
      <c r="M4" s="4"/>
      <c r="N4" s="4"/>
      <c r="O4" s="4"/>
    </row>
    <row r="5" customFormat="false" ht="23.85" hidden="false" customHeight="false" outlineLevel="0" collapsed="false">
      <c r="A5" s="13" t="s">
        <v>621</v>
      </c>
      <c r="B5" s="13" t="s">
        <v>622</v>
      </c>
      <c r="C5" s="13" t="s">
        <v>623</v>
      </c>
      <c r="D5" s="13" t="s">
        <v>624</v>
      </c>
      <c r="E5" s="13" t="s">
        <v>625</v>
      </c>
      <c r="F5" s="13" t="s">
        <v>626</v>
      </c>
      <c r="G5" s="13" t="s">
        <v>627</v>
      </c>
      <c r="H5" s="13" t="s">
        <v>628</v>
      </c>
      <c r="I5" s="13" t="s">
        <v>629</v>
      </c>
      <c r="J5" s="13" t="s">
        <v>630</v>
      </c>
      <c r="K5" s="13" t="s">
        <v>631</v>
      </c>
      <c r="L5" s="13" t="s">
        <v>632</v>
      </c>
      <c r="M5" s="13" t="s">
        <v>633</v>
      </c>
      <c r="N5" s="13" t="s">
        <v>634</v>
      </c>
      <c r="O5" s="13" t="s">
        <v>635</v>
      </c>
    </row>
    <row r="6" customFormat="false" ht="23.85" hidden="false" customHeight="false" outlineLevel="0" collapsed="false">
      <c r="A6" s="5" t="s">
        <v>636</v>
      </c>
      <c r="B6" s="9" t="s">
        <v>637</v>
      </c>
      <c r="C6" s="39" t="n">
        <v>5900</v>
      </c>
      <c r="D6" s="39" t="n">
        <v>2350</v>
      </c>
      <c r="E6" s="39" t="n">
        <v>2390</v>
      </c>
      <c r="F6" s="39" t="n">
        <v>2340</v>
      </c>
      <c r="G6" s="39" t="n">
        <v>2280</v>
      </c>
      <c r="H6" s="39" t="n">
        <v>2300</v>
      </c>
      <c r="I6" s="39" t="n">
        <v>25000</v>
      </c>
      <c r="J6" s="53" t="n">
        <v>33.2</v>
      </c>
      <c r="K6" s="6" t="n">
        <v>1</v>
      </c>
      <c r="L6" s="39" t="n">
        <v>17237</v>
      </c>
      <c r="M6" s="15" t="n">
        <f aca="false">L6/0.45359237</f>
        <v>38001.0801328074</v>
      </c>
      <c r="N6" s="16" t="s">
        <v>638</v>
      </c>
      <c r="O6" s="9" t="s">
        <v>639</v>
      </c>
    </row>
    <row r="7" customFormat="false" ht="15" hidden="false" customHeight="false" outlineLevel="0" collapsed="false">
      <c r="A7" s="5" t="s">
        <v>640</v>
      </c>
      <c r="B7" s="9" t="s">
        <v>641</v>
      </c>
      <c r="C7" s="39" t="n">
        <v>12030</v>
      </c>
      <c r="D7" s="39" t="n">
        <v>2350</v>
      </c>
      <c r="E7" s="39" t="n">
        <v>2390</v>
      </c>
      <c r="F7" s="39" t="n">
        <v>2340</v>
      </c>
      <c r="G7" s="39" t="n">
        <v>2280</v>
      </c>
      <c r="H7" s="39" t="n">
        <v>3750</v>
      </c>
      <c r="I7" s="39" t="n">
        <v>27600</v>
      </c>
      <c r="J7" s="53" t="n">
        <v>67.7</v>
      </c>
      <c r="K7" s="6" t="n">
        <v>2</v>
      </c>
      <c r="L7" s="39" t="n">
        <v>19958</v>
      </c>
      <c r="M7" s="15" t="n">
        <f aca="false">L7/0.45359237</f>
        <v>43999.8582868579</v>
      </c>
      <c r="N7" s="16" t="s">
        <v>642</v>
      </c>
      <c r="O7" s="9" t="s">
        <v>639</v>
      </c>
    </row>
    <row r="8" customFormat="false" ht="15" hidden="false" customHeight="false" outlineLevel="0" collapsed="false">
      <c r="A8" s="5" t="s">
        <v>643</v>
      </c>
      <c r="B8" s="9" t="s">
        <v>644</v>
      </c>
      <c r="C8" s="39" t="n">
        <v>12030</v>
      </c>
      <c r="D8" s="39" t="n">
        <v>2350</v>
      </c>
      <c r="E8" s="39" t="n">
        <v>2700</v>
      </c>
      <c r="F8" s="39" t="n">
        <v>2340</v>
      </c>
      <c r="G8" s="39" t="n">
        <v>2580</v>
      </c>
      <c r="H8" s="39" t="n">
        <v>3940</v>
      </c>
      <c r="I8" s="39" t="n">
        <v>28560</v>
      </c>
      <c r="J8" s="53" t="n">
        <v>76.4</v>
      </c>
      <c r="K8" s="6" t="n">
        <v>2</v>
      </c>
      <c r="L8" s="39" t="n">
        <v>19958</v>
      </c>
      <c r="M8" s="15" t="n">
        <f aca="false">L8/0.45359237</f>
        <v>43999.8582868579</v>
      </c>
      <c r="N8" s="16" t="s">
        <v>642</v>
      </c>
      <c r="O8" s="9" t="s">
        <v>639</v>
      </c>
    </row>
    <row r="9" customFormat="false" ht="15" hidden="false" customHeight="false" outlineLevel="0" collapsed="false">
      <c r="A9" s="5" t="s">
        <v>645</v>
      </c>
      <c r="B9" s="9" t="s">
        <v>646</v>
      </c>
      <c r="K9" s="6" t="n">
        <v>0</v>
      </c>
      <c r="N9" s="9" t="s">
        <v>647</v>
      </c>
    </row>
    <row r="11" customFormat="false" ht="15" hidden="false" customHeight="false" outlineLevel="0" collapsed="false">
      <c r="A11" s="3" t="s">
        <v>648</v>
      </c>
      <c r="B11" s="4"/>
      <c r="C11" s="4"/>
      <c r="D11" s="4"/>
      <c r="E11" s="4"/>
      <c r="F11" s="4"/>
      <c r="G11" s="4"/>
      <c r="H11" s="4"/>
      <c r="I11" s="4"/>
      <c r="J11" s="4"/>
    </row>
    <row r="12" customFormat="false" ht="35.05" hidden="false" customHeight="false" outlineLevel="0" collapsed="false">
      <c r="A12" s="13" t="s">
        <v>279</v>
      </c>
      <c r="B12" s="13" t="s">
        <v>280</v>
      </c>
      <c r="C12" s="13" t="s">
        <v>18</v>
      </c>
      <c r="D12" s="13" t="s">
        <v>103</v>
      </c>
      <c r="E12" s="13" t="s">
        <v>104</v>
      </c>
      <c r="F12" s="13" t="s">
        <v>105</v>
      </c>
      <c r="G12" s="13" t="s">
        <v>281</v>
      </c>
      <c r="H12" s="13" t="s">
        <v>282</v>
      </c>
      <c r="I12" s="13" t="s">
        <v>283</v>
      </c>
      <c r="J12" s="13" t="s">
        <v>284</v>
      </c>
    </row>
    <row r="13" customFormat="false" ht="23.85" hidden="false" customHeight="false" outlineLevel="0" collapsed="false">
      <c r="A13" s="9" t="s">
        <v>649</v>
      </c>
      <c r="B13" s="16" t="s">
        <v>650</v>
      </c>
      <c r="C13" s="9" t="s">
        <v>443</v>
      </c>
      <c r="D13" s="48" t="n">
        <v>100</v>
      </c>
      <c r="E13" s="48" t="n">
        <v>100</v>
      </c>
      <c r="F13" s="48" t="n">
        <v>100</v>
      </c>
      <c r="G13" s="49" t="n">
        <f aca="false">INDEX(D13:F13,1,sel_scen)</f>
        <v>100</v>
      </c>
      <c r="H13" s="9" t="s">
        <v>287</v>
      </c>
      <c r="I13" s="16"/>
      <c r="J13" s="16"/>
    </row>
    <row r="14" customFormat="false" ht="35.05" hidden="false" customHeight="false" outlineLevel="0" collapsed="false">
      <c r="A14" s="9" t="s">
        <v>651</v>
      </c>
      <c r="B14" s="16" t="s">
        <v>652</v>
      </c>
      <c r="C14" s="9" t="s">
        <v>443</v>
      </c>
      <c r="D14" s="48" t="n">
        <v>20</v>
      </c>
      <c r="E14" s="48" t="n">
        <v>20</v>
      </c>
      <c r="F14" s="48" t="n">
        <v>20</v>
      </c>
      <c r="G14" s="49" t="n">
        <f aca="false">INDEX(D14:F14,1,sel_scen)</f>
        <v>20</v>
      </c>
      <c r="H14" s="9" t="s">
        <v>287</v>
      </c>
      <c r="I14" s="16"/>
      <c r="J14" s="16"/>
    </row>
    <row r="15" customFormat="false" ht="79.85" hidden="false" customHeight="false" outlineLevel="0" collapsed="false">
      <c r="A15" s="9" t="s">
        <v>653</v>
      </c>
      <c r="B15" s="16" t="s">
        <v>654</v>
      </c>
      <c r="C15" s="9" t="s">
        <v>443</v>
      </c>
      <c r="D15" s="48" t="n">
        <v>90</v>
      </c>
      <c r="E15" s="48" t="n">
        <v>90</v>
      </c>
      <c r="F15" s="48" t="n">
        <v>90</v>
      </c>
      <c r="G15" s="49" t="n">
        <f aca="false">INDEX(D15:F15,1,sel_scen)</f>
        <v>90</v>
      </c>
      <c r="H15" s="9" t="s">
        <v>287</v>
      </c>
      <c r="I15" s="16"/>
      <c r="J15" s="16" t="s">
        <v>655</v>
      </c>
    </row>
    <row r="16" customFormat="false" ht="113.4" hidden="false" customHeight="false" outlineLevel="0" collapsed="false">
      <c r="A16" s="9" t="s">
        <v>656</v>
      </c>
      <c r="B16" s="16" t="s">
        <v>657</v>
      </c>
      <c r="C16" s="9" t="s">
        <v>447</v>
      </c>
      <c r="D16" s="40" t="n">
        <v>0.97</v>
      </c>
      <c r="E16" s="40" t="n">
        <v>0.95</v>
      </c>
      <c r="F16" s="40" t="n">
        <v>0.9</v>
      </c>
      <c r="G16" s="24" t="n">
        <f aca="false">INDEX(D16:F16,1,sel_scen)</f>
        <v>0.95</v>
      </c>
      <c r="H16" s="9" t="s">
        <v>287</v>
      </c>
      <c r="I16" s="16"/>
      <c r="J16" s="16" t="s">
        <v>658</v>
      </c>
    </row>
    <row r="18" customFormat="false" ht="30" hidden="false" customHeight="true" outlineLevel="0" collapsed="false">
      <c r="A18" s="5" t="s">
        <v>19</v>
      </c>
      <c r="B18" s="16" t="s">
        <v>659</v>
      </c>
      <c r="C18" s="16"/>
      <c r="D18" s="16"/>
      <c r="E18" s="16"/>
      <c r="F18" s="16"/>
      <c r="G18" s="16"/>
      <c r="H18" s="16"/>
      <c r="I18" s="16"/>
      <c r="J18" s="16"/>
      <c r="K18" s="16"/>
      <c r="L18" s="16"/>
      <c r="M18" s="16"/>
      <c r="N18" s="16"/>
    </row>
    <row r="19" customFormat="false" ht="30" hidden="false" customHeight="true" outlineLevel="0" collapsed="false">
      <c r="A19" s="5" t="s">
        <v>19</v>
      </c>
      <c r="B19" s="16" t="s">
        <v>660</v>
      </c>
      <c r="C19" s="16"/>
      <c r="D19" s="16"/>
      <c r="E19" s="16"/>
      <c r="F19" s="16"/>
      <c r="G19" s="16"/>
      <c r="H19" s="16"/>
      <c r="I19" s="16"/>
      <c r="J19" s="16"/>
      <c r="K19" s="16"/>
      <c r="L19" s="16"/>
      <c r="M19" s="16"/>
      <c r="N19" s="16"/>
    </row>
    <row r="20" customFormat="false" ht="30" hidden="false" customHeight="true" outlineLevel="0" collapsed="false">
      <c r="A20" s="5" t="s">
        <v>19</v>
      </c>
      <c r="B20" s="16" t="s">
        <v>661</v>
      </c>
      <c r="C20" s="16"/>
      <c r="D20" s="16"/>
      <c r="E20" s="16"/>
      <c r="F20" s="16"/>
      <c r="G20" s="16"/>
      <c r="H20" s="16"/>
      <c r="I20" s="16"/>
      <c r="J20" s="16"/>
      <c r="K20" s="16"/>
      <c r="L20" s="16"/>
      <c r="M20" s="16"/>
      <c r="N20" s="16"/>
    </row>
  </sheetData>
  <mergeCells count="3">
    <mergeCell ref="B18:N18"/>
    <mergeCell ref="B19:N19"/>
    <mergeCell ref="B20:N20"/>
  </mergeCells>
  <conditionalFormatting sqref="H13:H16">
    <cfRule type="expression" priority="2" aboveAverage="0" equalAverage="0" bottom="0" percent="0" rank="0" text="" dxfId="0">
      <formula>LEFT(H13,8)="VERIFIED"</formula>
    </cfRule>
    <cfRule type="expression" priority="3" aboveAverage="0" equalAverage="0" bottom="0" percent="0" rank="0" text="" dxfId="2">
      <formula>OR(H13="ESTIMATED",H13="CALCULATED")</formula>
    </cfRule>
    <cfRule type="expression" priority="4" aboveAverage="0" equalAverage="0" bottom="0" percent="0" rank="0" text="" dxfId="1">
      <formula>OR(H13="ASSUMED",H13="UNRESOLVED",H13="UNVERIFIED")</formula>
    </cfRule>
  </conditionalFormatting>
  <dataValidations count="1">
    <dataValidation allowBlank="true" error="Value outside the allowed range" errorStyle="stop" operator="between" showDropDown="false" showErrorMessage="false" showInputMessage="false" sqref="D13:F16"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AH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6" min="2" style="0" width="9"/>
    <col collapsed="false" customWidth="true" hidden="false" outlineLevel="0" max="29" min="29" style="0" width="18"/>
    <col collapsed="false" customWidth="true" hidden="false" outlineLevel="0" max="33" min="33" style="0" width="10"/>
    <col collapsed="false" customWidth="true" hidden="false" outlineLevel="0" max="34" min="34" style="0" width="22"/>
  </cols>
  <sheetData>
    <row r="1" customFormat="false" ht="18.55" hidden="false" customHeight="false" outlineLevel="0" collapsed="false">
      <c r="A1" s="1" t="s">
        <v>662</v>
      </c>
    </row>
    <row r="2" customFormat="false" ht="15" hidden="false" customHeight="false" outlineLevel="0" collapsed="false">
      <c r="A2" s="2" t="s">
        <v>663</v>
      </c>
    </row>
    <row r="4" customFormat="false" ht="15" hidden="false" customHeight="false" outlineLevel="0" collapsed="false">
      <c r="A4" s="3" t="s">
        <v>664</v>
      </c>
      <c r="B4" s="4"/>
      <c r="C4" s="4"/>
      <c r="D4" s="4"/>
      <c r="E4" s="4"/>
      <c r="F4" s="4"/>
      <c r="G4" s="4"/>
      <c r="H4" s="4"/>
      <c r="I4" s="4"/>
      <c r="J4" s="4"/>
      <c r="K4" s="4"/>
      <c r="L4" s="4"/>
      <c r="M4" s="4"/>
      <c r="N4" s="4"/>
      <c r="O4" s="4"/>
      <c r="P4" s="4"/>
      <c r="Q4" s="4"/>
      <c r="R4" s="4"/>
      <c r="S4" s="4"/>
      <c r="T4" s="4"/>
      <c r="U4" s="4"/>
      <c r="V4" s="4"/>
      <c r="W4" s="4"/>
      <c r="X4" s="4"/>
    </row>
    <row r="5" customFormat="false" ht="23.85" hidden="false" customHeight="false" outlineLevel="0" collapsed="false">
      <c r="A5" s="13" t="s">
        <v>180</v>
      </c>
      <c r="B5" s="13" t="s">
        <v>665</v>
      </c>
      <c r="C5" s="13" t="s">
        <v>666</v>
      </c>
      <c r="D5" s="13" t="s">
        <v>185</v>
      </c>
      <c r="E5" s="13" t="s">
        <v>186</v>
      </c>
      <c r="F5" s="13" t="s">
        <v>187</v>
      </c>
      <c r="G5" s="13" t="s">
        <v>667</v>
      </c>
      <c r="H5" s="13" t="s">
        <v>668</v>
      </c>
      <c r="I5" s="13" t="s">
        <v>669</v>
      </c>
      <c r="J5" s="13" t="s">
        <v>670</v>
      </c>
      <c r="K5" s="13" t="s">
        <v>671</v>
      </c>
      <c r="L5" s="13" t="s">
        <v>672</v>
      </c>
      <c r="M5" s="13" t="s">
        <v>451</v>
      </c>
      <c r="N5" s="13" t="s">
        <v>673</v>
      </c>
      <c r="O5" s="13" t="s">
        <v>674</v>
      </c>
      <c r="P5" s="13" t="s">
        <v>675</v>
      </c>
      <c r="Q5" s="13" t="s">
        <v>676</v>
      </c>
      <c r="R5" s="13" t="s">
        <v>677</v>
      </c>
      <c r="S5" s="13" t="s">
        <v>678</v>
      </c>
      <c r="T5" s="13" t="s">
        <v>679</v>
      </c>
      <c r="U5" s="13" t="s">
        <v>680</v>
      </c>
      <c r="V5" s="13" t="s">
        <v>681</v>
      </c>
      <c r="W5" s="13" t="s">
        <v>682</v>
      </c>
      <c r="X5" s="13" t="s">
        <v>683</v>
      </c>
    </row>
    <row r="6" customFormat="false" ht="15" hidden="false" customHeight="false" outlineLevel="0" collapsed="false">
      <c r="A6" s="5" t="s">
        <v>15</v>
      </c>
      <c r="B6" s="9" t="s">
        <v>103</v>
      </c>
      <c r="C6" s="9" t="n">
        <v>1</v>
      </c>
      <c r="D6" s="15" t="n">
        <f aca="false">q_L_3464</f>
        <v>355</v>
      </c>
      <c r="E6" s="15" t="n">
        <f aca="false">q_W_3464</f>
        <v>355</v>
      </c>
      <c r="F6" s="15" t="n">
        <f aca="false">q_H_3464</f>
        <v>50</v>
      </c>
      <c r="G6" s="33" t="n">
        <f aca="false">INDEX(in_eng_k_len,1,C6)</f>
        <v>4.5</v>
      </c>
      <c r="H6" s="10" t="n">
        <f aca="false">INDEX(in_eng_w_allow,1,C6)</f>
        <v>13</v>
      </c>
      <c r="I6" s="10" t="n">
        <f aca="false">2*D6+G6*F6</f>
        <v>935</v>
      </c>
      <c r="J6" s="10" t="n">
        <f aca="false">E6+2*F6+H6</f>
        <v>468</v>
      </c>
      <c r="K6" s="34" t="n">
        <f aca="false">I6*J6/1000000</f>
        <v>0.43758</v>
      </c>
      <c r="L6" s="33" t="n">
        <f aca="false">INDEX(in_eng_net_area,1,C6)</f>
        <v>0.92</v>
      </c>
      <c r="M6" s="10" t="n">
        <f aca="false">INDEX(in_eng_grammage,1,C6)</f>
        <v>400</v>
      </c>
      <c r="N6" s="34" t="n">
        <f aca="false">K6*L6*M6/1000</f>
        <v>0.16102944</v>
      </c>
      <c r="O6" s="10" t="n">
        <f aca="false">INDEX(in_eng_wrap_mm,1,C6)</f>
        <v>5</v>
      </c>
      <c r="P6" s="10" t="n">
        <f aca="false">I6+O6</f>
        <v>940</v>
      </c>
      <c r="Q6" s="10" t="n">
        <f aca="false">J6+O6</f>
        <v>473</v>
      </c>
      <c r="R6" s="10" t="n">
        <f aca="false">INDEX(in_eng_per_bundle,1,C6)</f>
        <v>50</v>
      </c>
      <c r="S6" s="33" t="n">
        <f aca="false">INDEX(in_eng_pitch,1,C6)</f>
        <v>1.5</v>
      </c>
      <c r="T6" s="54" t="n">
        <f aca="false">R6*S6</f>
        <v>75</v>
      </c>
      <c r="U6" s="55" t="n">
        <f aca="false">R6*N6+INDEX(in_eng_wrap_kg,1,C6)</f>
        <v>8.151472</v>
      </c>
      <c r="V6" s="56" t="n">
        <f aca="false">P6*Q6*T6/1000000000</f>
        <v>0.0333465</v>
      </c>
      <c r="W6" s="57" t="n">
        <f aca="false">V6/R6</f>
        <v>0.00066693</v>
      </c>
      <c r="X6" s="56" t="n">
        <f aca="false">U6/R6</f>
        <v>0.16302944</v>
      </c>
    </row>
    <row r="7" customFormat="false" ht="15" hidden="false" customHeight="false" outlineLevel="0" collapsed="false">
      <c r="A7" s="5" t="s">
        <v>15</v>
      </c>
      <c r="B7" s="9" t="s">
        <v>104</v>
      </c>
      <c r="C7" s="9" t="n">
        <v>2</v>
      </c>
      <c r="D7" s="15" t="n">
        <f aca="false">q_L_3464</f>
        <v>355</v>
      </c>
      <c r="E7" s="15" t="n">
        <f aca="false">q_W_3464</f>
        <v>355</v>
      </c>
      <c r="F7" s="15" t="n">
        <f aca="false">q_H_3464</f>
        <v>50</v>
      </c>
      <c r="G7" s="33" t="n">
        <f aca="false">INDEX(in_eng_k_len,1,C7)</f>
        <v>4.5</v>
      </c>
      <c r="H7" s="10" t="n">
        <f aca="false">INDEX(in_eng_w_allow,1,C7)</f>
        <v>13</v>
      </c>
      <c r="I7" s="10" t="n">
        <f aca="false">2*D7+G7*F7</f>
        <v>935</v>
      </c>
      <c r="J7" s="10" t="n">
        <f aca="false">E7+2*F7+H7</f>
        <v>468</v>
      </c>
      <c r="K7" s="34" t="n">
        <f aca="false">I7*J7/1000000</f>
        <v>0.43758</v>
      </c>
      <c r="L7" s="33" t="n">
        <f aca="false">INDEX(in_eng_net_area,1,C7)</f>
        <v>0.92</v>
      </c>
      <c r="M7" s="10" t="n">
        <f aca="false">INDEX(in_eng_grammage,1,C7)</f>
        <v>420</v>
      </c>
      <c r="N7" s="34" t="n">
        <f aca="false">K7*L7*M7/1000</f>
        <v>0.169080912</v>
      </c>
      <c r="O7" s="10" t="n">
        <f aca="false">INDEX(in_eng_wrap_mm,1,C7)</f>
        <v>5</v>
      </c>
      <c r="P7" s="10" t="n">
        <f aca="false">I7+O7</f>
        <v>940</v>
      </c>
      <c r="Q7" s="10" t="n">
        <f aca="false">J7+O7</f>
        <v>473</v>
      </c>
      <c r="R7" s="10" t="n">
        <f aca="false">INDEX(in_eng_per_bundle,1,C7)</f>
        <v>50</v>
      </c>
      <c r="S7" s="33" t="n">
        <f aca="false">INDEX(in_eng_pitch,1,C7)</f>
        <v>1.6</v>
      </c>
      <c r="T7" s="54" t="n">
        <f aca="false">R7*S7</f>
        <v>80</v>
      </c>
      <c r="U7" s="55" t="n">
        <f aca="false">R7*N7+INDEX(in_eng_wrap_kg,1,C7)</f>
        <v>8.5540456</v>
      </c>
      <c r="V7" s="56" t="n">
        <f aca="false">P7*Q7*T7/1000000000</f>
        <v>0.0355696</v>
      </c>
      <c r="W7" s="57" t="n">
        <f aca="false">V7/R7</f>
        <v>0.000711392</v>
      </c>
      <c r="X7" s="56" t="n">
        <f aca="false">U7/R7</f>
        <v>0.171080912</v>
      </c>
    </row>
    <row r="8" customFormat="false" ht="15" hidden="false" customHeight="false" outlineLevel="0" collapsed="false">
      <c r="A8" s="5" t="s">
        <v>15</v>
      </c>
      <c r="B8" s="9" t="s">
        <v>105</v>
      </c>
      <c r="C8" s="9" t="n">
        <v>3</v>
      </c>
      <c r="D8" s="15" t="n">
        <f aca="false">q_L_3464</f>
        <v>355</v>
      </c>
      <c r="E8" s="15" t="n">
        <f aca="false">q_W_3464</f>
        <v>355</v>
      </c>
      <c r="F8" s="15" t="n">
        <f aca="false">q_H_3464</f>
        <v>50</v>
      </c>
      <c r="G8" s="33" t="n">
        <f aca="false">INDEX(in_eng_k_len,1,C8)</f>
        <v>4.5</v>
      </c>
      <c r="H8" s="10" t="n">
        <f aca="false">INDEX(in_eng_w_allow,1,C8)</f>
        <v>13</v>
      </c>
      <c r="I8" s="10" t="n">
        <f aca="false">2*D8+G8*F8</f>
        <v>935</v>
      </c>
      <c r="J8" s="10" t="n">
        <f aca="false">E8+2*F8+H8</f>
        <v>468</v>
      </c>
      <c r="K8" s="34" t="n">
        <f aca="false">I8*J8/1000000</f>
        <v>0.43758</v>
      </c>
      <c r="L8" s="33" t="n">
        <f aca="false">INDEX(in_eng_net_area,1,C8)</f>
        <v>0.92</v>
      </c>
      <c r="M8" s="10" t="n">
        <f aca="false">INDEX(in_eng_grammage,1,C8)</f>
        <v>480</v>
      </c>
      <c r="N8" s="34" t="n">
        <f aca="false">K8*L8*M8/1000</f>
        <v>0.193235328</v>
      </c>
      <c r="O8" s="10" t="n">
        <f aca="false">INDEX(in_eng_wrap_mm,1,C8)</f>
        <v>5</v>
      </c>
      <c r="P8" s="10" t="n">
        <f aca="false">I8+O8</f>
        <v>940</v>
      </c>
      <c r="Q8" s="10" t="n">
        <f aca="false">J8+O8</f>
        <v>473</v>
      </c>
      <c r="R8" s="10" t="n">
        <f aca="false">INDEX(in_eng_per_bundle,1,C8)</f>
        <v>50</v>
      </c>
      <c r="S8" s="33" t="n">
        <f aca="false">INDEX(in_eng_pitch,1,C8)</f>
        <v>1.8</v>
      </c>
      <c r="T8" s="54" t="n">
        <f aca="false">R8*S8</f>
        <v>90</v>
      </c>
      <c r="U8" s="55" t="n">
        <f aca="false">R8*N8+INDEX(in_eng_wrap_kg,1,C8)</f>
        <v>9.7617664</v>
      </c>
      <c r="V8" s="56" t="n">
        <f aca="false">P8*Q8*T8/1000000000</f>
        <v>0.0400158</v>
      </c>
      <c r="W8" s="57" t="n">
        <f aca="false">V8/R8</f>
        <v>0.000800316</v>
      </c>
      <c r="X8" s="56" t="n">
        <f aca="false">U8/R8</f>
        <v>0.195235328</v>
      </c>
    </row>
    <row r="9" customFormat="false" ht="15" hidden="false" customHeight="false" outlineLevel="0" collapsed="false">
      <c r="A9" s="5" t="s">
        <v>16</v>
      </c>
      <c r="B9" s="9" t="s">
        <v>103</v>
      </c>
      <c r="C9" s="9" t="n">
        <v>1</v>
      </c>
      <c r="D9" s="15" t="n">
        <f aca="false">q_L_3463</f>
        <v>405</v>
      </c>
      <c r="E9" s="15" t="n">
        <f aca="false">q_W_3463</f>
        <v>405</v>
      </c>
      <c r="F9" s="15" t="n">
        <f aca="false">q_H_3463</f>
        <v>50</v>
      </c>
      <c r="G9" s="33" t="n">
        <f aca="false">INDEX(in_eng_k_len,1,C9)</f>
        <v>4.5</v>
      </c>
      <c r="H9" s="10" t="n">
        <f aca="false">INDEX(in_eng_w_allow,1,C9)</f>
        <v>13</v>
      </c>
      <c r="I9" s="10" t="n">
        <f aca="false">2*D9+G9*F9</f>
        <v>1035</v>
      </c>
      <c r="J9" s="10" t="n">
        <f aca="false">E9+2*F9+H9</f>
        <v>518</v>
      </c>
      <c r="K9" s="34" t="n">
        <f aca="false">I9*J9/1000000</f>
        <v>0.53613</v>
      </c>
      <c r="L9" s="33" t="n">
        <f aca="false">INDEX(in_eng_net_area,1,C9)</f>
        <v>0.92</v>
      </c>
      <c r="M9" s="10" t="n">
        <f aca="false">INDEX(in_eng_grammage,1,C9)</f>
        <v>400</v>
      </c>
      <c r="N9" s="34" t="n">
        <f aca="false">K9*L9*M9/1000</f>
        <v>0.19729584</v>
      </c>
      <c r="O9" s="10" t="n">
        <f aca="false">INDEX(in_eng_wrap_mm,1,C9)</f>
        <v>5</v>
      </c>
      <c r="P9" s="10" t="n">
        <f aca="false">I9+O9</f>
        <v>1040</v>
      </c>
      <c r="Q9" s="10" t="n">
        <f aca="false">J9+O9</f>
        <v>523</v>
      </c>
      <c r="R9" s="10" t="n">
        <f aca="false">INDEX(in_eng_per_bundle,1,C9)</f>
        <v>50</v>
      </c>
      <c r="S9" s="33" t="n">
        <f aca="false">INDEX(in_eng_pitch,1,C9)</f>
        <v>1.5</v>
      </c>
      <c r="T9" s="54" t="n">
        <f aca="false">R9*S9</f>
        <v>75</v>
      </c>
      <c r="U9" s="55" t="n">
        <f aca="false">R9*N9+INDEX(in_eng_wrap_kg,1,C9)</f>
        <v>9.964792</v>
      </c>
      <c r="V9" s="56" t="n">
        <f aca="false">P9*Q9*T9/1000000000</f>
        <v>0.040794</v>
      </c>
      <c r="W9" s="57" t="n">
        <f aca="false">V9/R9</f>
        <v>0.00081588</v>
      </c>
      <c r="X9" s="56" t="n">
        <f aca="false">U9/R9</f>
        <v>0.19929584</v>
      </c>
    </row>
    <row r="10" customFormat="false" ht="15" hidden="false" customHeight="false" outlineLevel="0" collapsed="false">
      <c r="A10" s="5" t="s">
        <v>16</v>
      </c>
      <c r="B10" s="9" t="s">
        <v>104</v>
      </c>
      <c r="C10" s="9" t="n">
        <v>2</v>
      </c>
      <c r="D10" s="15" t="n">
        <f aca="false">q_L_3463</f>
        <v>405</v>
      </c>
      <c r="E10" s="15" t="n">
        <f aca="false">q_W_3463</f>
        <v>405</v>
      </c>
      <c r="F10" s="15" t="n">
        <f aca="false">q_H_3463</f>
        <v>50</v>
      </c>
      <c r="G10" s="33" t="n">
        <f aca="false">INDEX(in_eng_k_len,1,C10)</f>
        <v>4.5</v>
      </c>
      <c r="H10" s="10" t="n">
        <f aca="false">INDEX(in_eng_w_allow,1,C10)</f>
        <v>13</v>
      </c>
      <c r="I10" s="10" t="n">
        <f aca="false">2*D10+G10*F10</f>
        <v>1035</v>
      </c>
      <c r="J10" s="10" t="n">
        <f aca="false">E10+2*F10+H10</f>
        <v>518</v>
      </c>
      <c r="K10" s="34" t="n">
        <f aca="false">I10*J10/1000000</f>
        <v>0.53613</v>
      </c>
      <c r="L10" s="33" t="n">
        <f aca="false">INDEX(in_eng_net_area,1,C10)</f>
        <v>0.92</v>
      </c>
      <c r="M10" s="10" t="n">
        <f aca="false">INDEX(in_eng_grammage,1,C10)</f>
        <v>420</v>
      </c>
      <c r="N10" s="34" t="n">
        <f aca="false">K10*L10*M10/1000</f>
        <v>0.207160632</v>
      </c>
      <c r="O10" s="10" t="n">
        <f aca="false">INDEX(in_eng_wrap_mm,1,C10)</f>
        <v>5</v>
      </c>
      <c r="P10" s="10" t="n">
        <f aca="false">I10+O10</f>
        <v>1040</v>
      </c>
      <c r="Q10" s="10" t="n">
        <f aca="false">J10+O10</f>
        <v>523</v>
      </c>
      <c r="R10" s="10" t="n">
        <f aca="false">INDEX(in_eng_per_bundle,1,C10)</f>
        <v>50</v>
      </c>
      <c r="S10" s="33" t="n">
        <f aca="false">INDEX(in_eng_pitch,1,C10)</f>
        <v>1.6</v>
      </c>
      <c r="T10" s="54" t="n">
        <f aca="false">R10*S10</f>
        <v>80</v>
      </c>
      <c r="U10" s="55" t="n">
        <f aca="false">R10*N10+INDEX(in_eng_wrap_kg,1,C10)</f>
        <v>10.4580316</v>
      </c>
      <c r="V10" s="56" t="n">
        <f aca="false">P10*Q10*T10/1000000000</f>
        <v>0.0435136</v>
      </c>
      <c r="W10" s="57" t="n">
        <f aca="false">V10/R10</f>
        <v>0.000870272</v>
      </c>
      <c r="X10" s="56" t="n">
        <f aca="false">U10/R10</f>
        <v>0.209160632</v>
      </c>
    </row>
    <row r="11" customFormat="false" ht="15" hidden="false" customHeight="false" outlineLevel="0" collapsed="false">
      <c r="A11" s="5" t="s">
        <v>16</v>
      </c>
      <c r="B11" s="9" t="s">
        <v>105</v>
      </c>
      <c r="C11" s="9" t="n">
        <v>3</v>
      </c>
      <c r="D11" s="15" t="n">
        <f aca="false">q_L_3463</f>
        <v>405</v>
      </c>
      <c r="E11" s="15" t="n">
        <f aca="false">q_W_3463</f>
        <v>405</v>
      </c>
      <c r="F11" s="15" t="n">
        <f aca="false">q_H_3463</f>
        <v>50</v>
      </c>
      <c r="G11" s="33" t="n">
        <f aca="false">INDEX(in_eng_k_len,1,C11)</f>
        <v>4.5</v>
      </c>
      <c r="H11" s="10" t="n">
        <f aca="false">INDEX(in_eng_w_allow,1,C11)</f>
        <v>13</v>
      </c>
      <c r="I11" s="10" t="n">
        <f aca="false">2*D11+G11*F11</f>
        <v>1035</v>
      </c>
      <c r="J11" s="10" t="n">
        <f aca="false">E11+2*F11+H11</f>
        <v>518</v>
      </c>
      <c r="K11" s="34" t="n">
        <f aca="false">I11*J11/1000000</f>
        <v>0.53613</v>
      </c>
      <c r="L11" s="33" t="n">
        <f aca="false">INDEX(in_eng_net_area,1,C11)</f>
        <v>0.92</v>
      </c>
      <c r="M11" s="10" t="n">
        <f aca="false">INDEX(in_eng_grammage,1,C11)</f>
        <v>480</v>
      </c>
      <c r="N11" s="34" t="n">
        <f aca="false">K11*L11*M11/1000</f>
        <v>0.236755008</v>
      </c>
      <c r="O11" s="10" t="n">
        <f aca="false">INDEX(in_eng_wrap_mm,1,C11)</f>
        <v>5</v>
      </c>
      <c r="P11" s="10" t="n">
        <f aca="false">I11+O11</f>
        <v>1040</v>
      </c>
      <c r="Q11" s="10" t="n">
        <f aca="false">J11+O11</f>
        <v>523</v>
      </c>
      <c r="R11" s="10" t="n">
        <f aca="false">INDEX(in_eng_per_bundle,1,C11)</f>
        <v>50</v>
      </c>
      <c r="S11" s="33" t="n">
        <f aca="false">INDEX(in_eng_pitch,1,C11)</f>
        <v>1.8</v>
      </c>
      <c r="T11" s="54" t="n">
        <f aca="false">R11*S11</f>
        <v>90</v>
      </c>
      <c r="U11" s="55" t="n">
        <f aca="false">R11*N11+INDEX(in_eng_wrap_kg,1,C11)</f>
        <v>11.9377504</v>
      </c>
      <c r="V11" s="56" t="n">
        <f aca="false">P11*Q11*T11/1000000000</f>
        <v>0.0489528</v>
      </c>
      <c r="W11" s="57" t="n">
        <f aca="false">V11/R11</f>
        <v>0.000979056</v>
      </c>
      <c r="X11" s="56" t="n">
        <f aca="false">U11/R11</f>
        <v>0.238755008</v>
      </c>
    </row>
    <row r="12" customFormat="false" ht="15" hidden="false" customHeight="false" outlineLevel="0" collapsed="false">
      <c r="A12" s="5" t="s">
        <v>17</v>
      </c>
      <c r="B12" s="9" t="s">
        <v>103</v>
      </c>
      <c r="C12" s="9" t="n">
        <v>1</v>
      </c>
      <c r="D12" s="15" t="n">
        <f aca="false">q_L_3460</f>
        <v>305</v>
      </c>
      <c r="E12" s="15" t="n">
        <f aca="false">q_W_3460</f>
        <v>305</v>
      </c>
      <c r="F12" s="15" t="n">
        <f aca="false">q_H_3460</f>
        <v>50</v>
      </c>
      <c r="G12" s="33" t="n">
        <f aca="false">INDEX(in_eng_k_len,1,C12)</f>
        <v>4.5</v>
      </c>
      <c r="H12" s="10" t="n">
        <f aca="false">INDEX(in_eng_w_allow,1,C12)</f>
        <v>13</v>
      </c>
      <c r="I12" s="10" t="n">
        <f aca="false">2*D12+G12*F12</f>
        <v>835</v>
      </c>
      <c r="J12" s="10" t="n">
        <f aca="false">E12+2*F12+H12</f>
        <v>418</v>
      </c>
      <c r="K12" s="34" t="n">
        <f aca="false">I12*J12/1000000</f>
        <v>0.34903</v>
      </c>
      <c r="L12" s="33" t="n">
        <f aca="false">INDEX(in_eng_net_area,1,C12)</f>
        <v>0.92</v>
      </c>
      <c r="M12" s="10" t="n">
        <f aca="false">INDEX(in_eng_grammage,1,C12)</f>
        <v>400</v>
      </c>
      <c r="N12" s="34" t="n">
        <f aca="false">K12*L12*M12/1000</f>
        <v>0.12844304</v>
      </c>
      <c r="O12" s="10" t="n">
        <f aca="false">INDEX(in_eng_wrap_mm,1,C12)</f>
        <v>5</v>
      </c>
      <c r="P12" s="10" t="n">
        <f aca="false">I12+O12</f>
        <v>840</v>
      </c>
      <c r="Q12" s="10" t="n">
        <f aca="false">J12+O12</f>
        <v>423</v>
      </c>
      <c r="R12" s="10" t="n">
        <f aca="false">INDEX(in_eng_per_bundle,1,C12)</f>
        <v>50</v>
      </c>
      <c r="S12" s="33" t="n">
        <f aca="false">INDEX(in_eng_pitch,1,C12)</f>
        <v>1.5</v>
      </c>
      <c r="T12" s="54" t="n">
        <f aca="false">R12*S12</f>
        <v>75</v>
      </c>
      <c r="U12" s="55" t="n">
        <f aca="false">R12*N12+INDEX(in_eng_wrap_kg,1,C12)</f>
        <v>6.522152</v>
      </c>
      <c r="V12" s="56" t="n">
        <f aca="false">P12*Q12*T12/1000000000</f>
        <v>0.026649</v>
      </c>
      <c r="W12" s="57" t="n">
        <f aca="false">V12/R12</f>
        <v>0.00053298</v>
      </c>
      <c r="X12" s="56" t="n">
        <f aca="false">U12/R12</f>
        <v>0.13044304</v>
      </c>
    </row>
    <row r="13" customFormat="false" ht="15" hidden="false" customHeight="false" outlineLevel="0" collapsed="false">
      <c r="A13" s="5" t="s">
        <v>17</v>
      </c>
      <c r="B13" s="9" t="s">
        <v>104</v>
      </c>
      <c r="C13" s="9" t="n">
        <v>2</v>
      </c>
      <c r="D13" s="15" t="n">
        <f aca="false">q_L_3460</f>
        <v>305</v>
      </c>
      <c r="E13" s="15" t="n">
        <f aca="false">q_W_3460</f>
        <v>305</v>
      </c>
      <c r="F13" s="15" t="n">
        <f aca="false">q_H_3460</f>
        <v>50</v>
      </c>
      <c r="G13" s="33" t="n">
        <f aca="false">INDEX(in_eng_k_len,1,C13)</f>
        <v>4.5</v>
      </c>
      <c r="H13" s="10" t="n">
        <f aca="false">INDEX(in_eng_w_allow,1,C13)</f>
        <v>13</v>
      </c>
      <c r="I13" s="10" t="n">
        <f aca="false">2*D13+G13*F13</f>
        <v>835</v>
      </c>
      <c r="J13" s="10" t="n">
        <f aca="false">E13+2*F13+H13</f>
        <v>418</v>
      </c>
      <c r="K13" s="34" t="n">
        <f aca="false">I13*J13/1000000</f>
        <v>0.34903</v>
      </c>
      <c r="L13" s="33" t="n">
        <f aca="false">INDEX(in_eng_net_area,1,C13)</f>
        <v>0.92</v>
      </c>
      <c r="M13" s="10" t="n">
        <f aca="false">INDEX(in_eng_grammage,1,C13)</f>
        <v>420</v>
      </c>
      <c r="N13" s="34" t="n">
        <f aca="false">K13*L13*M13/1000</f>
        <v>0.134865192</v>
      </c>
      <c r="O13" s="10" t="n">
        <f aca="false">INDEX(in_eng_wrap_mm,1,C13)</f>
        <v>5</v>
      </c>
      <c r="P13" s="10" t="n">
        <f aca="false">I13+O13</f>
        <v>840</v>
      </c>
      <c r="Q13" s="10" t="n">
        <f aca="false">J13+O13</f>
        <v>423</v>
      </c>
      <c r="R13" s="10" t="n">
        <f aca="false">INDEX(in_eng_per_bundle,1,C13)</f>
        <v>50</v>
      </c>
      <c r="S13" s="33" t="n">
        <f aca="false">INDEX(in_eng_pitch,1,C13)</f>
        <v>1.6</v>
      </c>
      <c r="T13" s="54" t="n">
        <f aca="false">R13*S13</f>
        <v>80</v>
      </c>
      <c r="U13" s="55" t="n">
        <f aca="false">R13*N13+INDEX(in_eng_wrap_kg,1,C13)</f>
        <v>6.8432596</v>
      </c>
      <c r="V13" s="56" t="n">
        <f aca="false">P13*Q13*T13/1000000000</f>
        <v>0.0284256</v>
      </c>
      <c r="W13" s="57" t="n">
        <f aca="false">V13/R13</f>
        <v>0.000568512</v>
      </c>
      <c r="X13" s="56" t="n">
        <f aca="false">U13/R13</f>
        <v>0.136865192</v>
      </c>
    </row>
    <row r="14" customFormat="false" ht="15" hidden="false" customHeight="false" outlineLevel="0" collapsed="false">
      <c r="A14" s="5" t="s">
        <v>17</v>
      </c>
      <c r="B14" s="9" t="s">
        <v>105</v>
      </c>
      <c r="C14" s="9" t="n">
        <v>3</v>
      </c>
      <c r="D14" s="15" t="n">
        <f aca="false">q_L_3460</f>
        <v>305</v>
      </c>
      <c r="E14" s="15" t="n">
        <f aca="false">q_W_3460</f>
        <v>305</v>
      </c>
      <c r="F14" s="15" t="n">
        <f aca="false">q_H_3460</f>
        <v>50</v>
      </c>
      <c r="G14" s="33" t="n">
        <f aca="false">INDEX(in_eng_k_len,1,C14)</f>
        <v>4.5</v>
      </c>
      <c r="H14" s="10" t="n">
        <f aca="false">INDEX(in_eng_w_allow,1,C14)</f>
        <v>13</v>
      </c>
      <c r="I14" s="10" t="n">
        <f aca="false">2*D14+G14*F14</f>
        <v>835</v>
      </c>
      <c r="J14" s="10" t="n">
        <f aca="false">E14+2*F14+H14</f>
        <v>418</v>
      </c>
      <c r="K14" s="34" t="n">
        <f aca="false">I14*J14/1000000</f>
        <v>0.34903</v>
      </c>
      <c r="L14" s="33" t="n">
        <f aca="false">INDEX(in_eng_net_area,1,C14)</f>
        <v>0.92</v>
      </c>
      <c r="M14" s="10" t="n">
        <f aca="false">INDEX(in_eng_grammage,1,C14)</f>
        <v>480</v>
      </c>
      <c r="N14" s="34" t="n">
        <f aca="false">K14*L14*M14/1000</f>
        <v>0.154131648</v>
      </c>
      <c r="O14" s="10" t="n">
        <f aca="false">INDEX(in_eng_wrap_mm,1,C14)</f>
        <v>5</v>
      </c>
      <c r="P14" s="10" t="n">
        <f aca="false">I14+O14</f>
        <v>840</v>
      </c>
      <c r="Q14" s="10" t="n">
        <f aca="false">J14+O14</f>
        <v>423</v>
      </c>
      <c r="R14" s="10" t="n">
        <f aca="false">INDEX(in_eng_per_bundle,1,C14)</f>
        <v>50</v>
      </c>
      <c r="S14" s="33" t="n">
        <f aca="false">INDEX(in_eng_pitch,1,C14)</f>
        <v>1.8</v>
      </c>
      <c r="T14" s="54" t="n">
        <f aca="false">R14*S14</f>
        <v>90</v>
      </c>
      <c r="U14" s="55" t="n">
        <f aca="false">R14*N14+INDEX(in_eng_wrap_kg,1,C14)</f>
        <v>7.8065824</v>
      </c>
      <c r="V14" s="56" t="n">
        <f aca="false">P14*Q14*T14/1000000000</f>
        <v>0.0319788</v>
      </c>
      <c r="W14" s="57" t="n">
        <f aca="false">V14/R14</f>
        <v>0.000639576</v>
      </c>
      <c r="X14" s="56" t="n">
        <f aca="false">U14/R14</f>
        <v>0.156131648</v>
      </c>
    </row>
    <row r="16" customFormat="false" ht="15" hidden="false" customHeight="false" outlineLevel="0" collapsed="false">
      <c r="A16" s="3" t="s">
        <v>684</v>
      </c>
      <c r="B16" s="4"/>
      <c r="C16" s="4"/>
      <c r="D16" s="4"/>
      <c r="E16" s="4"/>
      <c r="F16" s="4"/>
      <c r="G16" s="4"/>
      <c r="H16" s="4"/>
      <c r="I16" s="4"/>
      <c r="J16" s="4"/>
      <c r="K16" s="4"/>
      <c r="L16" s="4"/>
      <c r="M16" s="4"/>
      <c r="N16" s="4"/>
      <c r="O16" s="4"/>
      <c r="P16" s="4"/>
      <c r="Q16" s="4"/>
      <c r="R16" s="4"/>
      <c r="S16" s="4"/>
      <c r="T16" s="4"/>
      <c r="U16" s="4"/>
      <c r="V16" s="4"/>
      <c r="W16" s="4"/>
      <c r="X16" s="4"/>
    </row>
    <row r="17" customFormat="false" ht="15" hidden="false" customHeight="false" outlineLevel="0" collapsed="false">
      <c r="A17" s="13" t="s">
        <v>685</v>
      </c>
      <c r="B17" s="13" t="s">
        <v>665</v>
      </c>
      <c r="C17" s="13" t="s">
        <v>666</v>
      </c>
      <c r="D17" s="13" t="s">
        <v>623</v>
      </c>
      <c r="E17" s="13" t="s">
        <v>624</v>
      </c>
      <c r="F17" s="13" t="s">
        <v>625</v>
      </c>
      <c r="G17" s="13" t="s">
        <v>627</v>
      </c>
      <c r="H17" s="13" t="s">
        <v>686</v>
      </c>
      <c r="I17" s="13" t="s">
        <v>687</v>
      </c>
      <c r="J17" s="13" t="s">
        <v>688</v>
      </c>
      <c r="K17" s="13" t="s">
        <v>689</v>
      </c>
      <c r="L17" s="13" t="s">
        <v>690</v>
      </c>
      <c r="M17" s="13" t="s">
        <v>691</v>
      </c>
      <c r="N17" s="13" t="s">
        <v>692</v>
      </c>
      <c r="O17" s="13" t="s">
        <v>630</v>
      </c>
      <c r="P17" s="13" t="s">
        <v>693</v>
      </c>
    </row>
    <row r="18" customFormat="false" ht="15" hidden="false" customHeight="false" outlineLevel="0" collapsed="false">
      <c r="A18" s="5" t="s">
        <v>636</v>
      </c>
      <c r="B18" s="9" t="s">
        <v>103</v>
      </c>
      <c r="C18" s="9" t="n">
        <v>1</v>
      </c>
      <c r="D18" s="15" t="n">
        <f aca="false">INDEX(ct_L,1)</f>
        <v>5900</v>
      </c>
      <c r="E18" s="15" t="n">
        <f aca="false">INDEX(ct_W,1)</f>
        <v>2350</v>
      </c>
      <c r="F18" s="15" t="n">
        <f aca="false">INDEX(ct_H,1)</f>
        <v>2390</v>
      </c>
      <c r="G18" s="15" t="n">
        <f aca="false">INDEX(ct_doorH,1)</f>
        <v>2280</v>
      </c>
      <c r="H18" s="15" t="n">
        <f aca="false">INDEX(in_use_len_ded,1,C18)</f>
        <v>100</v>
      </c>
      <c r="I18" s="15" t="n">
        <f aca="false">INDEX(in_use_wid_ded,1,C18)</f>
        <v>20</v>
      </c>
      <c r="J18" s="15" t="n">
        <f aca="false">INDEX(in_use_hgt_ded,1,C18)</f>
        <v>90</v>
      </c>
      <c r="K18" s="15" t="n">
        <f aca="false">D18-H18</f>
        <v>5800</v>
      </c>
      <c r="L18" s="15" t="n">
        <f aca="false">E18-I18</f>
        <v>2330</v>
      </c>
      <c r="M18" s="15" t="n">
        <f aca="false">MIN(F18-J18,G18)</f>
        <v>2280</v>
      </c>
      <c r="N18" s="15" t="n">
        <f aca="false">INDEX(ct_road,1)</f>
        <v>17237</v>
      </c>
      <c r="O18" s="54" t="n">
        <f aca="false">INDEX(ct_cube,1)</f>
        <v>33.2</v>
      </c>
      <c r="P18" s="26" t="n">
        <f aca="false">INDEX(in_use_efficiency,1,C18)</f>
        <v>0.97</v>
      </c>
    </row>
    <row r="19" customFormat="false" ht="15" hidden="false" customHeight="false" outlineLevel="0" collapsed="false">
      <c r="A19" s="5" t="s">
        <v>636</v>
      </c>
      <c r="B19" s="9" t="s">
        <v>104</v>
      </c>
      <c r="C19" s="9" t="n">
        <v>2</v>
      </c>
      <c r="D19" s="15" t="n">
        <f aca="false">INDEX(ct_L,1)</f>
        <v>5900</v>
      </c>
      <c r="E19" s="15" t="n">
        <f aca="false">INDEX(ct_W,1)</f>
        <v>2350</v>
      </c>
      <c r="F19" s="15" t="n">
        <f aca="false">INDEX(ct_H,1)</f>
        <v>2390</v>
      </c>
      <c r="G19" s="15" t="n">
        <f aca="false">INDEX(ct_doorH,1)</f>
        <v>2280</v>
      </c>
      <c r="H19" s="15" t="n">
        <f aca="false">INDEX(in_use_len_ded,1,C19)</f>
        <v>100</v>
      </c>
      <c r="I19" s="15" t="n">
        <f aca="false">INDEX(in_use_wid_ded,1,C19)</f>
        <v>20</v>
      </c>
      <c r="J19" s="15" t="n">
        <f aca="false">INDEX(in_use_hgt_ded,1,C19)</f>
        <v>90</v>
      </c>
      <c r="K19" s="15" t="n">
        <f aca="false">D19-H19</f>
        <v>5800</v>
      </c>
      <c r="L19" s="15" t="n">
        <f aca="false">E19-I19</f>
        <v>2330</v>
      </c>
      <c r="M19" s="15" t="n">
        <f aca="false">MIN(F19-J19,G19)</f>
        <v>2280</v>
      </c>
      <c r="N19" s="15" t="n">
        <f aca="false">INDEX(ct_road,1)</f>
        <v>17237</v>
      </c>
      <c r="O19" s="54" t="n">
        <f aca="false">INDEX(ct_cube,1)</f>
        <v>33.2</v>
      </c>
      <c r="P19" s="26" t="n">
        <f aca="false">INDEX(in_use_efficiency,1,C19)</f>
        <v>0.95</v>
      </c>
    </row>
    <row r="20" customFormat="false" ht="15" hidden="false" customHeight="false" outlineLevel="0" collapsed="false">
      <c r="A20" s="5" t="s">
        <v>636</v>
      </c>
      <c r="B20" s="9" t="s">
        <v>105</v>
      </c>
      <c r="C20" s="9" t="n">
        <v>3</v>
      </c>
      <c r="D20" s="15" t="n">
        <f aca="false">INDEX(ct_L,1)</f>
        <v>5900</v>
      </c>
      <c r="E20" s="15" t="n">
        <f aca="false">INDEX(ct_W,1)</f>
        <v>2350</v>
      </c>
      <c r="F20" s="15" t="n">
        <f aca="false">INDEX(ct_H,1)</f>
        <v>2390</v>
      </c>
      <c r="G20" s="15" t="n">
        <f aca="false">INDEX(ct_doorH,1)</f>
        <v>2280</v>
      </c>
      <c r="H20" s="15" t="n">
        <f aca="false">INDEX(in_use_len_ded,1,C20)</f>
        <v>100</v>
      </c>
      <c r="I20" s="15" t="n">
        <f aca="false">INDEX(in_use_wid_ded,1,C20)</f>
        <v>20</v>
      </c>
      <c r="J20" s="15" t="n">
        <f aca="false">INDEX(in_use_hgt_ded,1,C20)</f>
        <v>90</v>
      </c>
      <c r="K20" s="15" t="n">
        <f aca="false">D20-H20</f>
        <v>5800</v>
      </c>
      <c r="L20" s="15" t="n">
        <f aca="false">E20-I20</f>
        <v>2330</v>
      </c>
      <c r="M20" s="15" t="n">
        <f aca="false">MIN(F20-J20,G20)</f>
        <v>2280</v>
      </c>
      <c r="N20" s="15" t="n">
        <f aca="false">INDEX(ct_road,1)</f>
        <v>17237</v>
      </c>
      <c r="O20" s="54" t="n">
        <f aca="false">INDEX(ct_cube,1)</f>
        <v>33.2</v>
      </c>
      <c r="P20" s="26" t="n">
        <f aca="false">INDEX(in_use_efficiency,1,C20)</f>
        <v>0.9</v>
      </c>
    </row>
    <row r="21" customFormat="false" ht="15" hidden="false" customHeight="false" outlineLevel="0" collapsed="false">
      <c r="A21" s="5" t="s">
        <v>640</v>
      </c>
      <c r="B21" s="9" t="s">
        <v>103</v>
      </c>
      <c r="C21" s="9" t="n">
        <v>1</v>
      </c>
      <c r="D21" s="15" t="n">
        <f aca="false">INDEX(ct_L,2)</f>
        <v>12030</v>
      </c>
      <c r="E21" s="15" t="n">
        <f aca="false">INDEX(ct_W,2)</f>
        <v>2350</v>
      </c>
      <c r="F21" s="15" t="n">
        <f aca="false">INDEX(ct_H,2)</f>
        <v>2390</v>
      </c>
      <c r="G21" s="15" t="n">
        <f aca="false">INDEX(ct_doorH,2)</f>
        <v>2280</v>
      </c>
      <c r="H21" s="15" t="n">
        <f aca="false">INDEX(in_use_len_ded,1,C21)</f>
        <v>100</v>
      </c>
      <c r="I21" s="15" t="n">
        <f aca="false">INDEX(in_use_wid_ded,1,C21)</f>
        <v>20</v>
      </c>
      <c r="J21" s="15" t="n">
        <f aca="false">INDEX(in_use_hgt_ded,1,C21)</f>
        <v>90</v>
      </c>
      <c r="K21" s="15" t="n">
        <f aca="false">D21-H21</f>
        <v>11930</v>
      </c>
      <c r="L21" s="15" t="n">
        <f aca="false">E21-I21</f>
        <v>2330</v>
      </c>
      <c r="M21" s="15" t="n">
        <f aca="false">MIN(F21-J21,G21)</f>
        <v>2280</v>
      </c>
      <c r="N21" s="15" t="n">
        <f aca="false">INDEX(ct_road,2)</f>
        <v>19958</v>
      </c>
      <c r="O21" s="54" t="n">
        <f aca="false">INDEX(ct_cube,2)</f>
        <v>67.7</v>
      </c>
      <c r="P21" s="26" t="n">
        <f aca="false">INDEX(in_use_efficiency,1,C21)</f>
        <v>0.97</v>
      </c>
    </row>
    <row r="22" customFormat="false" ht="15" hidden="false" customHeight="false" outlineLevel="0" collapsed="false">
      <c r="A22" s="5" t="s">
        <v>640</v>
      </c>
      <c r="B22" s="9" t="s">
        <v>104</v>
      </c>
      <c r="C22" s="9" t="n">
        <v>2</v>
      </c>
      <c r="D22" s="15" t="n">
        <f aca="false">INDEX(ct_L,2)</f>
        <v>12030</v>
      </c>
      <c r="E22" s="15" t="n">
        <f aca="false">INDEX(ct_W,2)</f>
        <v>2350</v>
      </c>
      <c r="F22" s="15" t="n">
        <f aca="false">INDEX(ct_H,2)</f>
        <v>2390</v>
      </c>
      <c r="G22" s="15" t="n">
        <f aca="false">INDEX(ct_doorH,2)</f>
        <v>2280</v>
      </c>
      <c r="H22" s="15" t="n">
        <f aca="false">INDEX(in_use_len_ded,1,C22)</f>
        <v>100</v>
      </c>
      <c r="I22" s="15" t="n">
        <f aca="false">INDEX(in_use_wid_ded,1,C22)</f>
        <v>20</v>
      </c>
      <c r="J22" s="15" t="n">
        <f aca="false">INDEX(in_use_hgt_ded,1,C22)</f>
        <v>90</v>
      </c>
      <c r="K22" s="15" t="n">
        <f aca="false">D22-H22</f>
        <v>11930</v>
      </c>
      <c r="L22" s="15" t="n">
        <f aca="false">E22-I22</f>
        <v>2330</v>
      </c>
      <c r="M22" s="15" t="n">
        <f aca="false">MIN(F22-J22,G22)</f>
        <v>2280</v>
      </c>
      <c r="N22" s="15" t="n">
        <f aca="false">INDEX(ct_road,2)</f>
        <v>19958</v>
      </c>
      <c r="O22" s="54" t="n">
        <f aca="false">INDEX(ct_cube,2)</f>
        <v>67.7</v>
      </c>
      <c r="P22" s="26" t="n">
        <f aca="false">INDEX(in_use_efficiency,1,C22)</f>
        <v>0.95</v>
      </c>
    </row>
    <row r="23" customFormat="false" ht="15" hidden="false" customHeight="false" outlineLevel="0" collapsed="false">
      <c r="A23" s="5" t="s">
        <v>640</v>
      </c>
      <c r="B23" s="9" t="s">
        <v>105</v>
      </c>
      <c r="C23" s="9" t="n">
        <v>3</v>
      </c>
      <c r="D23" s="15" t="n">
        <f aca="false">INDEX(ct_L,2)</f>
        <v>12030</v>
      </c>
      <c r="E23" s="15" t="n">
        <f aca="false">INDEX(ct_W,2)</f>
        <v>2350</v>
      </c>
      <c r="F23" s="15" t="n">
        <f aca="false">INDEX(ct_H,2)</f>
        <v>2390</v>
      </c>
      <c r="G23" s="15" t="n">
        <f aca="false">INDEX(ct_doorH,2)</f>
        <v>2280</v>
      </c>
      <c r="H23" s="15" t="n">
        <f aca="false">INDEX(in_use_len_ded,1,C23)</f>
        <v>100</v>
      </c>
      <c r="I23" s="15" t="n">
        <f aca="false">INDEX(in_use_wid_ded,1,C23)</f>
        <v>20</v>
      </c>
      <c r="J23" s="15" t="n">
        <f aca="false">INDEX(in_use_hgt_ded,1,C23)</f>
        <v>90</v>
      </c>
      <c r="K23" s="15" t="n">
        <f aca="false">D23-H23</f>
        <v>11930</v>
      </c>
      <c r="L23" s="15" t="n">
        <f aca="false">E23-I23</f>
        <v>2330</v>
      </c>
      <c r="M23" s="15" t="n">
        <f aca="false">MIN(F23-J23,G23)</f>
        <v>2280</v>
      </c>
      <c r="N23" s="15" t="n">
        <f aca="false">INDEX(ct_road,2)</f>
        <v>19958</v>
      </c>
      <c r="O23" s="54" t="n">
        <f aca="false">INDEX(ct_cube,2)</f>
        <v>67.7</v>
      </c>
      <c r="P23" s="26" t="n">
        <f aca="false">INDEX(in_use_efficiency,1,C23)</f>
        <v>0.9</v>
      </c>
    </row>
    <row r="24" customFormat="false" ht="15" hidden="false" customHeight="false" outlineLevel="0" collapsed="false">
      <c r="A24" s="5" t="s">
        <v>643</v>
      </c>
      <c r="B24" s="9" t="s">
        <v>103</v>
      </c>
      <c r="C24" s="9" t="n">
        <v>1</v>
      </c>
      <c r="D24" s="15" t="n">
        <f aca="false">INDEX(ct_L,3)</f>
        <v>12030</v>
      </c>
      <c r="E24" s="15" t="n">
        <f aca="false">INDEX(ct_W,3)</f>
        <v>2350</v>
      </c>
      <c r="F24" s="15" t="n">
        <f aca="false">INDEX(ct_H,3)</f>
        <v>2700</v>
      </c>
      <c r="G24" s="15" t="n">
        <f aca="false">INDEX(ct_doorH,3)</f>
        <v>2580</v>
      </c>
      <c r="H24" s="15" t="n">
        <f aca="false">INDEX(in_use_len_ded,1,C24)</f>
        <v>100</v>
      </c>
      <c r="I24" s="15" t="n">
        <f aca="false">INDEX(in_use_wid_ded,1,C24)</f>
        <v>20</v>
      </c>
      <c r="J24" s="15" t="n">
        <f aca="false">INDEX(in_use_hgt_ded,1,C24)</f>
        <v>90</v>
      </c>
      <c r="K24" s="15" t="n">
        <f aca="false">D24-H24</f>
        <v>11930</v>
      </c>
      <c r="L24" s="15" t="n">
        <f aca="false">E24-I24</f>
        <v>2330</v>
      </c>
      <c r="M24" s="15" t="n">
        <f aca="false">MIN(F24-J24,G24)</f>
        <v>2580</v>
      </c>
      <c r="N24" s="15" t="n">
        <f aca="false">INDEX(ct_road,3)</f>
        <v>19958</v>
      </c>
      <c r="O24" s="54" t="n">
        <f aca="false">INDEX(ct_cube,3)</f>
        <v>76.4</v>
      </c>
      <c r="P24" s="26" t="n">
        <f aca="false">INDEX(in_use_efficiency,1,C24)</f>
        <v>0.97</v>
      </c>
    </row>
    <row r="25" customFormat="false" ht="15" hidden="false" customHeight="false" outlineLevel="0" collapsed="false">
      <c r="A25" s="5" t="s">
        <v>643</v>
      </c>
      <c r="B25" s="9" t="s">
        <v>104</v>
      </c>
      <c r="C25" s="9" t="n">
        <v>2</v>
      </c>
      <c r="D25" s="15" t="n">
        <f aca="false">INDEX(ct_L,3)</f>
        <v>12030</v>
      </c>
      <c r="E25" s="15" t="n">
        <f aca="false">INDEX(ct_W,3)</f>
        <v>2350</v>
      </c>
      <c r="F25" s="15" t="n">
        <f aca="false">INDEX(ct_H,3)</f>
        <v>2700</v>
      </c>
      <c r="G25" s="15" t="n">
        <f aca="false">INDEX(ct_doorH,3)</f>
        <v>2580</v>
      </c>
      <c r="H25" s="15" t="n">
        <f aca="false">INDEX(in_use_len_ded,1,C25)</f>
        <v>100</v>
      </c>
      <c r="I25" s="15" t="n">
        <f aca="false">INDEX(in_use_wid_ded,1,C25)</f>
        <v>20</v>
      </c>
      <c r="J25" s="15" t="n">
        <f aca="false">INDEX(in_use_hgt_ded,1,C25)</f>
        <v>90</v>
      </c>
      <c r="K25" s="15" t="n">
        <f aca="false">D25-H25</f>
        <v>11930</v>
      </c>
      <c r="L25" s="15" t="n">
        <f aca="false">E25-I25</f>
        <v>2330</v>
      </c>
      <c r="M25" s="15" t="n">
        <f aca="false">MIN(F25-J25,G25)</f>
        <v>2580</v>
      </c>
      <c r="N25" s="15" t="n">
        <f aca="false">INDEX(ct_road,3)</f>
        <v>19958</v>
      </c>
      <c r="O25" s="54" t="n">
        <f aca="false">INDEX(ct_cube,3)</f>
        <v>76.4</v>
      </c>
      <c r="P25" s="26" t="n">
        <f aca="false">INDEX(in_use_efficiency,1,C25)</f>
        <v>0.95</v>
      </c>
    </row>
    <row r="26" customFormat="false" ht="15" hidden="false" customHeight="false" outlineLevel="0" collapsed="false">
      <c r="A26" s="5" t="s">
        <v>643</v>
      </c>
      <c r="B26" s="9" t="s">
        <v>105</v>
      </c>
      <c r="C26" s="9" t="n">
        <v>3</v>
      </c>
      <c r="D26" s="15" t="n">
        <f aca="false">INDEX(ct_L,3)</f>
        <v>12030</v>
      </c>
      <c r="E26" s="15" t="n">
        <f aca="false">INDEX(ct_W,3)</f>
        <v>2350</v>
      </c>
      <c r="F26" s="15" t="n">
        <f aca="false">INDEX(ct_H,3)</f>
        <v>2700</v>
      </c>
      <c r="G26" s="15" t="n">
        <f aca="false">INDEX(ct_doorH,3)</f>
        <v>2580</v>
      </c>
      <c r="H26" s="15" t="n">
        <f aca="false">INDEX(in_use_len_ded,1,C26)</f>
        <v>100</v>
      </c>
      <c r="I26" s="15" t="n">
        <f aca="false">INDEX(in_use_wid_ded,1,C26)</f>
        <v>20</v>
      </c>
      <c r="J26" s="15" t="n">
        <f aca="false">INDEX(in_use_hgt_ded,1,C26)</f>
        <v>90</v>
      </c>
      <c r="K26" s="15" t="n">
        <f aca="false">D26-H26</f>
        <v>11930</v>
      </c>
      <c r="L26" s="15" t="n">
        <f aca="false">E26-I26</f>
        <v>2330</v>
      </c>
      <c r="M26" s="15" t="n">
        <f aca="false">MIN(F26-J26,G26)</f>
        <v>2580</v>
      </c>
      <c r="N26" s="15" t="n">
        <f aca="false">INDEX(ct_road,3)</f>
        <v>19958</v>
      </c>
      <c r="O26" s="54" t="n">
        <f aca="false">INDEX(ct_cube,3)</f>
        <v>76.4</v>
      </c>
      <c r="P26" s="26" t="n">
        <f aca="false">INDEX(in_use_efficiency,1,C26)</f>
        <v>0.9</v>
      </c>
    </row>
    <row r="28" customFormat="false" ht="15" hidden="false" customHeight="false" outlineLevel="0" collapsed="false">
      <c r="A28" s="3" t="s">
        <v>694</v>
      </c>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row>
    <row r="29" customFormat="false" ht="23.85" hidden="false" customHeight="false" outlineLevel="0" collapsed="false">
      <c r="A29" s="13" t="s">
        <v>180</v>
      </c>
      <c r="B29" s="13" t="s">
        <v>685</v>
      </c>
      <c r="C29" s="13" t="s">
        <v>665</v>
      </c>
      <c r="D29" s="13" t="s">
        <v>666</v>
      </c>
      <c r="E29" s="13" t="s">
        <v>695</v>
      </c>
      <c r="F29" s="13" t="s">
        <v>696</v>
      </c>
      <c r="G29" s="13" t="s">
        <v>697</v>
      </c>
      <c r="H29" s="13" t="s">
        <v>680</v>
      </c>
      <c r="I29" s="13" t="s">
        <v>681</v>
      </c>
      <c r="J29" s="13" t="s">
        <v>698</v>
      </c>
      <c r="K29" s="13" t="s">
        <v>689</v>
      </c>
      <c r="L29" s="13" t="s">
        <v>690</v>
      </c>
      <c r="M29" s="13" t="s">
        <v>691</v>
      </c>
      <c r="N29" s="13" t="s">
        <v>699</v>
      </c>
      <c r="O29" s="13" t="s">
        <v>700</v>
      </c>
      <c r="P29" s="13" t="s">
        <v>701</v>
      </c>
      <c r="Q29" s="13" t="s">
        <v>702</v>
      </c>
      <c r="R29" s="13" t="s">
        <v>703</v>
      </c>
      <c r="S29" s="13" t="s">
        <v>704</v>
      </c>
      <c r="T29" s="13" t="s">
        <v>705</v>
      </c>
      <c r="U29" s="13" t="s">
        <v>706</v>
      </c>
      <c r="V29" s="13" t="s">
        <v>693</v>
      </c>
      <c r="W29" s="13" t="s">
        <v>707</v>
      </c>
      <c r="X29" s="13" t="s">
        <v>708</v>
      </c>
      <c r="Y29" s="13" t="s">
        <v>692</v>
      </c>
      <c r="Z29" s="13" t="s">
        <v>709</v>
      </c>
      <c r="AA29" s="13" t="s">
        <v>710</v>
      </c>
      <c r="AB29" s="13" t="s">
        <v>711</v>
      </c>
      <c r="AC29" s="13" t="s">
        <v>712</v>
      </c>
      <c r="AD29" s="13" t="s">
        <v>713</v>
      </c>
      <c r="AE29" s="13" t="s">
        <v>714</v>
      </c>
      <c r="AF29" s="13" t="s">
        <v>715</v>
      </c>
      <c r="AG29" s="13" t="s">
        <v>716</v>
      </c>
      <c r="AH29" s="13" t="s">
        <v>717</v>
      </c>
    </row>
    <row r="30" customFormat="false" ht="15" hidden="false" customHeight="false" outlineLevel="0" collapsed="false">
      <c r="A30" s="5" t="s">
        <v>15</v>
      </c>
      <c r="B30" s="9" t="s">
        <v>636</v>
      </c>
      <c r="C30" s="9" t="s">
        <v>103</v>
      </c>
      <c r="D30" s="9" t="n">
        <v>1</v>
      </c>
      <c r="E30" s="10" t="n">
        <f aca="false">INDEX(lg_a_3464,D30)</f>
        <v>940</v>
      </c>
      <c r="F30" s="10" t="n">
        <f aca="false">INDEX(lg_b_3464,D30)</f>
        <v>473</v>
      </c>
      <c r="G30" s="54" t="n">
        <f aca="false">INDEX(lg_h_3464,D30)</f>
        <v>75</v>
      </c>
      <c r="H30" s="55" t="n">
        <f aca="false">INDEX(lg_bkg_3464,D30)</f>
        <v>8.151472</v>
      </c>
      <c r="I30" s="56" t="n">
        <f aca="false">INDEX(lg_bvol_3464,D30)</f>
        <v>0.0333465</v>
      </c>
      <c r="J30" s="10" t="n">
        <f aca="false">INDEX(lg_n_3464,D30)</f>
        <v>50</v>
      </c>
      <c r="K30" s="15" t="n">
        <f aca="false">INDEX(lg_Lu_20GP,D30)</f>
        <v>5800</v>
      </c>
      <c r="L30" s="15" t="n">
        <f aca="false">INDEX(lg_Wu_20GP,D30)</f>
        <v>2330</v>
      </c>
      <c r="M30" s="15" t="n">
        <f aca="false">INDEX(lg_Hu_20GP,D30)</f>
        <v>2280</v>
      </c>
      <c r="N30" s="10" t="n">
        <f aca="false">INT(M30/G30)</f>
        <v>30</v>
      </c>
      <c r="O30" s="10" t="n">
        <f aca="false">INT(L30/F30)*INT(K30/E30)</f>
        <v>24</v>
      </c>
      <c r="P30" s="10" t="n">
        <f aca="false">IF(L30-E30&gt;=0,INT((L30-E30)/F30)*INT(K30/E30)+INT(K30/F30),0)</f>
        <v>24</v>
      </c>
      <c r="Q30" s="10" t="n">
        <f aca="false">IF(L30-2*E30&gt;=0,INT((L30-2*E30)/F30)*INT(K30/E30)+2*INT(K30/F30),0)</f>
        <v>24</v>
      </c>
      <c r="R30" s="58" t="n">
        <f aca="false">MAX(O30:Q30)</f>
        <v>24</v>
      </c>
      <c r="S30" s="10" t="n">
        <f aca="false">MATCH(R30,O30:Q30,0)-1</f>
        <v>0</v>
      </c>
      <c r="T30" s="15" t="n">
        <f aca="false">R30*N30</f>
        <v>720</v>
      </c>
      <c r="U30" s="15" t="n">
        <f aca="false">T30*J30</f>
        <v>36000</v>
      </c>
      <c r="V30" s="26" t="n">
        <f aca="false">INDEX(in_use_efficiency,1,D30)</f>
        <v>0.97</v>
      </c>
      <c r="W30" s="15" t="n">
        <f aca="false">INT(T30*V30)</f>
        <v>698</v>
      </c>
      <c r="X30" s="15" t="n">
        <f aca="false">W30*J30</f>
        <v>34900</v>
      </c>
      <c r="Y30" s="15" t="n">
        <f aca="false">INDEX(lg_road_20GP,D30)</f>
        <v>17237</v>
      </c>
      <c r="Z30" s="15" t="n">
        <f aca="false">INT(Y30/H30)</f>
        <v>2114</v>
      </c>
      <c r="AA30" s="15" t="n">
        <f aca="false">Z30*J30</f>
        <v>105700</v>
      </c>
      <c r="AB30" s="42" t="n">
        <f aca="false">MIN(X30,AA30)</f>
        <v>34900</v>
      </c>
      <c r="AC30" s="8" t="str">
        <f aca="false">IF(X30&lt;=AA30,"Volume / geometry","Weight (US road limit)")</f>
        <v>Volume / geometry</v>
      </c>
      <c r="AD30" s="15" t="n">
        <f aca="false">AB30/J30*H30</f>
        <v>5689.727456</v>
      </c>
      <c r="AE30" s="26" t="n">
        <f aca="false">AB30/J30*I30/INDEX(lg_cube_20GP,D30)</f>
        <v>0.701080030120482</v>
      </c>
      <c r="AF30" s="26" t="n">
        <f aca="false">AD30/Y30</f>
        <v>0.330088034808841</v>
      </c>
      <c r="AG30" s="59" t="n">
        <v>24</v>
      </c>
      <c r="AH30" s="8" t="str">
        <f aca="false">IF(AG30&gt;R30,"WARN – DP finds "&amp;(AG30-R30)&amp;" more positions",IF(AG30=R30,"OK – pattern = DP optimum","OK – DP below pattern (check)"))</f>
        <v>OK – pattern = DP optimum</v>
      </c>
    </row>
    <row r="31" customFormat="false" ht="15" hidden="false" customHeight="false" outlineLevel="0" collapsed="false">
      <c r="A31" s="5" t="s">
        <v>15</v>
      </c>
      <c r="B31" s="9" t="s">
        <v>636</v>
      </c>
      <c r="C31" s="9" t="s">
        <v>104</v>
      </c>
      <c r="D31" s="9" t="n">
        <v>2</v>
      </c>
      <c r="E31" s="10" t="n">
        <f aca="false">INDEX(lg_a_3464,D31)</f>
        <v>940</v>
      </c>
      <c r="F31" s="10" t="n">
        <f aca="false">INDEX(lg_b_3464,D31)</f>
        <v>473</v>
      </c>
      <c r="G31" s="54" t="n">
        <f aca="false">INDEX(lg_h_3464,D31)</f>
        <v>80</v>
      </c>
      <c r="H31" s="55" t="n">
        <f aca="false">INDEX(lg_bkg_3464,D31)</f>
        <v>8.5540456</v>
      </c>
      <c r="I31" s="56" t="n">
        <f aca="false">INDEX(lg_bvol_3464,D31)</f>
        <v>0.0355696</v>
      </c>
      <c r="J31" s="10" t="n">
        <f aca="false">INDEX(lg_n_3464,D31)</f>
        <v>50</v>
      </c>
      <c r="K31" s="15" t="n">
        <f aca="false">INDEX(lg_Lu_20GP,D31)</f>
        <v>5800</v>
      </c>
      <c r="L31" s="15" t="n">
        <f aca="false">INDEX(lg_Wu_20GP,D31)</f>
        <v>2330</v>
      </c>
      <c r="M31" s="15" t="n">
        <f aca="false">INDEX(lg_Hu_20GP,D31)</f>
        <v>2280</v>
      </c>
      <c r="N31" s="10" t="n">
        <f aca="false">INT(M31/G31)</f>
        <v>28</v>
      </c>
      <c r="O31" s="10" t="n">
        <f aca="false">INT(L31/F31)*INT(K31/E31)</f>
        <v>24</v>
      </c>
      <c r="P31" s="10" t="n">
        <f aca="false">IF(L31-E31&gt;=0,INT((L31-E31)/F31)*INT(K31/E31)+INT(K31/F31),0)</f>
        <v>24</v>
      </c>
      <c r="Q31" s="10" t="n">
        <f aca="false">IF(L31-2*E31&gt;=0,INT((L31-2*E31)/F31)*INT(K31/E31)+2*INT(K31/F31),0)</f>
        <v>24</v>
      </c>
      <c r="R31" s="58" t="n">
        <f aca="false">MAX(O31:Q31)</f>
        <v>24</v>
      </c>
      <c r="S31" s="10" t="n">
        <f aca="false">MATCH(R31,O31:Q31,0)-1</f>
        <v>0</v>
      </c>
      <c r="T31" s="15" t="n">
        <f aca="false">R31*N31</f>
        <v>672</v>
      </c>
      <c r="U31" s="15" t="n">
        <f aca="false">T31*J31</f>
        <v>33600</v>
      </c>
      <c r="V31" s="26" t="n">
        <f aca="false">INDEX(in_use_efficiency,1,D31)</f>
        <v>0.95</v>
      </c>
      <c r="W31" s="15" t="n">
        <f aca="false">INT(T31*V31)</f>
        <v>638</v>
      </c>
      <c r="X31" s="15" t="n">
        <f aca="false">W31*J31</f>
        <v>31900</v>
      </c>
      <c r="Y31" s="15" t="n">
        <f aca="false">INDEX(lg_road_20GP,D31)</f>
        <v>17237</v>
      </c>
      <c r="Z31" s="15" t="n">
        <f aca="false">INT(Y31/H31)</f>
        <v>2015</v>
      </c>
      <c r="AA31" s="15" t="n">
        <f aca="false">Z31*J31</f>
        <v>100750</v>
      </c>
      <c r="AB31" s="42" t="n">
        <f aca="false">MIN(X31,AA31)</f>
        <v>31900</v>
      </c>
      <c r="AC31" s="8" t="str">
        <f aca="false">IF(X31&lt;=AA31,"Volume / geometry","Weight (US road limit)")</f>
        <v>Volume / geometry</v>
      </c>
      <c r="AD31" s="15" t="n">
        <f aca="false">AB31/J31*H31</f>
        <v>5457.4810928</v>
      </c>
      <c r="AE31" s="26" t="n">
        <f aca="false">AB31/J31*I31/INDEX(lg_cube_20GP,D31)</f>
        <v>0.683536289156627</v>
      </c>
      <c r="AF31" s="26" t="n">
        <f aca="false">AD31/Y31</f>
        <v>0.316614323420549</v>
      </c>
      <c r="AG31" s="59" t="n">
        <v>24</v>
      </c>
      <c r="AH31" s="8" t="str">
        <f aca="false">IF(AG31&gt;R31,"WARN – DP finds "&amp;(AG31-R31)&amp;" more positions",IF(AG31=R31,"OK – pattern = DP optimum","OK – DP below pattern (check)"))</f>
        <v>OK – pattern = DP optimum</v>
      </c>
    </row>
    <row r="32" customFormat="false" ht="15" hidden="false" customHeight="false" outlineLevel="0" collapsed="false">
      <c r="A32" s="5" t="s">
        <v>15</v>
      </c>
      <c r="B32" s="9" t="s">
        <v>636</v>
      </c>
      <c r="C32" s="9" t="s">
        <v>105</v>
      </c>
      <c r="D32" s="9" t="n">
        <v>3</v>
      </c>
      <c r="E32" s="10" t="n">
        <f aca="false">INDEX(lg_a_3464,D32)</f>
        <v>940</v>
      </c>
      <c r="F32" s="10" t="n">
        <f aca="false">INDEX(lg_b_3464,D32)</f>
        <v>473</v>
      </c>
      <c r="G32" s="54" t="n">
        <f aca="false">INDEX(lg_h_3464,D32)</f>
        <v>90</v>
      </c>
      <c r="H32" s="55" t="n">
        <f aca="false">INDEX(lg_bkg_3464,D32)</f>
        <v>9.7617664</v>
      </c>
      <c r="I32" s="56" t="n">
        <f aca="false">INDEX(lg_bvol_3464,D32)</f>
        <v>0.0400158</v>
      </c>
      <c r="J32" s="10" t="n">
        <f aca="false">INDEX(lg_n_3464,D32)</f>
        <v>50</v>
      </c>
      <c r="K32" s="15" t="n">
        <f aca="false">INDEX(lg_Lu_20GP,D32)</f>
        <v>5800</v>
      </c>
      <c r="L32" s="15" t="n">
        <f aca="false">INDEX(lg_Wu_20GP,D32)</f>
        <v>2330</v>
      </c>
      <c r="M32" s="15" t="n">
        <f aca="false">INDEX(lg_Hu_20GP,D32)</f>
        <v>2280</v>
      </c>
      <c r="N32" s="10" t="n">
        <f aca="false">INT(M32/G32)</f>
        <v>25</v>
      </c>
      <c r="O32" s="10" t="n">
        <f aca="false">INT(L32/F32)*INT(K32/E32)</f>
        <v>24</v>
      </c>
      <c r="P32" s="10" t="n">
        <f aca="false">IF(L32-E32&gt;=0,INT((L32-E32)/F32)*INT(K32/E32)+INT(K32/F32),0)</f>
        <v>24</v>
      </c>
      <c r="Q32" s="10" t="n">
        <f aca="false">IF(L32-2*E32&gt;=0,INT((L32-2*E32)/F32)*INT(K32/E32)+2*INT(K32/F32),0)</f>
        <v>24</v>
      </c>
      <c r="R32" s="58" t="n">
        <f aca="false">MAX(O32:Q32)</f>
        <v>24</v>
      </c>
      <c r="S32" s="10" t="n">
        <f aca="false">MATCH(R32,O32:Q32,0)-1</f>
        <v>0</v>
      </c>
      <c r="T32" s="15" t="n">
        <f aca="false">R32*N32</f>
        <v>600</v>
      </c>
      <c r="U32" s="15" t="n">
        <f aca="false">T32*J32</f>
        <v>30000</v>
      </c>
      <c r="V32" s="26" t="n">
        <f aca="false">INDEX(in_use_efficiency,1,D32)</f>
        <v>0.9</v>
      </c>
      <c r="W32" s="15" t="n">
        <f aca="false">INT(T32*V32)</f>
        <v>540</v>
      </c>
      <c r="X32" s="15" t="n">
        <f aca="false">W32*J32</f>
        <v>27000</v>
      </c>
      <c r="Y32" s="15" t="n">
        <f aca="false">INDEX(lg_road_20GP,D32)</f>
        <v>17237</v>
      </c>
      <c r="Z32" s="15" t="n">
        <f aca="false">INT(Y32/H32)</f>
        <v>1765</v>
      </c>
      <c r="AA32" s="15" t="n">
        <f aca="false">Z32*J32</f>
        <v>88250</v>
      </c>
      <c r="AB32" s="42" t="n">
        <f aca="false">MIN(X32,AA32)</f>
        <v>27000</v>
      </c>
      <c r="AC32" s="8" t="str">
        <f aca="false">IF(X32&lt;=AA32,"Volume / geometry","Weight (US road limit)")</f>
        <v>Volume / geometry</v>
      </c>
      <c r="AD32" s="15" t="n">
        <f aca="false">AB32/J32*H32</f>
        <v>5271.353856</v>
      </c>
      <c r="AE32" s="26" t="n">
        <f aca="false">AB32/J32*I32/INDEX(lg_cube_20GP,D32)</f>
        <v>0.650859397590361</v>
      </c>
      <c r="AF32" s="26" t="n">
        <f aca="false">AD32/Y32</f>
        <v>0.305816200963045</v>
      </c>
      <c r="AG32" s="59" t="n">
        <v>24</v>
      </c>
      <c r="AH32" s="8" t="str">
        <f aca="false">IF(AG32&gt;R32,"WARN – DP finds "&amp;(AG32-R32)&amp;" more positions",IF(AG32=R32,"OK – pattern = DP optimum","OK – DP below pattern (check)"))</f>
        <v>OK – pattern = DP optimum</v>
      </c>
    </row>
    <row r="33" customFormat="false" ht="15" hidden="false" customHeight="false" outlineLevel="0" collapsed="false">
      <c r="A33" s="5" t="s">
        <v>15</v>
      </c>
      <c r="B33" s="9" t="s">
        <v>640</v>
      </c>
      <c r="C33" s="9" t="s">
        <v>103</v>
      </c>
      <c r="D33" s="9" t="n">
        <v>1</v>
      </c>
      <c r="E33" s="10" t="n">
        <f aca="false">INDEX(lg_a_3464,D33)</f>
        <v>940</v>
      </c>
      <c r="F33" s="10" t="n">
        <f aca="false">INDEX(lg_b_3464,D33)</f>
        <v>473</v>
      </c>
      <c r="G33" s="54" t="n">
        <f aca="false">INDEX(lg_h_3464,D33)</f>
        <v>75</v>
      </c>
      <c r="H33" s="55" t="n">
        <f aca="false">INDEX(lg_bkg_3464,D33)</f>
        <v>8.151472</v>
      </c>
      <c r="I33" s="56" t="n">
        <f aca="false">INDEX(lg_bvol_3464,D33)</f>
        <v>0.0333465</v>
      </c>
      <c r="J33" s="10" t="n">
        <f aca="false">INDEX(lg_n_3464,D33)</f>
        <v>50</v>
      </c>
      <c r="K33" s="15" t="n">
        <f aca="false">INDEX(lg_Lu_40GP,D33)</f>
        <v>11930</v>
      </c>
      <c r="L33" s="15" t="n">
        <f aca="false">INDEX(lg_Wu_40GP,D33)</f>
        <v>2330</v>
      </c>
      <c r="M33" s="15" t="n">
        <f aca="false">INDEX(lg_Hu_40GP,D33)</f>
        <v>2280</v>
      </c>
      <c r="N33" s="10" t="n">
        <f aca="false">INT(M33/G33)</f>
        <v>30</v>
      </c>
      <c r="O33" s="10" t="n">
        <f aca="false">INT(L33/F33)*INT(K33/E33)</f>
        <v>48</v>
      </c>
      <c r="P33" s="10" t="n">
        <f aca="false">IF(L33-E33&gt;=0,INT((L33-E33)/F33)*INT(K33/E33)+INT(K33/F33),0)</f>
        <v>49</v>
      </c>
      <c r="Q33" s="10" t="n">
        <f aca="false">IF(L33-2*E33&gt;=0,INT((L33-2*E33)/F33)*INT(K33/E33)+2*INT(K33/F33),0)</f>
        <v>50</v>
      </c>
      <c r="R33" s="58" t="n">
        <f aca="false">MAX(O33:Q33)</f>
        <v>50</v>
      </c>
      <c r="S33" s="10" t="n">
        <f aca="false">MATCH(R33,O33:Q33,0)-1</f>
        <v>2</v>
      </c>
      <c r="T33" s="15" t="n">
        <f aca="false">R33*N33</f>
        <v>1500</v>
      </c>
      <c r="U33" s="15" t="n">
        <f aca="false">T33*J33</f>
        <v>75000</v>
      </c>
      <c r="V33" s="26" t="n">
        <f aca="false">INDEX(in_use_efficiency,1,D33)</f>
        <v>0.97</v>
      </c>
      <c r="W33" s="15" t="n">
        <f aca="false">INT(T33*V33)</f>
        <v>1455</v>
      </c>
      <c r="X33" s="15" t="n">
        <f aca="false">W33*J33</f>
        <v>72750</v>
      </c>
      <c r="Y33" s="15" t="n">
        <f aca="false">INDEX(lg_road_40GP,D33)</f>
        <v>19958</v>
      </c>
      <c r="Z33" s="15" t="n">
        <f aca="false">INT(Y33/H33)</f>
        <v>2448</v>
      </c>
      <c r="AA33" s="15" t="n">
        <f aca="false">Z33*J33</f>
        <v>122400</v>
      </c>
      <c r="AB33" s="42" t="n">
        <f aca="false">MIN(X33,AA33)</f>
        <v>72750</v>
      </c>
      <c r="AC33" s="8" t="str">
        <f aca="false">IF(X33&lt;=AA33,"Volume / geometry","Weight (US road limit)")</f>
        <v>Volume / geometry</v>
      </c>
      <c r="AD33" s="15" t="n">
        <f aca="false">AB33/J33*H33</f>
        <v>11860.39176</v>
      </c>
      <c r="AE33" s="26" t="n">
        <f aca="false">AB33/J33*I33/INDEX(lg_cube_40GP,D33)</f>
        <v>0.716678840472674</v>
      </c>
      <c r="AF33" s="26" t="n">
        <f aca="false">AD33/Y33</f>
        <v>0.594267549854695</v>
      </c>
      <c r="AG33" s="59" t="n">
        <v>50</v>
      </c>
      <c r="AH33" s="8" t="str">
        <f aca="false">IF(AG33&gt;R33,"WARN – DP finds "&amp;(AG33-R33)&amp;" more positions",IF(AG33=R33,"OK – pattern = DP optimum","OK – DP below pattern (check)"))</f>
        <v>OK – pattern = DP optimum</v>
      </c>
    </row>
    <row r="34" customFormat="false" ht="15" hidden="false" customHeight="false" outlineLevel="0" collapsed="false">
      <c r="A34" s="5" t="s">
        <v>15</v>
      </c>
      <c r="B34" s="9" t="s">
        <v>640</v>
      </c>
      <c r="C34" s="9" t="s">
        <v>104</v>
      </c>
      <c r="D34" s="9" t="n">
        <v>2</v>
      </c>
      <c r="E34" s="10" t="n">
        <f aca="false">INDEX(lg_a_3464,D34)</f>
        <v>940</v>
      </c>
      <c r="F34" s="10" t="n">
        <f aca="false">INDEX(lg_b_3464,D34)</f>
        <v>473</v>
      </c>
      <c r="G34" s="54" t="n">
        <f aca="false">INDEX(lg_h_3464,D34)</f>
        <v>80</v>
      </c>
      <c r="H34" s="55" t="n">
        <f aca="false">INDEX(lg_bkg_3464,D34)</f>
        <v>8.5540456</v>
      </c>
      <c r="I34" s="56" t="n">
        <f aca="false">INDEX(lg_bvol_3464,D34)</f>
        <v>0.0355696</v>
      </c>
      <c r="J34" s="10" t="n">
        <f aca="false">INDEX(lg_n_3464,D34)</f>
        <v>50</v>
      </c>
      <c r="K34" s="15" t="n">
        <f aca="false">INDEX(lg_Lu_40GP,D34)</f>
        <v>11930</v>
      </c>
      <c r="L34" s="15" t="n">
        <f aca="false">INDEX(lg_Wu_40GP,D34)</f>
        <v>2330</v>
      </c>
      <c r="M34" s="15" t="n">
        <f aca="false">INDEX(lg_Hu_40GP,D34)</f>
        <v>2280</v>
      </c>
      <c r="N34" s="10" t="n">
        <f aca="false">INT(M34/G34)</f>
        <v>28</v>
      </c>
      <c r="O34" s="10" t="n">
        <f aca="false">INT(L34/F34)*INT(K34/E34)</f>
        <v>48</v>
      </c>
      <c r="P34" s="10" t="n">
        <f aca="false">IF(L34-E34&gt;=0,INT((L34-E34)/F34)*INT(K34/E34)+INT(K34/F34),0)</f>
        <v>49</v>
      </c>
      <c r="Q34" s="10" t="n">
        <f aca="false">IF(L34-2*E34&gt;=0,INT((L34-2*E34)/F34)*INT(K34/E34)+2*INT(K34/F34),0)</f>
        <v>50</v>
      </c>
      <c r="R34" s="58" t="n">
        <f aca="false">MAX(O34:Q34)</f>
        <v>50</v>
      </c>
      <c r="S34" s="10" t="n">
        <f aca="false">MATCH(R34,O34:Q34,0)-1</f>
        <v>2</v>
      </c>
      <c r="T34" s="15" t="n">
        <f aca="false">R34*N34</f>
        <v>1400</v>
      </c>
      <c r="U34" s="15" t="n">
        <f aca="false">T34*J34</f>
        <v>70000</v>
      </c>
      <c r="V34" s="26" t="n">
        <f aca="false">INDEX(in_use_efficiency,1,D34)</f>
        <v>0.95</v>
      </c>
      <c r="W34" s="15" t="n">
        <f aca="false">INT(T34*V34)</f>
        <v>1330</v>
      </c>
      <c r="X34" s="15" t="n">
        <f aca="false">W34*J34</f>
        <v>66500</v>
      </c>
      <c r="Y34" s="15" t="n">
        <f aca="false">INDEX(lg_road_40GP,D34)</f>
        <v>19958</v>
      </c>
      <c r="Z34" s="15" t="n">
        <f aca="false">INT(Y34/H34)</f>
        <v>2333</v>
      </c>
      <c r="AA34" s="15" t="n">
        <f aca="false">Z34*J34</f>
        <v>116650</v>
      </c>
      <c r="AB34" s="42" t="n">
        <f aca="false">MIN(X34,AA34)</f>
        <v>66500</v>
      </c>
      <c r="AC34" s="8" t="str">
        <f aca="false">IF(X34&lt;=AA34,"Volume / geometry","Weight (US road limit)")</f>
        <v>Volume / geometry</v>
      </c>
      <c r="AD34" s="15" t="n">
        <f aca="false">AB34/J34*H34</f>
        <v>11376.880648</v>
      </c>
      <c r="AE34" s="26" t="n">
        <f aca="false">AB34/J34*I34/INDEX(lg_cube_40GP,D34)</f>
        <v>0.698782392909897</v>
      </c>
      <c r="AF34" s="26" t="n">
        <f aca="false">AD34/Y34</f>
        <v>0.570041118749374</v>
      </c>
      <c r="AG34" s="59" t="n">
        <v>50</v>
      </c>
      <c r="AH34" s="8" t="str">
        <f aca="false">IF(AG34&gt;R34,"WARN – DP finds "&amp;(AG34-R34)&amp;" more positions",IF(AG34=R34,"OK – pattern = DP optimum","OK – DP below pattern (check)"))</f>
        <v>OK – pattern = DP optimum</v>
      </c>
    </row>
    <row r="35" customFormat="false" ht="15" hidden="false" customHeight="false" outlineLevel="0" collapsed="false">
      <c r="A35" s="5" t="s">
        <v>15</v>
      </c>
      <c r="B35" s="9" t="s">
        <v>640</v>
      </c>
      <c r="C35" s="9" t="s">
        <v>105</v>
      </c>
      <c r="D35" s="9" t="n">
        <v>3</v>
      </c>
      <c r="E35" s="10" t="n">
        <f aca="false">INDEX(lg_a_3464,D35)</f>
        <v>940</v>
      </c>
      <c r="F35" s="10" t="n">
        <f aca="false">INDEX(lg_b_3464,D35)</f>
        <v>473</v>
      </c>
      <c r="G35" s="54" t="n">
        <f aca="false">INDEX(lg_h_3464,D35)</f>
        <v>90</v>
      </c>
      <c r="H35" s="55" t="n">
        <f aca="false">INDEX(lg_bkg_3464,D35)</f>
        <v>9.7617664</v>
      </c>
      <c r="I35" s="56" t="n">
        <f aca="false">INDEX(lg_bvol_3464,D35)</f>
        <v>0.0400158</v>
      </c>
      <c r="J35" s="10" t="n">
        <f aca="false">INDEX(lg_n_3464,D35)</f>
        <v>50</v>
      </c>
      <c r="K35" s="15" t="n">
        <f aca="false">INDEX(lg_Lu_40GP,D35)</f>
        <v>11930</v>
      </c>
      <c r="L35" s="15" t="n">
        <f aca="false">INDEX(lg_Wu_40GP,D35)</f>
        <v>2330</v>
      </c>
      <c r="M35" s="15" t="n">
        <f aca="false">INDEX(lg_Hu_40GP,D35)</f>
        <v>2280</v>
      </c>
      <c r="N35" s="10" t="n">
        <f aca="false">INT(M35/G35)</f>
        <v>25</v>
      </c>
      <c r="O35" s="10" t="n">
        <f aca="false">INT(L35/F35)*INT(K35/E35)</f>
        <v>48</v>
      </c>
      <c r="P35" s="10" t="n">
        <f aca="false">IF(L35-E35&gt;=0,INT((L35-E35)/F35)*INT(K35/E35)+INT(K35/F35),0)</f>
        <v>49</v>
      </c>
      <c r="Q35" s="10" t="n">
        <f aca="false">IF(L35-2*E35&gt;=0,INT((L35-2*E35)/F35)*INT(K35/E35)+2*INT(K35/F35),0)</f>
        <v>50</v>
      </c>
      <c r="R35" s="58" t="n">
        <f aca="false">MAX(O35:Q35)</f>
        <v>50</v>
      </c>
      <c r="S35" s="10" t="n">
        <f aca="false">MATCH(R35,O35:Q35,0)-1</f>
        <v>2</v>
      </c>
      <c r="T35" s="15" t="n">
        <f aca="false">R35*N35</f>
        <v>1250</v>
      </c>
      <c r="U35" s="15" t="n">
        <f aca="false">T35*J35</f>
        <v>62500</v>
      </c>
      <c r="V35" s="26" t="n">
        <f aca="false">INDEX(in_use_efficiency,1,D35)</f>
        <v>0.9</v>
      </c>
      <c r="W35" s="15" t="n">
        <f aca="false">INT(T35*V35)</f>
        <v>1125</v>
      </c>
      <c r="X35" s="15" t="n">
        <f aca="false">W35*J35</f>
        <v>56250</v>
      </c>
      <c r="Y35" s="15" t="n">
        <f aca="false">INDEX(lg_road_40GP,D35)</f>
        <v>19958</v>
      </c>
      <c r="Z35" s="15" t="n">
        <f aca="false">INT(Y35/H35)</f>
        <v>2044</v>
      </c>
      <c r="AA35" s="15" t="n">
        <f aca="false">Z35*J35</f>
        <v>102200</v>
      </c>
      <c r="AB35" s="42" t="n">
        <f aca="false">MIN(X35,AA35)</f>
        <v>56250</v>
      </c>
      <c r="AC35" s="8" t="str">
        <f aca="false">IF(X35&lt;=AA35,"Volume / geometry","Weight (US road limit)")</f>
        <v>Volume / geometry</v>
      </c>
      <c r="AD35" s="15" t="n">
        <f aca="false">AB35/J35*H35</f>
        <v>10981.9872</v>
      </c>
      <c r="AE35" s="26" t="n">
        <f aca="false">AB35/J35*I35/INDEX(lg_cube_40GP,D35)</f>
        <v>0.664959748892171</v>
      </c>
      <c r="AF35" s="26" t="n">
        <f aca="false">AD35/Y35</f>
        <v>0.550254895280088</v>
      </c>
      <c r="AG35" s="59" t="n">
        <v>50</v>
      </c>
      <c r="AH35" s="8" t="str">
        <f aca="false">IF(AG35&gt;R35,"WARN – DP finds "&amp;(AG35-R35)&amp;" more positions",IF(AG35=R35,"OK – pattern = DP optimum","OK – DP below pattern (check)"))</f>
        <v>OK – pattern = DP optimum</v>
      </c>
    </row>
    <row r="36" customFormat="false" ht="15" hidden="false" customHeight="false" outlineLevel="0" collapsed="false">
      <c r="A36" s="5" t="s">
        <v>15</v>
      </c>
      <c r="B36" s="9" t="s">
        <v>643</v>
      </c>
      <c r="C36" s="9" t="s">
        <v>103</v>
      </c>
      <c r="D36" s="9" t="n">
        <v>1</v>
      </c>
      <c r="E36" s="10" t="n">
        <f aca="false">INDEX(lg_a_3464,D36)</f>
        <v>940</v>
      </c>
      <c r="F36" s="10" t="n">
        <f aca="false">INDEX(lg_b_3464,D36)</f>
        <v>473</v>
      </c>
      <c r="G36" s="54" t="n">
        <f aca="false">INDEX(lg_h_3464,D36)</f>
        <v>75</v>
      </c>
      <c r="H36" s="55" t="n">
        <f aca="false">INDEX(lg_bkg_3464,D36)</f>
        <v>8.151472</v>
      </c>
      <c r="I36" s="56" t="n">
        <f aca="false">INDEX(lg_bvol_3464,D36)</f>
        <v>0.0333465</v>
      </c>
      <c r="J36" s="10" t="n">
        <f aca="false">INDEX(lg_n_3464,D36)</f>
        <v>50</v>
      </c>
      <c r="K36" s="15" t="n">
        <f aca="false">INDEX(lg_Lu_40HC,D36)</f>
        <v>11930</v>
      </c>
      <c r="L36" s="15" t="n">
        <f aca="false">INDEX(lg_Wu_40HC,D36)</f>
        <v>2330</v>
      </c>
      <c r="M36" s="15" t="n">
        <f aca="false">INDEX(lg_Hu_40HC,D36)</f>
        <v>2580</v>
      </c>
      <c r="N36" s="10" t="n">
        <f aca="false">INT(M36/G36)</f>
        <v>34</v>
      </c>
      <c r="O36" s="10" t="n">
        <f aca="false">INT(L36/F36)*INT(K36/E36)</f>
        <v>48</v>
      </c>
      <c r="P36" s="10" t="n">
        <f aca="false">IF(L36-E36&gt;=0,INT((L36-E36)/F36)*INT(K36/E36)+INT(K36/F36),0)</f>
        <v>49</v>
      </c>
      <c r="Q36" s="10" t="n">
        <f aca="false">IF(L36-2*E36&gt;=0,INT((L36-2*E36)/F36)*INT(K36/E36)+2*INT(K36/F36),0)</f>
        <v>50</v>
      </c>
      <c r="R36" s="58" t="n">
        <f aca="false">MAX(O36:Q36)</f>
        <v>50</v>
      </c>
      <c r="S36" s="10" t="n">
        <f aca="false">MATCH(R36,O36:Q36,0)-1</f>
        <v>2</v>
      </c>
      <c r="T36" s="15" t="n">
        <f aca="false">R36*N36</f>
        <v>1700</v>
      </c>
      <c r="U36" s="15" t="n">
        <f aca="false">T36*J36</f>
        <v>85000</v>
      </c>
      <c r="V36" s="26" t="n">
        <f aca="false">INDEX(in_use_efficiency,1,D36)</f>
        <v>0.97</v>
      </c>
      <c r="W36" s="15" t="n">
        <f aca="false">INT(T36*V36)</f>
        <v>1649</v>
      </c>
      <c r="X36" s="15" t="n">
        <f aca="false">W36*J36</f>
        <v>82450</v>
      </c>
      <c r="Y36" s="15" t="n">
        <f aca="false">INDEX(lg_road_40HC,D36)</f>
        <v>19958</v>
      </c>
      <c r="Z36" s="15" t="n">
        <f aca="false">INT(Y36/H36)</f>
        <v>2448</v>
      </c>
      <c r="AA36" s="15" t="n">
        <f aca="false">Z36*J36</f>
        <v>122400</v>
      </c>
      <c r="AB36" s="42" t="n">
        <f aca="false">MIN(X36,AA36)</f>
        <v>82450</v>
      </c>
      <c r="AC36" s="8" t="str">
        <f aca="false">IF(X36&lt;=AA36,"Volume / geometry","Weight (US road limit)")</f>
        <v>Volume / geometry</v>
      </c>
      <c r="AD36" s="15" t="n">
        <f aca="false">AB36/J36*H36</f>
        <v>13441.777328</v>
      </c>
      <c r="AE36" s="26" t="n">
        <f aca="false">AB36/J36*I36/INDEX(lg_cube_40HC,D36)</f>
        <v>0.71974317408377</v>
      </c>
      <c r="AF36" s="26" t="n">
        <f aca="false">AD36/Y36</f>
        <v>0.673503223168654</v>
      </c>
      <c r="AG36" s="59" t="n">
        <v>50</v>
      </c>
      <c r="AH36" s="8" t="str">
        <f aca="false">IF(AG36&gt;R36,"WARN – DP finds "&amp;(AG36-R36)&amp;" more positions",IF(AG36=R36,"OK – pattern = DP optimum","OK – DP below pattern (check)"))</f>
        <v>OK – pattern = DP optimum</v>
      </c>
    </row>
    <row r="37" customFormat="false" ht="15" hidden="false" customHeight="false" outlineLevel="0" collapsed="false">
      <c r="A37" s="5" t="s">
        <v>15</v>
      </c>
      <c r="B37" s="9" t="s">
        <v>643</v>
      </c>
      <c r="C37" s="9" t="s">
        <v>104</v>
      </c>
      <c r="D37" s="9" t="n">
        <v>2</v>
      </c>
      <c r="E37" s="10" t="n">
        <f aca="false">INDEX(lg_a_3464,D37)</f>
        <v>940</v>
      </c>
      <c r="F37" s="10" t="n">
        <f aca="false">INDEX(lg_b_3464,D37)</f>
        <v>473</v>
      </c>
      <c r="G37" s="54" t="n">
        <f aca="false">INDEX(lg_h_3464,D37)</f>
        <v>80</v>
      </c>
      <c r="H37" s="55" t="n">
        <f aca="false">INDEX(lg_bkg_3464,D37)</f>
        <v>8.5540456</v>
      </c>
      <c r="I37" s="56" t="n">
        <f aca="false">INDEX(lg_bvol_3464,D37)</f>
        <v>0.0355696</v>
      </c>
      <c r="J37" s="10" t="n">
        <f aca="false">INDEX(lg_n_3464,D37)</f>
        <v>50</v>
      </c>
      <c r="K37" s="15" t="n">
        <f aca="false">INDEX(lg_Lu_40HC,D37)</f>
        <v>11930</v>
      </c>
      <c r="L37" s="15" t="n">
        <f aca="false">INDEX(lg_Wu_40HC,D37)</f>
        <v>2330</v>
      </c>
      <c r="M37" s="15" t="n">
        <f aca="false">INDEX(lg_Hu_40HC,D37)</f>
        <v>2580</v>
      </c>
      <c r="N37" s="10" t="n">
        <f aca="false">INT(M37/G37)</f>
        <v>32</v>
      </c>
      <c r="O37" s="10" t="n">
        <f aca="false">INT(L37/F37)*INT(K37/E37)</f>
        <v>48</v>
      </c>
      <c r="P37" s="10" t="n">
        <f aca="false">IF(L37-E37&gt;=0,INT((L37-E37)/F37)*INT(K37/E37)+INT(K37/F37),0)</f>
        <v>49</v>
      </c>
      <c r="Q37" s="10" t="n">
        <f aca="false">IF(L37-2*E37&gt;=0,INT((L37-2*E37)/F37)*INT(K37/E37)+2*INT(K37/F37),0)</f>
        <v>50</v>
      </c>
      <c r="R37" s="58" t="n">
        <f aca="false">MAX(O37:Q37)</f>
        <v>50</v>
      </c>
      <c r="S37" s="10" t="n">
        <f aca="false">MATCH(R37,O37:Q37,0)-1</f>
        <v>2</v>
      </c>
      <c r="T37" s="15" t="n">
        <f aca="false">R37*N37</f>
        <v>1600</v>
      </c>
      <c r="U37" s="15" t="n">
        <f aca="false">T37*J37</f>
        <v>80000</v>
      </c>
      <c r="V37" s="26" t="n">
        <f aca="false">INDEX(in_use_efficiency,1,D37)</f>
        <v>0.95</v>
      </c>
      <c r="W37" s="15" t="n">
        <f aca="false">INT(T37*V37)</f>
        <v>1520</v>
      </c>
      <c r="X37" s="15" t="n">
        <f aca="false">W37*J37</f>
        <v>76000</v>
      </c>
      <c r="Y37" s="15" t="n">
        <f aca="false">INDEX(lg_road_40HC,D37)</f>
        <v>19958</v>
      </c>
      <c r="Z37" s="15" t="n">
        <f aca="false">INT(Y37/H37)</f>
        <v>2333</v>
      </c>
      <c r="AA37" s="15" t="n">
        <f aca="false">Z37*J37</f>
        <v>116650</v>
      </c>
      <c r="AB37" s="42" t="n">
        <f aca="false">MIN(X37,AA37)</f>
        <v>76000</v>
      </c>
      <c r="AC37" s="8" t="str">
        <f aca="false">IF(X37&lt;=AA37,"Volume / geometry","Weight (US road limit)")</f>
        <v>Volume / geometry</v>
      </c>
      <c r="AD37" s="15" t="n">
        <f aca="false">AB37/J37*H37</f>
        <v>13002.149312</v>
      </c>
      <c r="AE37" s="26" t="n">
        <f aca="false">AB37/J37*I37/INDEX(lg_cube_40HC,D37)</f>
        <v>0.707667434554974</v>
      </c>
      <c r="AF37" s="26" t="n">
        <f aca="false">AD37/Y37</f>
        <v>0.651475564284998</v>
      </c>
      <c r="AG37" s="59" t="n">
        <v>50</v>
      </c>
      <c r="AH37" s="8" t="str">
        <f aca="false">IF(AG37&gt;R37,"WARN – DP finds "&amp;(AG37-R37)&amp;" more positions",IF(AG37=R37,"OK – pattern = DP optimum","OK – DP below pattern (check)"))</f>
        <v>OK – pattern = DP optimum</v>
      </c>
    </row>
    <row r="38" customFormat="false" ht="15" hidden="false" customHeight="false" outlineLevel="0" collapsed="false">
      <c r="A38" s="5" t="s">
        <v>15</v>
      </c>
      <c r="B38" s="9" t="s">
        <v>643</v>
      </c>
      <c r="C38" s="9" t="s">
        <v>105</v>
      </c>
      <c r="D38" s="9" t="n">
        <v>3</v>
      </c>
      <c r="E38" s="10" t="n">
        <f aca="false">INDEX(lg_a_3464,D38)</f>
        <v>940</v>
      </c>
      <c r="F38" s="10" t="n">
        <f aca="false">INDEX(lg_b_3464,D38)</f>
        <v>473</v>
      </c>
      <c r="G38" s="54" t="n">
        <f aca="false">INDEX(lg_h_3464,D38)</f>
        <v>90</v>
      </c>
      <c r="H38" s="55" t="n">
        <f aca="false">INDEX(lg_bkg_3464,D38)</f>
        <v>9.7617664</v>
      </c>
      <c r="I38" s="56" t="n">
        <f aca="false">INDEX(lg_bvol_3464,D38)</f>
        <v>0.0400158</v>
      </c>
      <c r="J38" s="10" t="n">
        <f aca="false">INDEX(lg_n_3464,D38)</f>
        <v>50</v>
      </c>
      <c r="K38" s="15" t="n">
        <f aca="false">INDEX(lg_Lu_40HC,D38)</f>
        <v>11930</v>
      </c>
      <c r="L38" s="15" t="n">
        <f aca="false">INDEX(lg_Wu_40HC,D38)</f>
        <v>2330</v>
      </c>
      <c r="M38" s="15" t="n">
        <f aca="false">INDEX(lg_Hu_40HC,D38)</f>
        <v>2580</v>
      </c>
      <c r="N38" s="10" t="n">
        <f aca="false">INT(M38/G38)</f>
        <v>28</v>
      </c>
      <c r="O38" s="10" t="n">
        <f aca="false">INT(L38/F38)*INT(K38/E38)</f>
        <v>48</v>
      </c>
      <c r="P38" s="10" t="n">
        <f aca="false">IF(L38-E38&gt;=0,INT((L38-E38)/F38)*INT(K38/E38)+INT(K38/F38),0)</f>
        <v>49</v>
      </c>
      <c r="Q38" s="10" t="n">
        <f aca="false">IF(L38-2*E38&gt;=0,INT((L38-2*E38)/F38)*INT(K38/E38)+2*INT(K38/F38),0)</f>
        <v>50</v>
      </c>
      <c r="R38" s="58" t="n">
        <f aca="false">MAX(O38:Q38)</f>
        <v>50</v>
      </c>
      <c r="S38" s="10" t="n">
        <f aca="false">MATCH(R38,O38:Q38,0)-1</f>
        <v>2</v>
      </c>
      <c r="T38" s="15" t="n">
        <f aca="false">R38*N38</f>
        <v>1400</v>
      </c>
      <c r="U38" s="15" t="n">
        <f aca="false">T38*J38</f>
        <v>70000</v>
      </c>
      <c r="V38" s="26" t="n">
        <f aca="false">INDEX(in_use_efficiency,1,D38)</f>
        <v>0.9</v>
      </c>
      <c r="W38" s="15" t="n">
        <f aca="false">INT(T38*V38)</f>
        <v>1260</v>
      </c>
      <c r="X38" s="15" t="n">
        <f aca="false">W38*J38</f>
        <v>63000</v>
      </c>
      <c r="Y38" s="15" t="n">
        <f aca="false">INDEX(lg_road_40HC,D38)</f>
        <v>19958</v>
      </c>
      <c r="Z38" s="15" t="n">
        <f aca="false">INT(Y38/H38)</f>
        <v>2044</v>
      </c>
      <c r="AA38" s="15" t="n">
        <f aca="false">Z38*J38</f>
        <v>102200</v>
      </c>
      <c r="AB38" s="42" t="n">
        <f aca="false">MIN(X38,AA38)</f>
        <v>63000</v>
      </c>
      <c r="AC38" s="8" t="str">
        <f aca="false">IF(X38&lt;=AA38,"Volume / geometry","Weight (US road limit)")</f>
        <v>Volume / geometry</v>
      </c>
      <c r="AD38" s="15" t="n">
        <f aca="false">AB38/J38*H38</f>
        <v>12299.825664</v>
      </c>
      <c r="AE38" s="26" t="n">
        <f aca="false">AB38/J38*I38/INDEX(lg_cube_40HC,D38)</f>
        <v>0.659946439790576</v>
      </c>
      <c r="AF38" s="26" t="n">
        <f aca="false">AD38/Y38</f>
        <v>0.616285482713699</v>
      </c>
      <c r="AG38" s="59" t="n">
        <v>50</v>
      </c>
      <c r="AH38" s="8" t="str">
        <f aca="false">IF(AG38&gt;R38,"WARN – DP finds "&amp;(AG38-R38)&amp;" more positions",IF(AG38=R38,"OK – pattern = DP optimum","OK – DP below pattern (check)"))</f>
        <v>OK – pattern = DP optimum</v>
      </c>
    </row>
    <row r="39" customFormat="false" ht="15" hidden="false" customHeight="false" outlineLevel="0" collapsed="false">
      <c r="A39" s="5" t="s">
        <v>16</v>
      </c>
      <c r="B39" s="9" t="s">
        <v>636</v>
      </c>
      <c r="C39" s="9" t="s">
        <v>103</v>
      </c>
      <c r="D39" s="9" t="n">
        <v>1</v>
      </c>
      <c r="E39" s="10" t="n">
        <f aca="false">INDEX(lg_a_3463,D39)</f>
        <v>1040</v>
      </c>
      <c r="F39" s="10" t="n">
        <f aca="false">INDEX(lg_b_3463,D39)</f>
        <v>523</v>
      </c>
      <c r="G39" s="54" t="n">
        <f aca="false">INDEX(lg_h_3463,D39)</f>
        <v>75</v>
      </c>
      <c r="H39" s="55" t="n">
        <f aca="false">INDEX(lg_bkg_3463,D39)</f>
        <v>9.964792</v>
      </c>
      <c r="I39" s="56" t="n">
        <f aca="false">INDEX(lg_bvol_3463,D39)</f>
        <v>0.040794</v>
      </c>
      <c r="J39" s="10" t="n">
        <f aca="false">INDEX(lg_n_3463,D39)</f>
        <v>50</v>
      </c>
      <c r="K39" s="15" t="n">
        <f aca="false">INDEX(lg_Lu_20GP,D39)</f>
        <v>5800</v>
      </c>
      <c r="L39" s="15" t="n">
        <f aca="false">INDEX(lg_Wu_20GP,D39)</f>
        <v>2330</v>
      </c>
      <c r="M39" s="15" t="n">
        <f aca="false">INDEX(lg_Hu_20GP,D39)</f>
        <v>2280</v>
      </c>
      <c r="N39" s="10" t="n">
        <f aca="false">INT(M39/G39)</f>
        <v>30</v>
      </c>
      <c r="O39" s="10" t="n">
        <f aca="false">INT(L39/F39)*INT(K39/E39)</f>
        <v>20</v>
      </c>
      <c r="P39" s="10" t="n">
        <f aca="false">IF(L39-E39&gt;=0,INT((L39-E39)/F39)*INT(K39/E39)+INT(K39/F39),0)</f>
        <v>21</v>
      </c>
      <c r="Q39" s="10" t="n">
        <f aca="false">IF(L39-2*E39&gt;=0,INT((L39-2*E39)/F39)*INT(K39/E39)+2*INT(K39/F39),0)</f>
        <v>22</v>
      </c>
      <c r="R39" s="58" t="n">
        <f aca="false">MAX(O39:Q39)</f>
        <v>22</v>
      </c>
      <c r="S39" s="10" t="n">
        <f aca="false">MATCH(R39,O39:Q39,0)-1</f>
        <v>2</v>
      </c>
      <c r="T39" s="15" t="n">
        <f aca="false">R39*N39</f>
        <v>660</v>
      </c>
      <c r="U39" s="15" t="n">
        <f aca="false">T39*J39</f>
        <v>33000</v>
      </c>
      <c r="V39" s="26" t="n">
        <f aca="false">INDEX(in_use_efficiency,1,D39)</f>
        <v>0.97</v>
      </c>
      <c r="W39" s="15" t="n">
        <f aca="false">INT(T39*V39)</f>
        <v>640</v>
      </c>
      <c r="X39" s="15" t="n">
        <f aca="false">W39*J39</f>
        <v>32000</v>
      </c>
      <c r="Y39" s="15" t="n">
        <f aca="false">INDEX(lg_road_20GP,D39)</f>
        <v>17237</v>
      </c>
      <c r="Z39" s="15" t="n">
        <f aca="false">INT(Y39/H39)</f>
        <v>1729</v>
      </c>
      <c r="AA39" s="15" t="n">
        <f aca="false">Z39*J39</f>
        <v>86450</v>
      </c>
      <c r="AB39" s="42" t="n">
        <f aca="false">MIN(X39,AA39)</f>
        <v>32000</v>
      </c>
      <c r="AC39" s="8" t="str">
        <f aca="false">IF(X39&lt;=AA39,"Volume / geometry","Weight (US road limit)")</f>
        <v>Volume / geometry</v>
      </c>
      <c r="AD39" s="15" t="n">
        <f aca="false">AB39/J39*H39</f>
        <v>6377.46688</v>
      </c>
      <c r="AE39" s="26" t="n">
        <f aca="false">AB39/J39*I39/INDEX(lg_cube_20GP,D39)</f>
        <v>0.786390361445783</v>
      </c>
      <c r="AF39" s="26" t="n">
        <f aca="false">AD39/Y39</f>
        <v>0.369987055752161</v>
      </c>
      <c r="AG39" s="59" t="n">
        <v>22</v>
      </c>
      <c r="AH39" s="8" t="str">
        <f aca="false">IF(AG39&gt;R39,"WARN – DP finds "&amp;(AG39-R39)&amp;" more positions",IF(AG39=R39,"OK – pattern = DP optimum","OK – DP below pattern (check)"))</f>
        <v>OK – pattern = DP optimum</v>
      </c>
    </row>
    <row r="40" customFormat="false" ht="15" hidden="false" customHeight="false" outlineLevel="0" collapsed="false">
      <c r="A40" s="5" t="s">
        <v>16</v>
      </c>
      <c r="B40" s="9" t="s">
        <v>636</v>
      </c>
      <c r="C40" s="9" t="s">
        <v>104</v>
      </c>
      <c r="D40" s="9" t="n">
        <v>2</v>
      </c>
      <c r="E40" s="10" t="n">
        <f aca="false">INDEX(lg_a_3463,D40)</f>
        <v>1040</v>
      </c>
      <c r="F40" s="10" t="n">
        <f aca="false">INDEX(lg_b_3463,D40)</f>
        <v>523</v>
      </c>
      <c r="G40" s="54" t="n">
        <f aca="false">INDEX(lg_h_3463,D40)</f>
        <v>80</v>
      </c>
      <c r="H40" s="55" t="n">
        <f aca="false">INDEX(lg_bkg_3463,D40)</f>
        <v>10.4580316</v>
      </c>
      <c r="I40" s="56" t="n">
        <f aca="false">INDEX(lg_bvol_3463,D40)</f>
        <v>0.0435136</v>
      </c>
      <c r="J40" s="10" t="n">
        <f aca="false">INDEX(lg_n_3463,D40)</f>
        <v>50</v>
      </c>
      <c r="K40" s="15" t="n">
        <f aca="false">INDEX(lg_Lu_20GP,D40)</f>
        <v>5800</v>
      </c>
      <c r="L40" s="15" t="n">
        <f aca="false">INDEX(lg_Wu_20GP,D40)</f>
        <v>2330</v>
      </c>
      <c r="M40" s="15" t="n">
        <f aca="false">INDEX(lg_Hu_20GP,D40)</f>
        <v>2280</v>
      </c>
      <c r="N40" s="10" t="n">
        <f aca="false">INT(M40/G40)</f>
        <v>28</v>
      </c>
      <c r="O40" s="10" t="n">
        <f aca="false">INT(L40/F40)*INT(K40/E40)</f>
        <v>20</v>
      </c>
      <c r="P40" s="10" t="n">
        <f aca="false">IF(L40-E40&gt;=0,INT((L40-E40)/F40)*INT(K40/E40)+INT(K40/F40),0)</f>
        <v>21</v>
      </c>
      <c r="Q40" s="10" t="n">
        <f aca="false">IF(L40-2*E40&gt;=0,INT((L40-2*E40)/F40)*INT(K40/E40)+2*INT(K40/F40),0)</f>
        <v>22</v>
      </c>
      <c r="R40" s="58" t="n">
        <f aca="false">MAX(O40:Q40)</f>
        <v>22</v>
      </c>
      <c r="S40" s="10" t="n">
        <f aca="false">MATCH(R40,O40:Q40,0)-1</f>
        <v>2</v>
      </c>
      <c r="T40" s="15" t="n">
        <f aca="false">R40*N40</f>
        <v>616</v>
      </c>
      <c r="U40" s="15" t="n">
        <f aca="false">T40*J40</f>
        <v>30800</v>
      </c>
      <c r="V40" s="26" t="n">
        <f aca="false">INDEX(in_use_efficiency,1,D40)</f>
        <v>0.95</v>
      </c>
      <c r="W40" s="15" t="n">
        <f aca="false">INT(T40*V40)</f>
        <v>585</v>
      </c>
      <c r="X40" s="15" t="n">
        <f aca="false">W40*J40</f>
        <v>29250</v>
      </c>
      <c r="Y40" s="15" t="n">
        <f aca="false">INDEX(lg_road_20GP,D40)</f>
        <v>17237</v>
      </c>
      <c r="Z40" s="15" t="n">
        <f aca="false">INT(Y40/H40)</f>
        <v>1648</v>
      </c>
      <c r="AA40" s="15" t="n">
        <f aca="false">Z40*J40</f>
        <v>82400</v>
      </c>
      <c r="AB40" s="42" t="n">
        <f aca="false">MIN(X40,AA40)</f>
        <v>29250</v>
      </c>
      <c r="AC40" s="8" t="str">
        <f aca="false">IF(X40&lt;=AA40,"Volume / geometry","Weight (US road limit)")</f>
        <v>Volume / geometry</v>
      </c>
      <c r="AD40" s="15" t="n">
        <f aca="false">AB40/J40*H40</f>
        <v>6117.948486</v>
      </c>
      <c r="AE40" s="26" t="n">
        <f aca="false">AB40/J40*I40/INDEX(lg_cube_20GP,D40)</f>
        <v>0.766730602409638</v>
      </c>
      <c r="AF40" s="26" t="n">
        <f aca="false">AD40/Y40</f>
        <v>0.354931164703835</v>
      </c>
      <c r="AG40" s="59" t="n">
        <v>22</v>
      </c>
      <c r="AH40" s="8" t="str">
        <f aca="false">IF(AG40&gt;R40,"WARN – DP finds "&amp;(AG40-R40)&amp;" more positions",IF(AG40=R40,"OK – pattern = DP optimum","OK – DP below pattern (check)"))</f>
        <v>OK – pattern = DP optimum</v>
      </c>
    </row>
    <row r="41" customFormat="false" ht="15" hidden="false" customHeight="false" outlineLevel="0" collapsed="false">
      <c r="A41" s="5" t="s">
        <v>16</v>
      </c>
      <c r="B41" s="9" t="s">
        <v>636</v>
      </c>
      <c r="C41" s="9" t="s">
        <v>105</v>
      </c>
      <c r="D41" s="9" t="n">
        <v>3</v>
      </c>
      <c r="E41" s="10" t="n">
        <f aca="false">INDEX(lg_a_3463,D41)</f>
        <v>1040</v>
      </c>
      <c r="F41" s="10" t="n">
        <f aca="false">INDEX(lg_b_3463,D41)</f>
        <v>523</v>
      </c>
      <c r="G41" s="54" t="n">
        <f aca="false">INDEX(lg_h_3463,D41)</f>
        <v>90</v>
      </c>
      <c r="H41" s="55" t="n">
        <f aca="false">INDEX(lg_bkg_3463,D41)</f>
        <v>11.9377504</v>
      </c>
      <c r="I41" s="56" t="n">
        <f aca="false">INDEX(lg_bvol_3463,D41)</f>
        <v>0.0489528</v>
      </c>
      <c r="J41" s="10" t="n">
        <f aca="false">INDEX(lg_n_3463,D41)</f>
        <v>50</v>
      </c>
      <c r="K41" s="15" t="n">
        <f aca="false">INDEX(lg_Lu_20GP,D41)</f>
        <v>5800</v>
      </c>
      <c r="L41" s="15" t="n">
        <f aca="false">INDEX(lg_Wu_20GP,D41)</f>
        <v>2330</v>
      </c>
      <c r="M41" s="15" t="n">
        <f aca="false">INDEX(lg_Hu_20GP,D41)</f>
        <v>2280</v>
      </c>
      <c r="N41" s="10" t="n">
        <f aca="false">INT(M41/G41)</f>
        <v>25</v>
      </c>
      <c r="O41" s="10" t="n">
        <f aca="false">INT(L41/F41)*INT(K41/E41)</f>
        <v>20</v>
      </c>
      <c r="P41" s="10" t="n">
        <f aca="false">IF(L41-E41&gt;=0,INT((L41-E41)/F41)*INT(K41/E41)+INT(K41/F41),0)</f>
        <v>21</v>
      </c>
      <c r="Q41" s="10" t="n">
        <f aca="false">IF(L41-2*E41&gt;=0,INT((L41-2*E41)/F41)*INT(K41/E41)+2*INT(K41/F41),0)</f>
        <v>22</v>
      </c>
      <c r="R41" s="58" t="n">
        <f aca="false">MAX(O41:Q41)</f>
        <v>22</v>
      </c>
      <c r="S41" s="10" t="n">
        <f aca="false">MATCH(R41,O41:Q41,0)-1</f>
        <v>2</v>
      </c>
      <c r="T41" s="15" t="n">
        <f aca="false">R41*N41</f>
        <v>550</v>
      </c>
      <c r="U41" s="15" t="n">
        <f aca="false">T41*J41</f>
        <v>27500</v>
      </c>
      <c r="V41" s="26" t="n">
        <f aca="false">INDEX(in_use_efficiency,1,D41)</f>
        <v>0.9</v>
      </c>
      <c r="W41" s="15" t="n">
        <f aca="false">INT(T41*V41)</f>
        <v>495</v>
      </c>
      <c r="X41" s="15" t="n">
        <f aca="false">W41*J41</f>
        <v>24750</v>
      </c>
      <c r="Y41" s="15" t="n">
        <f aca="false">INDEX(lg_road_20GP,D41)</f>
        <v>17237</v>
      </c>
      <c r="Z41" s="15" t="n">
        <f aca="false">INT(Y41/H41)</f>
        <v>1443</v>
      </c>
      <c r="AA41" s="15" t="n">
        <f aca="false">Z41*J41</f>
        <v>72150</v>
      </c>
      <c r="AB41" s="42" t="n">
        <f aca="false">MIN(X41,AA41)</f>
        <v>24750</v>
      </c>
      <c r="AC41" s="8" t="str">
        <f aca="false">IF(X41&lt;=AA41,"Volume / geometry","Weight (US road limit)")</f>
        <v>Volume / geometry</v>
      </c>
      <c r="AD41" s="15" t="n">
        <f aca="false">AB41/J41*H41</f>
        <v>5909.186448</v>
      </c>
      <c r="AE41" s="26" t="n">
        <f aca="false">AB41/J41*I41/INDEX(lg_cube_20GP,D41)</f>
        <v>0.729868554216867</v>
      </c>
      <c r="AF41" s="26" t="n">
        <f aca="false">AD41/Y41</f>
        <v>0.34281989023612</v>
      </c>
      <c r="AG41" s="59" t="n">
        <v>22</v>
      </c>
      <c r="AH41" s="8" t="str">
        <f aca="false">IF(AG41&gt;R41,"WARN – DP finds "&amp;(AG41-R41)&amp;" more positions",IF(AG41=R41,"OK – pattern = DP optimum","OK – DP below pattern (check)"))</f>
        <v>OK – pattern = DP optimum</v>
      </c>
    </row>
    <row r="42" customFormat="false" ht="15" hidden="false" customHeight="false" outlineLevel="0" collapsed="false">
      <c r="A42" s="5" t="s">
        <v>16</v>
      </c>
      <c r="B42" s="9" t="s">
        <v>640</v>
      </c>
      <c r="C42" s="9" t="s">
        <v>103</v>
      </c>
      <c r="D42" s="9" t="n">
        <v>1</v>
      </c>
      <c r="E42" s="10" t="n">
        <f aca="false">INDEX(lg_a_3463,D42)</f>
        <v>1040</v>
      </c>
      <c r="F42" s="10" t="n">
        <f aca="false">INDEX(lg_b_3463,D42)</f>
        <v>523</v>
      </c>
      <c r="G42" s="54" t="n">
        <f aca="false">INDEX(lg_h_3463,D42)</f>
        <v>75</v>
      </c>
      <c r="H42" s="55" t="n">
        <f aca="false">INDEX(lg_bkg_3463,D42)</f>
        <v>9.964792</v>
      </c>
      <c r="I42" s="56" t="n">
        <f aca="false">INDEX(lg_bvol_3463,D42)</f>
        <v>0.040794</v>
      </c>
      <c r="J42" s="10" t="n">
        <f aca="false">INDEX(lg_n_3463,D42)</f>
        <v>50</v>
      </c>
      <c r="K42" s="15" t="n">
        <f aca="false">INDEX(lg_Lu_40GP,D42)</f>
        <v>11930</v>
      </c>
      <c r="L42" s="15" t="n">
        <f aca="false">INDEX(lg_Wu_40GP,D42)</f>
        <v>2330</v>
      </c>
      <c r="M42" s="15" t="n">
        <f aca="false">INDEX(lg_Hu_40GP,D42)</f>
        <v>2280</v>
      </c>
      <c r="N42" s="10" t="n">
        <f aca="false">INT(M42/G42)</f>
        <v>30</v>
      </c>
      <c r="O42" s="10" t="n">
        <f aca="false">INT(L42/F42)*INT(K42/E42)</f>
        <v>44</v>
      </c>
      <c r="P42" s="10" t="n">
        <f aca="false">IF(L42-E42&gt;=0,INT((L42-E42)/F42)*INT(K42/E42)+INT(K42/F42),0)</f>
        <v>44</v>
      </c>
      <c r="Q42" s="10" t="n">
        <f aca="false">IF(L42-2*E42&gt;=0,INT((L42-2*E42)/F42)*INT(K42/E42)+2*INT(K42/F42),0)</f>
        <v>44</v>
      </c>
      <c r="R42" s="58" t="n">
        <f aca="false">MAX(O42:Q42)</f>
        <v>44</v>
      </c>
      <c r="S42" s="10" t="n">
        <f aca="false">MATCH(R42,O42:Q42,0)-1</f>
        <v>0</v>
      </c>
      <c r="T42" s="15" t="n">
        <f aca="false">R42*N42</f>
        <v>1320</v>
      </c>
      <c r="U42" s="15" t="n">
        <f aca="false">T42*J42</f>
        <v>66000</v>
      </c>
      <c r="V42" s="26" t="n">
        <f aca="false">INDEX(in_use_efficiency,1,D42)</f>
        <v>0.97</v>
      </c>
      <c r="W42" s="15" t="n">
        <f aca="false">INT(T42*V42)</f>
        <v>1280</v>
      </c>
      <c r="X42" s="15" t="n">
        <f aca="false">W42*J42</f>
        <v>64000</v>
      </c>
      <c r="Y42" s="15" t="n">
        <f aca="false">INDEX(lg_road_40GP,D42)</f>
        <v>19958</v>
      </c>
      <c r="Z42" s="15" t="n">
        <f aca="false">INT(Y42/H42)</f>
        <v>2002</v>
      </c>
      <c r="AA42" s="15" t="n">
        <f aca="false">Z42*J42</f>
        <v>100100</v>
      </c>
      <c r="AB42" s="42" t="n">
        <f aca="false">MIN(X42,AA42)</f>
        <v>64000</v>
      </c>
      <c r="AC42" s="8" t="str">
        <f aca="false">IF(X42&lt;=AA42,"Volume / geometry","Weight (US road limit)")</f>
        <v>Volume / geometry</v>
      </c>
      <c r="AD42" s="15" t="n">
        <f aca="false">AB42/J42*H42</f>
        <v>12754.93376</v>
      </c>
      <c r="AE42" s="26" t="n">
        <f aca="false">AB42/J42*I42/INDEX(lg_cube_40GP,D42)</f>
        <v>0.771289807976366</v>
      </c>
      <c r="AF42" s="26" t="n">
        <f aca="false">AD42/Y42</f>
        <v>0.639088774426295</v>
      </c>
      <c r="AG42" s="59" t="n">
        <v>44</v>
      </c>
      <c r="AH42" s="8" t="str">
        <f aca="false">IF(AG42&gt;R42,"WARN – DP finds "&amp;(AG42-R42)&amp;" more positions",IF(AG42=R42,"OK – pattern = DP optimum","OK – DP below pattern (check)"))</f>
        <v>OK – pattern = DP optimum</v>
      </c>
    </row>
    <row r="43" customFormat="false" ht="15" hidden="false" customHeight="false" outlineLevel="0" collapsed="false">
      <c r="A43" s="5" t="s">
        <v>16</v>
      </c>
      <c r="B43" s="9" t="s">
        <v>640</v>
      </c>
      <c r="C43" s="9" t="s">
        <v>104</v>
      </c>
      <c r="D43" s="9" t="n">
        <v>2</v>
      </c>
      <c r="E43" s="10" t="n">
        <f aca="false">INDEX(lg_a_3463,D43)</f>
        <v>1040</v>
      </c>
      <c r="F43" s="10" t="n">
        <f aca="false">INDEX(lg_b_3463,D43)</f>
        <v>523</v>
      </c>
      <c r="G43" s="54" t="n">
        <f aca="false">INDEX(lg_h_3463,D43)</f>
        <v>80</v>
      </c>
      <c r="H43" s="55" t="n">
        <f aca="false">INDEX(lg_bkg_3463,D43)</f>
        <v>10.4580316</v>
      </c>
      <c r="I43" s="56" t="n">
        <f aca="false">INDEX(lg_bvol_3463,D43)</f>
        <v>0.0435136</v>
      </c>
      <c r="J43" s="10" t="n">
        <f aca="false">INDEX(lg_n_3463,D43)</f>
        <v>50</v>
      </c>
      <c r="K43" s="15" t="n">
        <f aca="false">INDEX(lg_Lu_40GP,D43)</f>
        <v>11930</v>
      </c>
      <c r="L43" s="15" t="n">
        <f aca="false">INDEX(lg_Wu_40GP,D43)</f>
        <v>2330</v>
      </c>
      <c r="M43" s="15" t="n">
        <f aca="false">INDEX(lg_Hu_40GP,D43)</f>
        <v>2280</v>
      </c>
      <c r="N43" s="10" t="n">
        <f aca="false">INT(M43/G43)</f>
        <v>28</v>
      </c>
      <c r="O43" s="10" t="n">
        <f aca="false">INT(L43/F43)*INT(K43/E43)</f>
        <v>44</v>
      </c>
      <c r="P43" s="10" t="n">
        <f aca="false">IF(L43-E43&gt;=0,INT((L43-E43)/F43)*INT(K43/E43)+INT(K43/F43),0)</f>
        <v>44</v>
      </c>
      <c r="Q43" s="10" t="n">
        <f aca="false">IF(L43-2*E43&gt;=0,INT((L43-2*E43)/F43)*INT(K43/E43)+2*INT(K43/F43),0)</f>
        <v>44</v>
      </c>
      <c r="R43" s="58" t="n">
        <f aca="false">MAX(O43:Q43)</f>
        <v>44</v>
      </c>
      <c r="S43" s="10" t="n">
        <f aca="false">MATCH(R43,O43:Q43,0)-1</f>
        <v>0</v>
      </c>
      <c r="T43" s="15" t="n">
        <f aca="false">R43*N43</f>
        <v>1232</v>
      </c>
      <c r="U43" s="15" t="n">
        <f aca="false">T43*J43</f>
        <v>61600</v>
      </c>
      <c r="V43" s="26" t="n">
        <f aca="false">INDEX(in_use_efficiency,1,D43)</f>
        <v>0.95</v>
      </c>
      <c r="W43" s="15" t="n">
        <f aca="false">INT(T43*V43)</f>
        <v>1170</v>
      </c>
      <c r="X43" s="15" t="n">
        <f aca="false">W43*J43</f>
        <v>58500</v>
      </c>
      <c r="Y43" s="15" t="n">
        <f aca="false">INDEX(lg_road_40GP,D43)</f>
        <v>19958</v>
      </c>
      <c r="Z43" s="15" t="n">
        <f aca="false">INT(Y43/H43)</f>
        <v>1908</v>
      </c>
      <c r="AA43" s="15" t="n">
        <f aca="false">Z43*J43</f>
        <v>95400</v>
      </c>
      <c r="AB43" s="42" t="n">
        <f aca="false">MIN(X43,AA43)</f>
        <v>58500</v>
      </c>
      <c r="AC43" s="8" t="str">
        <f aca="false">IF(X43&lt;=AA43,"Volume / geometry","Weight (US road limit)")</f>
        <v>Volume / geometry</v>
      </c>
      <c r="AD43" s="15" t="n">
        <f aca="false">AB43/J43*H43</f>
        <v>12235.896972</v>
      </c>
      <c r="AE43" s="26" t="n">
        <f aca="false">AB43/J43*I43/INDEX(lg_cube_40GP,D43)</f>
        <v>0.752007562776957</v>
      </c>
      <c r="AF43" s="26" t="n">
        <f aca="false">AD43/Y43</f>
        <v>0.613082321475098</v>
      </c>
      <c r="AG43" s="59" t="n">
        <v>44</v>
      </c>
      <c r="AH43" s="8" t="str">
        <f aca="false">IF(AG43&gt;R43,"WARN – DP finds "&amp;(AG43-R43)&amp;" more positions",IF(AG43=R43,"OK – pattern = DP optimum","OK – DP below pattern (check)"))</f>
        <v>OK – pattern = DP optimum</v>
      </c>
    </row>
    <row r="44" customFormat="false" ht="15" hidden="false" customHeight="false" outlineLevel="0" collapsed="false">
      <c r="A44" s="5" t="s">
        <v>16</v>
      </c>
      <c r="B44" s="9" t="s">
        <v>640</v>
      </c>
      <c r="C44" s="9" t="s">
        <v>105</v>
      </c>
      <c r="D44" s="9" t="n">
        <v>3</v>
      </c>
      <c r="E44" s="10" t="n">
        <f aca="false">INDEX(lg_a_3463,D44)</f>
        <v>1040</v>
      </c>
      <c r="F44" s="10" t="n">
        <f aca="false">INDEX(lg_b_3463,D44)</f>
        <v>523</v>
      </c>
      <c r="G44" s="54" t="n">
        <f aca="false">INDEX(lg_h_3463,D44)</f>
        <v>90</v>
      </c>
      <c r="H44" s="55" t="n">
        <f aca="false">INDEX(lg_bkg_3463,D44)</f>
        <v>11.9377504</v>
      </c>
      <c r="I44" s="56" t="n">
        <f aca="false">INDEX(lg_bvol_3463,D44)</f>
        <v>0.0489528</v>
      </c>
      <c r="J44" s="10" t="n">
        <f aca="false">INDEX(lg_n_3463,D44)</f>
        <v>50</v>
      </c>
      <c r="K44" s="15" t="n">
        <f aca="false">INDEX(lg_Lu_40GP,D44)</f>
        <v>11930</v>
      </c>
      <c r="L44" s="15" t="n">
        <f aca="false">INDEX(lg_Wu_40GP,D44)</f>
        <v>2330</v>
      </c>
      <c r="M44" s="15" t="n">
        <f aca="false">INDEX(lg_Hu_40GP,D44)</f>
        <v>2280</v>
      </c>
      <c r="N44" s="10" t="n">
        <f aca="false">INT(M44/G44)</f>
        <v>25</v>
      </c>
      <c r="O44" s="10" t="n">
        <f aca="false">INT(L44/F44)*INT(K44/E44)</f>
        <v>44</v>
      </c>
      <c r="P44" s="10" t="n">
        <f aca="false">IF(L44-E44&gt;=0,INT((L44-E44)/F44)*INT(K44/E44)+INT(K44/F44),0)</f>
        <v>44</v>
      </c>
      <c r="Q44" s="10" t="n">
        <f aca="false">IF(L44-2*E44&gt;=0,INT((L44-2*E44)/F44)*INT(K44/E44)+2*INT(K44/F44),0)</f>
        <v>44</v>
      </c>
      <c r="R44" s="58" t="n">
        <f aca="false">MAX(O44:Q44)</f>
        <v>44</v>
      </c>
      <c r="S44" s="10" t="n">
        <f aca="false">MATCH(R44,O44:Q44,0)-1</f>
        <v>0</v>
      </c>
      <c r="T44" s="15" t="n">
        <f aca="false">R44*N44</f>
        <v>1100</v>
      </c>
      <c r="U44" s="15" t="n">
        <f aca="false">T44*J44</f>
        <v>55000</v>
      </c>
      <c r="V44" s="26" t="n">
        <f aca="false">INDEX(in_use_efficiency,1,D44)</f>
        <v>0.9</v>
      </c>
      <c r="W44" s="15" t="n">
        <f aca="false">INT(T44*V44)</f>
        <v>990</v>
      </c>
      <c r="X44" s="15" t="n">
        <f aca="false">W44*J44</f>
        <v>49500</v>
      </c>
      <c r="Y44" s="15" t="n">
        <f aca="false">INDEX(lg_road_40GP,D44)</f>
        <v>19958</v>
      </c>
      <c r="Z44" s="15" t="n">
        <f aca="false">INT(Y44/H44)</f>
        <v>1671</v>
      </c>
      <c r="AA44" s="15" t="n">
        <f aca="false">Z44*J44</f>
        <v>83550</v>
      </c>
      <c r="AB44" s="42" t="n">
        <f aca="false">MIN(X44,AA44)</f>
        <v>49500</v>
      </c>
      <c r="AC44" s="8" t="str">
        <f aca="false">IF(X44&lt;=AA44,"Volume / geometry","Weight (US road limit)")</f>
        <v>Volume / geometry</v>
      </c>
      <c r="AD44" s="15" t="n">
        <f aca="false">AB44/J44*H44</f>
        <v>11818.372896</v>
      </c>
      <c r="AE44" s="26" t="n">
        <f aca="false">AB44/J44*I44/INDEX(lg_cube_40GP,D44)</f>
        <v>0.715853353028065</v>
      </c>
      <c r="AF44" s="26" t="n">
        <f aca="false">AD44/Y44</f>
        <v>0.592162185389318</v>
      </c>
      <c r="AG44" s="59" t="n">
        <v>44</v>
      </c>
      <c r="AH44" s="8" t="str">
        <f aca="false">IF(AG44&gt;R44,"WARN – DP finds "&amp;(AG44-R44)&amp;" more positions",IF(AG44=R44,"OK – pattern = DP optimum","OK – DP below pattern (check)"))</f>
        <v>OK – pattern = DP optimum</v>
      </c>
    </row>
    <row r="45" customFormat="false" ht="15" hidden="false" customHeight="false" outlineLevel="0" collapsed="false">
      <c r="A45" s="5" t="s">
        <v>16</v>
      </c>
      <c r="B45" s="9" t="s">
        <v>643</v>
      </c>
      <c r="C45" s="9" t="s">
        <v>103</v>
      </c>
      <c r="D45" s="9" t="n">
        <v>1</v>
      </c>
      <c r="E45" s="10" t="n">
        <f aca="false">INDEX(lg_a_3463,D45)</f>
        <v>1040</v>
      </c>
      <c r="F45" s="10" t="n">
        <f aca="false">INDEX(lg_b_3463,D45)</f>
        <v>523</v>
      </c>
      <c r="G45" s="54" t="n">
        <f aca="false">INDEX(lg_h_3463,D45)</f>
        <v>75</v>
      </c>
      <c r="H45" s="55" t="n">
        <f aca="false">INDEX(lg_bkg_3463,D45)</f>
        <v>9.964792</v>
      </c>
      <c r="I45" s="56" t="n">
        <f aca="false">INDEX(lg_bvol_3463,D45)</f>
        <v>0.040794</v>
      </c>
      <c r="J45" s="10" t="n">
        <f aca="false">INDEX(lg_n_3463,D45)</f>
        <v>50</v>
      </c>
      <c r="K45" s="15" t="n">
        <f aca="false">INDEX(lg_Lu_40HC,D45)</f>
        <v>11930</v>
      </c>
      <c r="L45" s="15" t="n">
        <f aca="false">INDEX(lg_Wu_40HC,D45)</f>
        <v>2330</v>
      </c>
      <c r="M45" s="15" t="n">
        <f aca="false">INDEX(lg_Hu_40HC,D45)</f>
        <v>2580</v>
      </c>
      <c r="N45" s="10" t="n">
        <f aca="false">INT(M45/G45)</f>
        <v>34</v>
      </c>
      <c r="O45" s="10" t="n">
        <f aca="false">INT(L45/F45)*INT(K45/E45)</f>
        <v>44</v>
      </c>
      <c r="P45" s="10" t="n">
        <f aca="false">IF(L45-E45&gt;=0,INT((L45-E45)/F45)*INT(K45/E45)+INT(K45/F45),0)</f>
        <v>44</v>
      </c>
      <c r="Q45" s="10" t="n">
        <f aca="false">IF(L45-2*E45&gt;=0,INT((L45-2*E45)/F45)*INT(K45/E45)+2*INT(K45/F45),0)</f>
        <v>44</v>
      </c>
      <c r="R45" s="58" t="n">
        <f aca="false">MAX(O45:Q45)</f>
        <v>44</v>
      </c>
      <c r="S45" s="10" t="n">
        <f aca="false">MATCH(R45,O45:Q45,0)-1</f>
        <v>0</v>
      </c>
      <c r="T45" s="15" t="n">
        <f aca="false">R45*N45</f>
        <v>1496</v>
      </c>
      <c r="U45" s="15" t="n">
        <f aca="false">T45*J45</f>
        <v>74800</v>
      </c>
      <c r="V45" s="26" t="n">
        <f aca="false">INDEX(in_use_efficiency,1,D45)</f>
        <v>0.97</v>
      </c>
      <c r="W45" s="15" t="n">
        <f aca="false">INT(T45*V45)</f>
        <v>1451</v>
      </c>
      <c r="X45" s="15" t="n">
        <f aca="false">W45*J45</f>
        <v>72550</v>
      </c>
      <c r="Y45" s="15" t="n">
        <f aca="false">INDEX(lg_road_40HC,D45)</f>
        <v>19958</v>
      </c>
      <c r="Z45" s="15" t="n">
        <f aca="false">INT(Y45/H45)</f>
        <v>2002</v>
      </c>
      <c r="AA45" s="15" t="n">
        <f aca="false">Z45*J45</f>
        <v>100100</v>
      </c>
      <c r="AB45" s="42" t="n">
        <f aca="false">MIN(X45,AA45)</f>
        <v>72550</v>
      </c>
      <c r="AC45" s="8" t="str">
        <f aca="false">IF(X45&lt;=AA45,"Volume / geometry","Weight (US road limit)")</f>
        <v>Volume / geometry</v>
      </c>
      <c r="AD45" s="15" t="n">
        <f aca="false">AB45/J45*H45</f>
        <v>14458.913192</v>
      </c>
      <c r="AE45" s="26" t="n">
        <f aca="false">AB45/J45*I45/INDEX(lg_cube_40HC,D45)</f>
        <v>0.774765628272251</v>
      </c>
      <c r="AF45" s="26" t="n">
        <f aca="false">AD45/Y45</f>
        <v>0.724467040384808</v>
      </c>
      <c r="AG45" s="59" t="n">
        <v>44</v>
      </c>
      <c r="AH45" s="8" t="str">
        <f aca="false">IF(AG45&gt;R45,"WARN – DP finds "&amp;(AG45-R45)&amp;" more positions",IF(AG45=R45,"OK – pattern = DP optimum","OK – DP below pattern (check)"))</f>
        <v>OK – pattern = DP optimum</v>
      </c>
    </row>
    <row r="46" customFormat="false" ht="15" hidden="false" customHeight="false" outlineLevel="0" collapsed="false">
      <c r="A46" s="5" t="s">
        <v>16</v>
      </c>
      <c r="B46" s="9" t="s">
        <v>643</v>
      </c>
      <c r="C46" s="9" t="s">
        <v>104</v>
      </c>
      <c r="D46" s="9" t="n">
        <v>2</v>
      </c>
      <c r="E46" s="10" t="n">
        <f aca="false">INDEX(lg_a_3463,D46)</f>
        <v>1040</v>
      </c>
      <c r="F46" s="10" t="n">
        <f aca="false">INDEX(lg_b_3463,D46)</f>
        <v>523</v>
      </c>
      <c r="G46" s="54" t="n">
        <f aca="false">INDEX(lg_h_3463,D46)</f>
        <v>80</v>
      </c>
      <c r="H46" s="55" t="n">
        <f aca="false">INDEX(lg_bkg_3463,D46)</f>
        <v>10.4580316</v>
      </c>
      <c r="I46" s="56" t="n">
        <f aca="false">INDEX(lg_bvol_3463,D46)</f>
        <v>0.0435136</v>
      </c>
      <c r="J46" s="10" t="n">
        <f aca="false">INDEX(lg_n_3463,D46)</f>
        <v>50</v>
      </c>
      <c r="K46" s="15" t="n">
        <f aca="false">INDEX(lg_Lu_40HC,D46)</f>
        <v>11930</v>
      </c>
      <c r="L46" s="15" t="n">
        <f aca="false">INDEX(lg_Wu_40HC,D46)</f>
        <v>2330</v>
      </c>
      <c r="M46" s="15" t="n">
        <f aca="false">INDEX(lg_Hu_40HC,D46)</f>
        <v>2580</v>
      </c>
      <c r="N46" s="10" t="n">
        <f aca="false">INT(M46/G46)</f>
        <v>32</v>
      </c>
      <c r="O46" s="10" t="n">
        <f aca="false">INT(L46/F46)*INT(K46/E46)</f>
        <v>44</v>
      </c>
      <c r="P46" s="10" t="n">
        <f aca="false">IF(L46-E46&gt;=0,INT((L46-E46)/F46)*INT(K46/E46)+INT(K46/F46),0)</f>
        <v>44</v>
      </c>
      <c r="Q46" s="10" t="n">
        <f aca="false">IF(L46-2*E46&gt;=0,INT((L46-2*E46)/F46)*INT(K46/E46)+2*INT(K46/F46),0)</f>
        <v>44</v>
      </c>
      <c r="R46" s="58" t="n">
        <f aca="false">MAX(O46:Q46)</f>
        <v>44</v>
      </c>
      <c r="S46" s="10" t="n">
        <f aca="false">MATCH(R46,O46:Q46,0)-1</f>
        <v>0</v>
      </c>
      <c r="T46" s="15" t="n">
        <f aca="false">R46*N46</f>
        <v>1408</v>
      </c>
      <c r="U46" s="15" t="n">
        <f aca="false">T46*J46</f>
        <v>70400</v>
      </c>
      <c r="V46" s="26" t="n">
        <f aca="false">INDEX(in_use_efficiency,1,D46)</f>
        <v>0.95</v>
      </c>
      <c r="W46" s="15" t="n">
        <f aca="false">INT(T46*V46)</f>
        <v>1337</v>
      </c>
      <c r="X46" s="15" t="n">
        <f aca="false">W46*J46</f>
        <v>66850</v>
      </c>
      <c r="Y46" s="15" t="n">
        <f aca="false">INDEX(lg_road_40HC,D46)</f>
        <v>19958</v>
      </c>
      <c r="Z46" s="15" t="n">
        <f aca="false">INT(Y46/H46)</f>
        <v>1908</v>
      </c>
      <c r="AA46" s="15" t="n">
        <f aca="false">Z46*J46</f>
        <v>95400</v>
      </c>
      <c r="AB46" s="42" t="n">
        <f aca="false">MIN(X46,AA46)</f>
        <v>66850</v>
      </c>
      <c r="AC46" s="8" t="str">
        <f aca="false">IF(X46&lt;=AA46,"Volume / geometry","Weight (US road limit)")</f>
        <v>Volume / geometry</v>
      </c>
      <c r="AD46" s="15" t="n">
        <f aca="false">AB46/J46*H46</f>
        <v>13982.3882492</v>
      </c>
      <c r="AE46" s="26" t="n">
        <f aca="false">AB46/J46*I46/INDEX(lg_cube_40HC,D46)</f>
        <v>0.761488</v>
      </c>
      <c r="AF46" s="26" t="n">
        <f aca="false">AD46/Y46</f>
        <v>0.700590652830945</v>
      </c>
      <c r="AG46" s="59" t="n">
        <v>44</v>
      </c>
      <c r="AH46" s="8" t="str">
        <f aca="false">IF(AG46&gt;R46,"WARN – DP finds "&amp;(AG46-R46)&amp;" more positions",IF(AG46=R46,"OK – pattern = DP optimum","OK – DP below pattern (check)"))</f>
        <v>OK – pattern = DP optimum</v>
      </c>
    </row>
    <row r="47" customFormat="false" ht="15" hidden="false" customHeight="false" outlineLevel="0" collapsed="false">
      <c r="A47" s="5" t="s">
        <v>16</v>
      </c>
      <c r="B47" s="9" t="s">
        <v>643</v>
      </c>
      <c r="C47" s="9" t="s">
        <v>105</v>
      </c>
      <c r="D47" s="9" t="n">
        <v>3</v>
      </c>
      <c r="E47" s="10" t="n">
        <f aca="false">INDEX(lg_a_3463,D47)</f>
        <v>1040</v>
      </c>
      <c r="F47" s="10" t="n">
        <f aca="false">INDEX(lg_b_3463,D47)</f>
        <v>523</v>
      </c>
      <c r="G47" s="54" t="n">
        <f aca="false">INDEX(lg_h_3463,D47)</f>
        <v>90</v>
      </c>
      <c r="H47" s="55" t="n">
        <f aca="false">INDEX(lg_bkg_3463,D47)</f>
        <v>11.9377504</v>
      </c>
      <c r="I47" s="56" t="n">
        <f aca="false">INDEX(lg_bvol_3463,D47)</f>
        <v>0.0489528</v>
      </c>
      <c r="J47" s="10" t="n">
        <f aca="false">INDEX(lg_n_3463,D47)</f>
        <v>50</v>
      </c>
      <c r="K47" s="15" t="n">
        <f aca="false">INDEX(lg_Lu_40HC,D47)</f>
        <v>11930</v>
      </c>
      <c r="L47" s="15" t="n">
        <f aca="false">INDEX(lg_Wu_40HC,D47)</f>
        <v>2330</v>
      </c>
      <c r="M47" s="15" t="n">
        <f aca="false">INDEX(lg_Hu_40HC,D47)</f>
        <v>2580</v>
      </c>
      <c r="N47" s="10" t="n">
        <f aca="false">INT(M47/G47)</f>
        <v>28</v>
      </c>
      <c r="O47" s="10" t="n">
        <f aca="false">INT(L47/F47)*INT(K47/E47)</f>
        <v>44</v>
      </c>
      <c r="P47" s="10" t="n">
        <f aca="false">IF(L47-E47&gt;=0,INT((L47-E47)/F47)*INT(K47/E47)+INT(K47/F47),0)</f>
        <v>44</v>
      </c>
      <c r="Q47" s="10" t="n">
        <f aca="false">IF(L47-2*E47&gt;=0,INT((L47-2*E47)/F47)*INT(K47/E47)+2*INT(K47/F47),0)</f>
        <v>44</v>
      </c>
      <c r="R47" s="58" t="n">
        <f aca="false">MAX(O47:Q47)</f>
        <v>44</v>
      </c>
      <c r="S47" s="10" t="n">
        <f aca="false">MATCH(R47,O47:Q47,0)-1</f>
        <v>0</v>
      </c>
      <c r="T47" s="15" t="n">
        <f aca="false">R47*N47</f>
        <v>1232</v>
      </c>
      <c r="U47" s="15" t="n">
        <f aca="false">T47*J47</f>
        <v>61600</v>
      </c>
      <c r="V47" s="26" t="n">
        <f aca="false">INDEX(in_use_efficiency,1,D47)</f>
        <v>0.9</v>
      </c>
      <c r="W47" s="15" t="n">
        <f aca="false">INT(T47*V47)</f>
        <v>1108</v>
      </c>
      <c r="X47" s="15" t="n">
        <f aca="false">W47*J47</f>
        <v>55400</v>
      </c>
      <c r="Y47" s="15" t="n">
        <f aca="false">INDEX(lg_road_40HC,D47)</f>
        <v>19958</v>
      </c>
      <c r="Z47" s="15" t="n">
        <f aca="false">INT(Y47/H47)</f>
        <v>1671</v>
      </c>
      <c r="AA47" s="15" t="n">
        <f aca="false">Z47*J47</f>
        <v>83550</v>
      </c>
      <c r="AB47" s="42" t="n">
        <f aca="false">MIN(X47,AA47)</f>
        <v>55400</v>
      </c>
      <c r="AC47" s="8" t="str">
        <f aca="false">IF(X47&lt;=AA47,"Volume / geometry","Weight (US road limit)")</f>
        <v>Volume / geometry</v>
      </c>
      <c r="AD47" s="15" t="n">
        <f aca="false">AB47/J47*H47</f>
        <v>13227.0274432</v>
      </c>
      <c r="AE47" s="26" t="n">
        <f aca="false">AB47/J47*I47/INDEX(lg_cube_40HC,D47)</f>
        <v>0.709943748691099</v>
      </c>
      <c r="AF47" s="26" t="n">
        <f aca="false">AD47/Y47</f>
        <v>0.662743132738751</v>
      </c>
      <c r="AG47" s="59" t="n">
        <v>44</v>
      </c>
      <c r="AH47" s="8" t="str">
        <f aca="false">IF(AG47&gt;R47,"WARN – DP finds "&amp;(AG47-R47)&amp;" more positions",IF(AG47=R47,"OK – pattern = DP optimum","OK – DP below pattern (check)"))</f>
        <v>OK – pattern = DP optimum</v>
      </c>
    </row>
    <row r="48" customFormat="false" ht="15" hidden="false" customHeight="false" outlineLevel="0" collapsed="false">
      <c r="A48" s="5" t="s">
        <v>17</v>
      </c>
      <c r="B48" s="9" t="s">
        <v>636</v>
      </c>
      <c r="C48" s="9" t="s">
        <v>103</v>
      </c>
      <c r="D48" s="9" t="n">
        <v>1</v>
      </c>
      <c r="E48" s="10" t="n">
        <f aca="false">INDEX(lg_a_3460,D48)</f>
        <v>840</v>
      </c>
      <c r="F48" s="10" t="n">
        <f aca="false">INDEX(lg_b_3460,D48)</f>
        <v>423</v>
      </c>
      <c r="G48" s="54" t="n">
        <f aca="false">INDEX(lg_h_3460,D48)</f>
        <v>75</v>
      </c>
      <c r="H48" s="55" t="n">
        <f aca="false">INDEX(lg_bkg_3460,D48)</f>
        <v>6.522152</v>
      </c>
      <c r="I48" s="56" t="n">
        <f aca="false">INDEX(lg_bvol_3460,D48)</f>
        <v>0.026649</v>
      </c>
      <c r="J48" s="10" t="n">
        <f aca="false">INDEX(lg_n_3460,D48)</f>
        <v>50</v>
      </c>
      <c r="K48" s="15" t="n">
        <f aca="false">INDEX(lg_Lu_20GP,D48)</f>
        <v>5800</v>
      </c>
      <c r="L48" s="15" t="n">
        <f aca="false">INDEX(lg_Wu_20GP,D48)</f>
        <v>2330</v>
      </c>
      <c r="M48" s="15" t="n">
        <f aca="false">INDEX(lg_Hu_20GP,D48)</f>
        <v>2280</v>
      </c>
      <c r="N48" s="10" t="n">
        <f aca="false">INT(M48/G48)</f>
        <v>30</v>
      </c>
      <c r="O48" s="10" t="n">
        <f aca="false">INT(L48/F48)*INT(K48/E48)</f>
        <v>30</v>
      </c>
      <c r="P48" s="10" t="n">
        <f aca="false">IF(L48-E48&gt;=0,INT((L48-E48)/F48)*INT(K48/E48)+INT(K48/F48),0)</f>
        <v>31</v>
      </c>
      <c r="Q48" s="10" t="n">
        <f aca="false">IF(L48-2*E48&gt;=0,INT((L48-2*E48)/F48)*INT(K48/E48)+2*INT(K48/F48),0)</f>
        <v>32</v>
      </c>
      <c r="R48" s="58" t="n">
        <f aca="false">MAX(O48:Q48)</f>
        <v>32</v>
      </c>
      <c r="S48" s="10" t="n">
        <f aca="false">MATCH(R48,O48:Q48,0)-1</f>
        <v>2</v>
      </c>
      <c r="T48" s="15" t="n">
        <f aca="false">R48*N48</f>
        <v>960</v>
      </c>
      <c r="U48" s="15" t="n">
        <f aca="false">T48*J48</f>
        <v>48000</v>
      </c>
      <c r="V48" s="26" t="n">
        <f aca="false">INDEX(in_use_efficiency,1,D48)</f>
        <v>0.97</v>
      </c>
      <c r="W48" s="15" t="n">
        <f aca="false">INT(T48*V48)</f>
        <v>931</v>
      </c>
      <c r="X48" s="15" t="n">
        <f aca="false">W48*J48</f>
        <v>46550</v>
      </c>
      <c r="Y48" s="15" t="n">
        <f aca="false">INDEX(lg_road_20GP,D48)</f>
        <v>17237</v>
      </c>
      <c r="Z48" s="15" t="n">
        <f aca="false">INT(Y48/H48)</f>
        <v>2642</v>
      </c>
      <c r="AA48" s="15" t="n">
        <f aca="false">Z48*J48</f>
        <v>132100</v>
      </c>
      <c r="AB48" s="42" t="n">
        <f aca="false">MIN(X48,AA48)</f>
        <v>46550</v>
      </c>
      <c r="AC48" s="8" t="str">
        <f aca="false">IF(X48&lt;=AA48,"Volume / geometry","Weight (US road limit)")</f>
        <v>Volume / geometry</v>
      </c>
      <c r="AD48" s="15" t="n">
        <f aca="false">AB48/J48*H48</f>
        <v>6072.123512</v>
      </c>
      <c r="AE48" s="26" t="n">
        <f aca="false">AB48/J48*I48/INDEX(lg_cube_20GP,D48)</f>
        <v>0.747295753012048</v>
      </c>
      <c r="AF48" s="26" t="n">
        <f aca="false">AD48/Y48</f>
        <v>0.352272640946801</v>
      </c>
      <c r="AG48" s="59" t="n">
        <v>32</v>
      </c>
      <c r="AH48" s="8" t="str">
        <f aca="false">IF(AG48&gt;R48,"WARN – DP finds "&amp;(AG48-R48)&amp;" more positions",IF(AG48=R48,"OK – pattern = DP optimum","OK – DP below pattern (check)"))</f>
        <v>OK – pattern = DP optimum</v>
      </c>
    </row>
    <row r="49" customFormat="false" ht="15" hidden="false" customHeight="false" outlineLevel="0" collapsed="false">
      <c r="A49" s="5" t="s">
        <v>17</v>
      </c>
      <c r="B49" s="9" t="s">
        <v>636</v>
      </c>
      <c r="C49" s="9" t="s">
        <v>104</v>
      </c>
      <c r="D49" s="9" t="n">
        <v>2</v>
      </c>
      <c r="E49" s="10" t="n">
        <f aca="false">INDEX(lg_a_3460,D49)</f>
        <v>840</v>
      </c>
      <c r="F49" s="10" t="n">
        <f aca="false">INDEX(lg_b_3460,D49)</f>
        <v>423</v>
      </c>
      <c r="G49" s="54" t="n">
        <f aca="false">INDEX(lg_h_3460,D49)</f>
        <v>80</v>
      </c>
      <c r="H49" s="55" t="n">
        <f aca="false">INDEX(lg_bkg_3460,D49)</f>
        <v>6.8432596</v>
      </c>
      <c r="I49" s="56" t="n">
        <f aca="false">INDEX(lg_bvol_3460,D49)</f>
        <v>0.0284256</v>
      </c>
      <c r="J49" s="10" t="n">
        <f aca="false">INDEX(lg_n_3460,D49)</f>
        <v>50</v>
      </c>
      <c r="K49" s="15" t="n">
        <f aca="false">INDEX(lg_Lu_20GP,D49)</f>
        <v>5800</v>
      </c>
      <c r="L49" s="15" t="n">
        <f aca="false">INDEX(lg_Wu_20GP,D49)</f>
        <v>2330</v>
      </c>
      <c r="M49" s="15" t="n">
        <f aca="false">INDEX(lg_Hu_20GP,D49)</f>
        <v>2280</v>
      </c>
      <c r="N49" s="10" t="n">
        <f aca="false">INT(M49/G49)</f>
        <v>28</v>
      </c>
      <c r="O49" s="10" t="n">
        <f aca="false">INT(L49/F49)*INT(K49/E49)</f>
        <v>30</v>
      </c>
      <c r="P49" s="10" t="n">
        <f aca="false">IF(L49-E49&gt;=0,INT((L49-E49)/F49)*INT(K49/E49)+INT(K49/F49),0)</f>
        <v>31</v>
      </c>
      <c r="Q49" s="10" t="n">
        <f aca="false">IF(L49-2*E49&gt;=0,INT((L49-2*E49)/F49)*INT(K49/E49)+2*INT(K49/F49),0)</f>
        <v>32</v>
      </c>
      <c r="R49" s="58" t="n">
        <f aca="false">MAX(O49:Q49)</f>
        <v>32</v>
      </c>
      <c r="S49" s="10" t="n">
        <f aca="false">MATCH(R49,O49:Q49,0)-1</f>
        <v>2</v>
      </c>
      <c r="T49" s="15" t="n">
        <f aca="false">R49*N49</f>
        <v>896</v>
      </c>
      <c r="U49" s="15" t="n">
        <f aca="false">T49*J49</f>
        <v>44800</v>
      </c>
      <c r="V49" s="26" t="n">
        <f aca="false">INDEX(in_use_efficiency,1,D49)</f>
        <v>0.95</v>
      </c>
      <c r="W49" s="15" t="n">
        <f aca="false">INT(T49*V49)</f>
        <v>851</v>
      </c>
      <c r="X49" s="15" t="n">
        <f aca="false">W49*J49</f>
        <v>42550</v>
      </c>
      <c r="Y49" s="15" t="n">
        <f aca="false">INDEX(lg_road_20GP,D49)</f>
        <v>17237</v>
      </c>
      <c r="Z49" s="15" t="n">
        <f aca="false">INT(Y49/H49)</f>
        <v>2518</v>
      </c>
      <c r="AA49" s="15" t="n">
        <f aca="false">Z49*J49</f>
        <v>125900</v>
      </c>
      <c r="AB49" s="42" t="n">
        <f aca="false">MIN(X49,AA49)</f>
        <v>42550</v>
      </c>
      <c r="AC49" s="8" t="str">
        <f aca="false">IF(X49&lt;=AA49,"Volume / geometry","Weight (US road limit)")</f>
        <v>Volume / geometry</v>
      </c>
      <c r="AD49" s="15" t="n">
        <f aca="false">AB49/J49*H49</f>
        <v>5823.6139196</v>
      </c>
      <c r="AE49" s="26" t="n">
        <f aca="false">AB49/J49*I49/INDEX(lg_cube_20GP,D49)</f>
        <v>0.728620048192771</v>
      </c>
      <c r="AF49" s="26" t="n">
        <f aca="false">AD49/Y49</f>
        <v>0.337855422614144</v>
      </c>
      <c r="AG49" s="59" t="n">
        <v>32</v>
      </c>
      <c r="AH49" s="8" t="str">
        <f aca="false">IF(AG49&gt;R49,"WARN – DP finds "&amp;(AG49-R49)&amp;" more positions",IF(AG49=R49,"OK – pattern = DP optimum","OK – DP below pattern (check)"))</f>
        <v>OK – pattern = DP optimum</v>
      </c>
    </row>
    <row r="50" customFormat="false" ht="15" hidden="false" customHeight="false" outlineLevel="0" collapsed="false">
      <c r="A50" s="5" t="s">
        <v>17</v>
      </c>
      <c r="B50" s="9" t="s">
        <v>636</v>
      </c>
      <c r="C50" s="9" t="s">
        <v>105</v>
      </c>
      <c r="D50" s="9" t="n">
        <v>3</v>
      </c>
      <c r="E50" s="10" t="n">
        <f aca="false">INDEX(lg_a_3460,D50)</f>
        <v>840</v>
      </c>
      <c r="F50" s="10" t="n">
        <f aca="false">INDEX(lg_b_3460,D50)</f>
        <v>423</v>
      </c>
      <c r="G50" s="54" t="n">
        <f aca="false">INDEX(lg_h_3460,D50)</f>
        <v>90</v>
      </c>
      <c r="H50" s="55" t="n">
        <f aca="false">INDEX(lg_bkg_3460,D50)</f>
        <v>7.8065824</v>
      </c>
      <c r="I50" s="56" t="n">
        <f aca="false">INDEX(lg_bvol_3460,D50)</f>
        <v>0.0319788</v>
      </c>
      <c r="J50" s="10" t="n">
        <f aca="false">INDEX(lg_n_3460,D50)</f>
        <v>50</v>
      </c>
      <c r="K50" s="15" t="n">
        <f aca="false">INDEX(lg_Lu_20GP,D50)</f>
        <v>5800</v>
      </c>
      <c r="L50" s="15" t="n">
        <f aca="false">INDEX(lg_Wu_20GP,D50)</f>
        <v>2330</v>
      </c>
      <c r="M50" s="15" t="n">
        <f aca="false">INDEX(lg_Hu_20GP,D50)</f>
        <v>2280</v>
      </c>
      <c r="N50" s="10" t="n">
        <f aca="false">INT(M50/G50)</f>
        <v>25</v>
      </c>
      <c r="O50" s="10" t="n">
        <f aca="false">INT(L50/F50)*INT(K50/E50)</f>
        <v>30</v>
      </c>
      <c r="P50" s="10" t="n">
        <f aca="false">IF(L50-E50&gt;=0,INT((L50-E50)/F50)*INT(K50/E50)+INT(K50/F50),0)</f>
        <v>31</v>
      </c>
      <c r="Q50" s="10" t="n">
        <f aca="false">IF(L50-2*E50&gt;=0,INT((L50-2*E50)/F50)*INT(K50/E50)+2*INT(K50/F50),0)</f>
        <v>32</v>
      </c>
      <c r="R50" s="58" t="n">
        <f aca="false">MAX(O50:Q50)</f>
        <v>32</v>
      </c>
      <c r="S50" s="10" t="n">
        <f aca="false">MATCH(R50,O50:Q50,0)-1</f>
        <v>2</v>
      </c>
      <c r="T50" s="15" t="n">
        <f aca="false">R50*N50</f>
        <v>800</v>
      </c>
      <c r="U50" s="15" t="n">
        <f aca="false">T50*J50</f>
        <v>40000</v>
      </c>
      <c r="V50" s="26" t="n">
        <f aca="false">INDEX(in_use_efficiency,1,D50)</f>
        <v>0.9</v>
      </c>
      <c r="W50" s="15" t="n">
        <f aca="false">INT(T50*V50)</f>
        <v>720</v>
      </c>
      <c r="X50" s="15" t="n">
        <f aca="false">W50*J50</f>
        <v>36000</v>
      </c>
      <c r="Y50" s="15" t="n">
        <f aca="false">INDEX(lg_road_20GP,D50)</f>
        <v>17237</v>
      </c>
      <c r="Z50" s="15" t="n">
        <f aca="false">INT(Y50/H50)</f>
        <v>2208</v>
      </c>
      <c r="AA50" s="15" t="n">
        <f aca="false">Z50*J50</f>
        <v>110400</v>
      </c>
      <c r="AB50" s="42" t="n">
        <f aca="false">MIN(X50,AA50)</f>
        <v>36000</v>
      </c>
      <c r="AC50" s="8" t="str">
        <f aca="false">IF(X50&lt;=AA50,"Volume / geometry","Weight (US road limit)")</f>
        <v>Volume / geometry</v>
      </c>
      <c r="AD50" s="15" t="n">
        <f aca="false">AB50/J50*H50</f>
        <v>5620.739328</v>
      </c>
      <c r="AE50" s="26" t="n">
        <f aca="false">AB50/J50*I50/INDEX(lg_cube_20GP,D50)</f>
        <v>0.693516144578313</v>
      </c>
      <c r="AF50" s="26" t="n">
        <f aca="false">AD50/Y50</f>
        <v>0.326085706793526</v>
      </c>
      <c r="AG50" s="59" t="n">
        <v>32</v>
      </c>
      <c r="AH50" s="8" t="str">
        <f aca="false">IF(AG50&gt;R50,"WARN – DP finds "&amp;(AG50-R50)&amp;" more positions",IF(AG50=R50,"OK – pattern = DP optimum","OK – DP below pattern (check)"))</f>
        <v>OK – pattern = DP optimum</v>
      </c>
    </row>
    <row r="51" customFormat="false" ht="15" hidden="false" customHeight="false" outlineLevel="0" collapsed="false">
      <c r="A51" s="5" t="s">
        <v>17</v>
      </c>
      <c r="B51" s="9" t="s">
        <v>640</v>
      </c>
      <c r="C51" s="9" t="s">
        <v>103</v>
      </c>
      <c r="D51" s="9" t="n">
        <v>1</v>
      </c>
      <c r="E51" s="10" t="n">
        <f aca="false">INDEX(lg_a_3460,D51)</f>
        <v>840</v>
      </c>
      <c r="F51" s="10" t="n">
        <f aca="false">INDEX(lg_b_3460,D51)</f>
        <v>423</v>
      </c>
      <c r="G51" s="54" t="n">
        <f aca="false">INDEX(lg_h_3460,D51)</f>
        <v>75</v>
      </c>
      <c r="H51" s="55" t="n">
        <f aca="false">INDEX(lg_bkg_3460,D51)</f>
        <v>6.522152</v>
      </c>
      <c r="I51" s="56" t="n">
        <f aca="false">INDEX(lg_bvol_3460,D51)</f>
        <v>0.026649</v>
      </c>
      <c r="J51" s="10" t="n">
        <f aca="false">INDEX(lg_n_3460,D51)</f>
        <v>50</v>
      </c>
      <c r="K51" s="15" t="n">
        <f aca="false">INDEX(lg_Lu_40GP,D51)</f>
        <v>11930</v>
      </c>
      <c r="L51" s="15" t="n">
        <f aca="false">INDEX(lg_Wu_40GP,D51)</f>
        <v>2330</v>
      </c>
      <c r="M51" s="15" t="n">
        <f aca="false">INDEX(lg_Hu_40GP,D51)</f>
        <v>2280</v>
      </c>
      <c r="N51" s="10" t="n">
        <f aca="false">INT(M51/G51)</f>
        <v>30</v>
      </c>
      <c r="O51" s="10" t="n">
        <f aca="false">INT(L51/F51)*INT(K51/E51)</f>
        <v>70</v>
      </c>
      <c r="P51" s="10" t="n">
        <f aca="false">IF(L51-E51&gt;=0,INT((L51-E51)/F51)*INT(K51/E51)+INT(K51/F51),0)</f>
        <v>70</v>
      </c>
      <c r="Q51" s="10" t="n">
        <f aca="false">IF(L51-2*E51&gt;=0,INT((L51-2*E51)/F51)*INT(K51/E51)+2*INT(K51/F51),0)</f>
        <v>70</v>
      </c>
      <c r="R51" s="58" t="n">
        <f aca="false">MAX(O51:Q51)</f>
        <v>70</v>
      </c>
      <c r="S51" s="10" t="n">
        <f aca="false">MATCH(R51,O51:Q51,0)-1</f>
        <v>0</v>
      </c>
      <c r="T51" s="15" t="n">
        <f aca="false">R51*N51</f>
        <v>2100</v>
      </c>
      <c r="U51" s="15" t="n">
        <f aca="false">T51*J51</f>
        <v>105000</v>
      </c>
      <c r="V51" s="26" t="n">
        <f aca="false">INDEX(in_use_efficiency,1,D51)</f>
        <v>0.97</v>
      </c>
      <c r="W51" s="15" t="n">
        <f aca="false">INT(T51*V51)</f>
        <v>2037</v>
      </c>
      <c r="X51" s="15" t="n">
        <f aca="false">W51*J51</f>
        <v>101850</v>
      </c>
      <c r="Y51" s="15" t="n">
        <f aca="false">INDEX(lg_road_40GP,D51)</f>
        <v>19958</v>
      </c>
      <c r="Z51" s="15" t="n">
        <f aca="false">INT(Y51/H51)</f>
        <v>3060</v>
      </c>
      <c r="AA51" s="15" t="n">
        <f aca="false">Z51*J51</f>
        <v>153000</v>
      </c>
      <c r="AB51" s="42" t="n">
        <f aca="false">MIN(X51,AA51)</f>
        <v>101850</v>
      </c>
      <c r="AC51" s="8" t="str">
        <f aca="false">IF(X51&lt;=AA51,"Volume / geometry","Weight (US road limit)")</f>
        <v>Volume / geometry</v>
      </c>
      <c r="AD51" s="15" t="n">
        <f aca="false">AB51/J51*H51</f>
        <v>13285.623624</v>
      </c>
      <c r="AE51" s="26" t="n">
        <f aca="false">AB51/J51*I51/INDEX(lg_cube_40GP,D51)</f>
        <v>0.801831802067947</v>
      </c>
      <c r="AF51" s="26" t="n">
        <f aca="false">AD51/Y51</f>
        <v>0.665679107325383</v>
      </c>
      <c r="AG51" s="59" t="n">
        <v>70</v>
      </c>
      <c r="AH51" s="8" t="str">
        <f aca="false">IF(AG51&gt;R51,"WARN – DP finds "&amp;(AG51-R51)&amp;" more positions",IF(AG51=R51,"OK – pattern = DP optimum","OK – DP below pattern (check)"))</f>
        <v>OK – pattern = DP optimum</v>
      </c>
    </row>
    <row r="52" customFormat="false" ht="15" hidden="false" customHeight="false" outlineLevel="0" collapsed="false">
      <c r="A52" s="5" t="s">
        <v>17</v>
      </c>
      <c r="B52" s="9" t="s">
        <v>640</v>
      </c>
      <c r="C52" s="9" t="s">
        <v>104</v>
      </c>
      <c r="D52" s="9" t="n">
        <v>2</v>
      </c>
      <c r="E52" s="10" t="n">
        <f aca="false">INDEX(lg_a_3460,D52)</f>
        <v>840</v>
      </c>
      <c r="F52" s="10" t="n">
        <f aca="false">INDEX(lg_b_3460,D52)</f>
        <v>423</v>
      </c>
      <c r="G52" s="54" t="n">
        <f aca="false">INDEX(lg_h_3460,D52)</f>
        <v>80</v>
      </c>
      <c r="H52" s="55" t="n">
        <f aca="false">INDEX(lg_bkg_3460,D52)</f>
        <v>6.8432596</v>
      </c>
      <c r="I52" s="56" t="n">
        <f aca="false">INDEX(lg_bvol_3460,D52)</f>
        <v>0.0284256</v>
      </c>
      <c r="J52" s="10" t="n">
        <f aca="false">INDEX(lg_n_3460,D52)</f>
        <v>50</v>
      </c>
      <c r="K52" s="15" t="n">
        <f aca="false">INDEX(lg_Lu_40GP,D52)</f>
        <v>11930</v>
      </c>
      <c r="L52" s="15" t="n">
        <f aca="false">INDEX(lg_Wu_40GP,D52)</f>
        <v>2330</v>
      </c>
      <c r="M52" s="15" t="n">
        <f aca="false">INDEX(lg_Hu_40GP,D52)</f>
        <v>2280</v>
      </c>
      <c r="N52" s="10" t="n">
        <f aca="false">INT(M52/G52)</f>
        <v>28</v>
      </c>
      <c r="O52" s="10" t="n">
        <f aca="false">INT(L52/F52)*INT(K52/E52)</f>
        <v>70</v>
      </c>
      <c r="P52" s="10" t="n">
        <f aca="false">IF(L52-E52&gt;=0,INT((L52-E52)/F52)*INT(K52/E52)+INT(K52/F52),0)</f>
        <v>70</v>
      </c>
      <c r="Q52" s="10" t="n">
        <f aca="false">IF(L52-2*E52&gt;=0,INT((L52-2*E52)/F52)*INT(K52/E52)+2*INT(K52/F52),0)</f>
        <v>70</v>
      </c>
      <c r="R52" s="58" t="n">
        <f aca="false">MAX(O52:Q52)</f>
        <v>70</v>
      </c>
      <c r="S52" s="10" t="n">
        <f aca="false">MATCH(R52,O52:Q52,0)-1</f>
        <v>0</v>
      </c>
      <c r="T52" s="15" t="n">
        <f aca="false">R52*N52</f>
        <v>1960</v>
      </c>
      <c r="U52" s="15" t="n">
        <f aca="false">T52*J52</f>
        <v>98000</v>
      </c>
      <c r="V52" s="26" t="n">
        <f aca="false">INDEX(in_use_efficiency,1,D52)</f>
        <v>0.95</v>
      </c>
      <c r="W52" s="15" t="n">
        <f aca="false">INT(T52*V52)</f>
        <v>1862</v>
      </c>
      <c r="X52" s="15" t="n">
        <f aca="false">W52*J52</f>
        <v>93100</v>
      </c>
      <c r="Y52" s="15" t="n">
        <f aca="false">INDEX(lg_road_40GP,D52)</f>
        <v>19958</v>
      </c>
      <c r="Z52" s="15" t="n">
        <f aca="false">INT(Y52/H52)</f>
        <v>2916</v>
      </c>
      <c r="AA52" s="15" t="n">
        <f aca="false">Z52*J52</f>
        <v>145800</v>
      </c>
      <c r="AB52" s="42" t="n">
        <f aca="false">MIN(X52,AA52)</f>
        <v>93100</v>
      </c>
      <c r="AC52" s="8" t="str">
        <f aca="false">IF(X52&lt;=AA52,"Volume / geometry","Weight (US road limit)")</f>
        <v>Volume / geometry</v>
      </c>
      <c r="AD52" s="15" t="n">
        <f aca="false">AB52/J52*H52</f>
        <v>12742.1493752</v>
      </c>
      <c r="AE52" s="26" t="n">
        <f aca="false">AB52/J52*I52/INDEX(lg_cube_40GP,D52)</f>
        <v>0.781808968980798</v>
      </c>
      <c r="AF52" s="26" t="n">
        <f aca="false">AD52/Y52</f>
        <v>0.638448210001002</v>
      </c>
      <c r="AG52" s="59" t="n">
        <v>70</v>
      </c>
      <c r="AH52" s="8" t="str">
        <f aca="false">IF(AG52&gt;R52,"WARN – DP finds "&amp;(AG52-R52)&amp;" more positions",IF(AG52=R52,"OK – pattern = DP optimum","OK – DP below pattern (check)"))</f>
        <v>OK – pattern = DP optimum</v>
      </c>
    </row>
    <row r="53" customFormat="false" ht="15" hidden="false" customHeight="false" outlineLevel="0" collapsed="false">
      <c r="A53" s="5" t="s">
        <v>17</v>
      </c>
      <c r="B53" s="9" t="s">
        <v>640</v>
      </c>
      <c r="C53" s="9" t="s">
        <v>105</v>
      </c>
      <c r="D53" s="9" t="n">
        <v>3</v>
      </c>
      <c r="E53" s="10" t="n">
        <f aca="false">INDEX(lg_a_3460,D53)</f>
        <v>840</v>
      </c>
      <c r="F53" s="10" t="n">
        <f aca="false">INDEX(lg_b_3460,D53)</f>
        <v>423</v>
      </c>
      <c r="G53" s="54" t="n">
        <f aca="false">INDEX(lg_h_3460,D53)</f>
        <v>90</v>
      </c>
      <c r="H53" s="55" t="n">
        <f aca="false">INDEX(lg_bkg_3460,D53)</f>
        <v>7.8065824</v>
      </c>
      <c r="I53" s="56" t="n">
        <f aca="false">INDEX(lg_bvol_3460,D53)</f>
        <v>0.0319788</v>
      </c>
      <c r="J53" s="10" t="n">
        <f aca="false">INDEX(lg_n_3460,D53)</f>
        <v>50</v>
      </c>
      <c r="K53" s="15" t="n">
        <f aca="false">INDEX(lg_Lu_40GP,D53)</f>
        <v>11930</v>
      </c>
      <c r="L53" s="15" t="n">
        <f aca="false">INDEX(lg_Wu_40GP,D53)</f>
        <v>2330</v>
      </c>
      <c r="M53" s="15" t="n">
        <f aca="false">INDEX(lg_Hu_40GP,D53)</f>
        <v>2280</v>
      </c>
      <c r="N53" s="10" t="n">
        <f aca="false">INT(M53/G53)</f>
        <v>25</v>
      </c>
      <c r="O53" s="10" t="n">
        <f aca="false">INT(L53/F53)*INT(K53/E53)</f>
        <v>70</v>
      </c>
      <c r="P53" s="10" t="n">
        <f aca="false">IF(L53-E53&gt;=0,INT((L53-E53)/F53)*INT(K53/E53)+INT(K53/F53),0)</f>
        <v>70</v>
      </c>
      <c r="Q53" s="10" t="n">
        <f aca="false">IF(L53-2*E53&gt;=0,INT((L53-2*E53)/F53)*INT(K53/E53)+2*INT(K53/F53),0)</f>
        <v>70</v>
      </c>
      <c r="R53" s="58" t="n">
        <f aca="false">MAX(O53:Q53)</f>
        <v>70</v>
      </c>
      <c r="S53" s="10" t="n">
        <f aca="false">MATCH(R53,O53:Q53,0)-1</f>
        <v>0</v>
      </c>
      <c r="T53" s="15" t="n">
        <f aca="false">R53*N53</f>
        <v>1750</v>
      </c>
      <c r="U53" s="15" t="n">
        <f aca="false">T53*J53</f>
        <v>87500</v>
      </c>
      <c r="V53" s="26" t="n">
        <f aca="false">INDEX(in_use_efficiency,1,D53)</f>
        <v>0.9</v>
      </c>
      <c r="W53" s="15" t="n">
        <f aca="false">INT(T53*V53)</f>
        <v>1575</v>
      </c>
      <c r="X53" s="15" t="n">
        <f aca="false">W53*J53</f>
        <v>78750</v>
      </c>
      <c r="Y53" s="15" t="n">
        <f aca="false">INDEX(lg_road_40GP,D53)</f>
        <v>19958</v>
      </c>
      <c r="Z53" s="15" t="n">
        <f aca="false">INT(Y53/H53)</f>
        <v>2556</v>
      </c>
      <c r="AA53" s="15" t="n">
        <f aca="false">Z53*J53</f>
        <v>127800</v>
      </c>
      <c r="AB53" s="42" t="n">
        <f aca="false">MIN(X53,AA53)</f>
        <v>78750</v>
      </c>
      <c r="AC53" s="8" t="str">
        <f aca="false">IF(X53&lt;=AA53,"Volume / geometry","Weight (US road limit)")</f>
        <v>Volume / geometry</v>
      </c>
      <c r="AD53" s="15" t="n">
        <f aca="false">AB53/J53*H53</f>
        <v>12295.36728</v>
      </c>
      <c r="AE53" s="26" t="n">
        <f aca="false">AB53/J53*I53/INDEX(lg_cube_40GP,D53)</f>
        <v>0.74396765140325</v>
      </c>
      <c r="AF53" s="26" t="n">
        <f aca="false">AD53/Y53</f>
        <v>0.616062094398236</v>
      </c>
      <c r="AG53" s="59" t="n">
        <v>70</v>
      </c>
      <c r="AH53" s="8" t="str">
        <f aca="false">IF(AG53&gt;R53,"WARN – DP finds "&amp;(AG53-R53)&amp;" more positions",IF(AG53=R53,"OK – pattern = DP optimum","OK – DP below pattern (check)"))</f>
        <v>OK – pattern = DP optimum</v>
      </c>
    </row>
    <row r="54" customFormat="false" ht="15" hidden="false" customHeight="false" outlineLevel="0" collapsed="false">
      <c r="A54" s="5" t="s">
        <v>17</v>
      </c>
      <c r="B54" s="9" t="s">
        <v>643</v>
      </c>
      <c r="C54" s="9" t="s">
        <v>103</v>
      </c>
      <c r="D54" s="9" t="n">
        <v>1</v>
      </c>
      <c r="E54" s="10" t="n">
        <f aca="false">INDEX(lg_a_3460,D54)</f>
        <v>840</v>
      </c>
      <c r="F54" s="10" t="n">
        <f aca="false">INDEX(lg_b_3460,D54)</f>
        <v>423</v>
      </c>
      <c r="G54" s="54" t="n">
        <f aca="false">INDEX(lg_h_3460,D54)</f>
        <v>75</v>
      </c>
      <c r="H54" s="55" t="n">
        <f aca="false">INDEX(lg_bkg_3460,D54)</f>
        <v>6.522152</v>
      </c>
      <c r="I54" s="56" t="n">
        <f aca="false">INDEX(lg_bvol_3460,D54)</f>
        <v>0.026649</v>
      </c>
      <c r="J54" s="10" t="n">
        <f aca="false">INDEX(lg_n_3460,D54)</f>
        <v>50</v>
      </c>
      <c r="K54" s="15" t="n">
        <f aca="false">INDEX(lg_Lu_40HC,D54)</f>
        <v>11930</v>
      </c>
      <c r="L54" s="15" t="n">
        <f aca="false">INDEX(lg_Wu_40HC,D54)</f>
        <v>2330</v>
      </c>
      <c r="M54" s="15" t="n">
        <f aca="false">INDEX(lg_Hu_40HC,D54)</f>
        <v>2580</v>
      </c>
      <c r="N54" s="10" t="n">
        <f aca="false">INT(M54/G54)</f>
        <v>34</v>
      </c>
      <c r="O54" s="10" t="n">
        <f aca="false">INT(L54/F54)*INT(K54/E54)</f>
        <v>70</v>
      </c>
      <c r="P54" s="10" t="n">
        <f aca="false">IF(L54-E54&gt;=0,INT((L54-E54)/F54)*INT(K54/E54)+INT(K54/F54),0)</f>
        <v>70</v>
      </c>
      <c r="Q54" s="10" t="n">
        <f aca="false">IF(L54-2*E54&gt;=0,INT((L54-2*E54)/F54)*INT(K54/E54)+2*INT(K54/F54),0)</f>
        <v>70</v>
      </c>
      <c r="R54" s="58" t="n">
        <f aca="false">MAX(O54:Q54)</f>
        <v>70</v>
      </c>
      <c r="S54" s="10" t="n">
        <f aca="false">MATCH(R54,O54:Q54,0)-1</f>
        <v>0</v>
      </c>
      <c r="T54" s="15" t="n">
        <f aca="false">R54*N54</f>
        <v>2380</v>
      </c>
      <c r="U54" s="15" t="n">
        <f aca="false">T54*J54</f>
        <v>119000</v>
      </c>
      <c r="V54" s="26" t="n">
        <f aca="false">INDEX(in_use_efficiency,1,D54)</f>
        <v>0.97</v>
      </c>
      <c r="W54" s="15" t="n">
        <f aca="false">INT(T54*V54)</f>
        <v>2308</v>
      </c>
      <c r="X54" s="15" t="n">
        <f aca="false">W54*J54</f>
        <v>115400</v>
      </c>
      <c r="Y54" s="15" t="n">
        <f aca="false">INDEX(lg_road_40HC,D54)</f>
        <v>19958</v>
      </c>
      <c r="Z54" s="15" t="n">
        <f aca="false">INT(Y54/H54)</f>
        <v>3060</v>
      </c>
      <c r="AA54" s="15" t="n">
        <f aca="false">Z54*J54</f>
        <v>153000</v>
      </c>
      <c r="AB54" s="42" t="n">
        <f aca="false">MIN(X54,AA54)</f>
        <v>115400</v>
      </c>
      <c r="AC54" s="8" t="str">
        <f aca="false">IF(X54&lt;=AA54,"Volume / geometry","Weight (US road limit)")</f>
        <v>Volume / geometry</v>
      </c>
      <c r="AD54" s="15" t="n">
        <f aca="false">AB54/J54*H54</f>
        <v>15053.126816</v>
      </c>
      <c r="AE54" s="26" t="n">
        <f aca="false">AB54/J54*I54/INDEX(lg_cube_40HC,D54)</f>
        <v>0.805050942408377</v>
      </c>
      <c r="AF54" s="26" t="n">
        <f aca="false">AD54/Y54</f>
        <v>0.754240245315162</v>
      </c>
      <c r="AG54" s="59" t="n">
        <v>70</v>
      </c>
      <c r="AH54" s="8" t="str">
        <f aca="false">IF(AG54&gt;R54,"WARN – DP finds "&amp;(AG54-R54)&amp;" more positions",IF(AG54=R54,"OK – pattern = DP optimum","OK – DP below pattern (check)"))</f>
        <v>OK – pattern = DP optimum</v>
      </c>
    </row>
    <row r="55" customFormat="false" ht="15" hidden="false" customHeight="false" outlineLevel="0" collapsed="false">
      <c r="A55" s="5" t="s">
        <v>17</v>
      </c>
      <c r="B55" s="9" t="s">
        <v>643</v>
      </c>
      <c r="C55" s="9" t="s">
        <v>104</v>
      </c>
      <c r="D55" s="9" t="n">
        <v>2</v>
      </c>
      <c r="E55" s="10" t="n">
        <f aca="false">INDEX(lg_a_3460,D55)</f>
        <v>840</v>
      </c>
      <c r="F55" s="10" t="n">
        <f aca="false">INDEX(lg_b_3460,D55)</f>
        <v>423</v>
      </c>
      <c r="G55" s="54" t="n">
        <f aca="false">INDEX(lg_h_3460,D55)</f>
        <v>80</v>
      </c>
      <c r="H55" s="55" t="n">
        <f aca="false">INDEX(lg_bkg_3460,D55)</f>
        <v>6.8432596</v>
      </c>
      <c r="I55" s="56" t="n">
        <f aca="false">INDEX(lg_bvol_3460,D55)</f>
        <v>0.0284256</v>
      </c>
      <c r="J55" s="10" t="n">
        <f aca="false">INDEX(lg_n_3460,D55)</f>
        <v>50</v>
      </c>
      <c r="K55" s="15" t="n">
        <f aca="false">INDEX(lg_Lu_40HC,D55)</f>
        <v>11930</v>
      </c>
      <c r="L55" s="15" t="n">
        <f aca="false">INDEX(lg_Wu_40HC,D55)</f>
        <v>2330</v>
      </c>
      <c r="M55" s="15" t="n">
        <f aca="false">INDEX(lg_Hu_40HC,D55)</f>
        <v>2580</v>
      </c>
      <c r="N55" s="10" t="n">
        <f aca="false">INT(M55/G55)</f>
        <v>32</v>
      </c>
      <c r="O55" s="10" t="n">
        <f aca="false">INT(L55/F55)*INT(K55/E55)</f>
        <v>70</v>
      </c>
      <c r="P55" s="10" t="n">
        <f aca="false">IF(L55-E55&gt;=0,INT((L55-E55)/F55)*INT(K55/E55)+INT(K55/F55),0)</f>
        <v>70</v>
      </c>
      <c r="Q55" s="10" t="n">
        <f aca="false">IF(L55-2*E55&gt;=0,INT((L55-2*E55)/F55)*INT(K55/E55)+2*INT(K55/F55),0)</f>
        <v>70</v>
      </c>
      <c r="R55" s="58" t="n">
        <f aca="false">MAX(O55:Q55)</f>
        <v>70</v>
      </c>
      <c r="S55" s="10" t="n">
        <f aca="false">MATCH(R55,O55:Q55,0)-1</f>
        <v>0</v>
      </c>
      <c r="T55" s="15" t="n">
        <f aca="false">R55*N55</f>
        <v>2240</v>
      </c>
      <c r="U55" s="15" t="n">
        <f aca="false">T55*J55</f>
        <v>112000</v>
      </c>
      <c r="V55" s="26" t="n">
        <f aca="false">INDEX(in_use_efficiency,1,D55)</f>
        <v>0.95</v>
      </c>
      <c r="W55" s="15" t="n">
        <f aca="false">INT(T55*V55)</f>
        <v>2128</v>
      </c>
      <c r="X55" s="15" t="n">
        <f aca="false">W55*J55</f>
        <v>106400</v>
      </c>
      <c r="Y55" s="15" t="n">
        <f aca="false">INDEX(lg_road_40HC,D55)</f>
        <v>19958</v>
      </c>
      <c r="Z55" s="15" t="n">
        <f aca="false">INT(Y55/H55)</f>
        <v>2916</v>
      </c>
      <c r="AA55" s="15" t="n">
        <f aca="false">Z55*J55</f>
        <v>145800</v>
      </c>
      <c r="AB55" s="42" t="n">
        <f aca="false">MIN(X55,AA55)</f>
        <v>106400</v>
      </c>
      <c r="AC55" s="8" t="str">
        <f aca="false">IF(X55&lt;=AA55,"Volume / geometry","Weight (US road limit)")</f>
        <v>Volume / geometry</v>
      </c>
      <c r="AD55" s="15" t="n">
        <f aca="false">AB55/J55*H55</f>
        <v>14562.4564288</v>
      </c>
      <c r="AE55" s="26" t="n">
        <f aca="false">AB55/J55*I55/INDEX(lg_cube_40HC,D55)</f>
        <v>0.791749696335078</v>
      </c>
      <c r="AF55" s="26" t="n">
        <f aca="false">AD55/Y55</f>
        <v>0.729655097144003</v>
      </c>
      <c r="AG55" s="59" t="n">
        <v>70</v>
      </c>
      <c r="AH55" s="8" t="str">
        <f aca="false">IF(AG55&gt;R55,"WARN – DP finds "&amp;(AG55-R55)&amp;" more positions",IF(AG55=R55,"OK – pattern = DP optimum","OK – DP below pattern (check)"))</f>
        <v>OK – pattern = DP optimum</v>
      </c>
    </row>
    <row r="56" customFormat="false" ht="15" hidden="false" customHeight="false" outlineLevel="0" collapsed="false">
      <c r="A56" s="5" t="s">
        <v>17</v>
      </c>
      <c r="B56" s="9" t="s">
        <v>643</v>
      </c>
      <c r="C56" s="9" t="s">
        <v>105</v>
      </c>
      <c r="D56" s="9" t="n">
        <v>3</v>
      </c>
      <c r="E56" s="10" t="n">
        <f aca="false">INDEX(lg_a_3460,D56)</f>
        <v>840</v>
      </c>
      <c r="F56" s="10" t="n">
        <f aca="false">INDEX(lg_b_3460,D56)</f>
        <v>423</v>
      </c>
      <c r="G56" s="54" t="n">
        <f aca="false">INDEX(lg_h_3460,D56)</f>
        <v>90</v>
      </c>
      <c r="H56" s="55" t="n">
        <f aca="false">INDEX(lg_bkg_3460,D56)</f>
        <v>7.8065824</v>
      </c>
      <c r="I56" s="56" t="n">
        <f aca="false">INDEX(lg_bvol_3460,D56)</f>
        <v>0.0319788</v>
      </c>
      <c r="J56" s="10" t="n">
        <f aca="false">INDEX(lg_n_3460,D56)</f>
        <v>50</v>
      </c>
      <c r="K56" s="15" t="n">
        <f aca="false">INDEX(lg_Lu_40HC,D56)</f>
        <v>11930</v>
      </c>
      <c r="L56" s="15" t="n">
        <f aca="false">INDEX(lg_Wu_40HC,D56)</f>
        <v>2330</v>
      </c>
      <c r="M56" s="15" t="n">
        <f aca="false">INDEX(lg_Hu_40HC,D56)</f>
        <v>2580</v>
      </c>
      <c r="N56" s="10" t="n">
        <f aca="false">INT(M56/G56)</f>
        <v>28</v>
      </c>
      <c r="O56" s="10" t="n">
        <f aca="false">INT(L56/F56)*INT(K56/E56)</f>
        <v>70</v>
      </c>
      <c r="P56" s="10" t="n">
        <f aca="false">IF(L56-E56&gt;=0,INT((L56-E56)/F56)*INT(K56/E56)+INT(K56/F56),0)</f>
        <v>70</v>
      </c>
      <c r="Q56" s="10" t="n">
        <f aca="false">IF(L56-2*E56&gt;=0,INT((L56-2*E56)/F56)*INT(K56/E56)+2*INT(K56/F56),0)</f>
        <v>70</v>
      </c>
      <c r="R56" s="58" t="n">
        <f aca="false">MAX(O56:Q56)</f>
        <v>70</v>
      </c>
      <c r="S56" s="10" t="n">
        <f aca="false">MATCH(R56,O56:Q56,0)-1</f>
        <v>0</v>
      </c>
      <c r="T56" s="15" t="n">
        <f aca="false">R56*N56</f>
        <v>1960</v>
      </c>
      <c r="U56" s="15" t="n">
        <f aca="false">T56*J56</f>
        <v>98000</v>
      </c>
      <c r="V56" s="26" t="n">
        <f aca="false">INDEX(in_use_efficiency,1,D56)</f>
        <v>0.9</v>
      </c>
      <c r="W56" s="15" t="n">
        <f aca="false">INT(T56*V56)</f>
        <v>1764</v>
      </c>
      <c r="X56" s="15" t="n">
        <f aca="false">W56*J56</f>
        <v>88200</v>
      </c>
      <c r="Y56" s="15" t="n">
        <f aca="false">INDEX(lg_road_40HC,D56)</f>
        <v>19958</v>
      </c>
      <c r="Z56" s="15" t="n">
        <f aca="false">INT(Y56/H56)</f>
        <v>2556</v>
      </c>
      <c r="AA56" s="15" t="n">
        <f aca="false">Z56*J56</f>
        <v>127800</v>
      </c>
      <c r="AB56" s="42" t="n">
        <f aca="false">MIN(X56,AA56)</f>
        <v>88200</v>
      </c>
      <c r="AC56" s="8" t="str">
        <f aca="false">IF(X56&lt;=AA56,"Volume / geometry","Weight (US road limit)")</f>
        <v>Volume / geometry</v>
      </c>
      <c r="AD56" s="15" t="n">
        <f aca="false">AB56/J56*H56</f>
        <v>13770.8113536</v>
      </c>
      <c r="AE56" s="26" t="n">
        <f aca="false">AB56/J56*I56/INDEX(lg_cube_40HC,D56)</f>
        <v>0.738358680628272</v>
      </c>
      <c r="AF56" s="26" t="n">
        <f aca="false">AD56/Y56</f>
        <v>0.689989545726025</v>
      </c>
      <c r="AG56" s="59" t="n">
        <v>70</v>
      </c>
      <c r="AH56" s="8" t="str">
        <f aca="false">IF(AG56&gt;R56,"WARN – DP finds "&amp;(AG56-R56)&amp;" more positions",IF(AG56=R56,"OK – pattern = DP optimum","OK – DP below pattern (check)"))</f>
        <v>OK – pattern = DP optimum</v>
      </c>
    </row>
    <row r="58" customFormat="false" ht="15" hidden="false" customHeight="false" outlineLevel="0" collapsed="false">
      <c r="A58" s="3" t="s">
        <v>718</v>
      </c>
      <c r="B58" s="4"/>
      <c r="C58" s="4"/>
      <c r="D58" s="4"/>
      <c r="E58" s="4"/>
      <c r="F58" s="4"/>
      <c r="G58" s="4"/>
      <c r="H58" s="4"/>
      <c r="I58" s="4"/>
      <c r="J58" s="4"/>
      <c r="K58" s="4"/>
      <c r="L58" s="4"/>
      <c r="M58" s="4"/>
      <c r="N58" s="4"/>
      <c r="O58" s="4"/>
      <c r="P58" s="4"/>
      <c r="Q58" s="4"/>
      <c r="R58" s="4"/>
      <c r="S58" s="4"/>
      <c r="T58" s="4"/>
      <c r="U58" s="4"/>
      <c r="V58" s="4"/>
      <c r="W58" s="4"/>
      <c r="X58" s="4"/>
    </row>
  </sheetData>
  <conditionalFormatting sqref="AH30:AH56">
    <cfRule type="expression" priority="2" aboveAverage="0" equalAverage="0" bottom="0" percent="0" rank="0" text="" dxfId="0">
      <formula>LEFT(AH30,2)="OK"</formula>
    </cfRule>
    <cfRule type="expression" priority="3" aboveAverage="0" equalAverage="0" bottom="0" percent="0" rank="0" text="" dxfId="1">
      <formula>OR(LEFT(AH30,4)="FAIL",LEFT(AH30,5)="ERROR")</formula>
    </cfRule>
    <cfRule type="expression" priority="4" aboveAverage="0" equalAverage="0" bottom="0" percent="0" rank="0" text="" dxfId="2">
      <formula>LEFT(AH30,4)="WARN"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AF1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7"/>
    <col collapsed="false" customWidth="true" hidden="false" outlineLevel="0" max="5" min="4" style="0" width="6"/>
    <col collapsed="false" customWidth="true" hidden="false" outlineLevel="0" max="6" min="6" style="0" width="9"/>
    <col collapsed="false" customWidth="true" hidden="false" outlineLevel="0" max="7" min="7" style="0" width="7"/>
    <col collapsed="false" customWidth="true" hidden="false" outlineLevel="0" max="26" min="8" style="0" width="9"/>
  </cols>
  <sheetData>
    <row r="1" customFormat="false" ht="18.55" hidden="false" customHeight="false" outlineLevel="0" collapsed="false">
      <c r="A1" s="1" t="s">
        <v>719</v>
      </c>
    </row>
    <row r="2" customFormat="false" ht="15" hidden="false" customHeight="false" outlineLevel="0" collapsed="false">
      <c r="A2" s="2" t="s">
        <v>720</v>
      </c>
    </row>
    <row r="4" customFormat="false" ht="15" hidden="false" customHeight="false" outlineLevel="0" collapsed="false">
      <c r="A4" s="3" t="s">
        <v>721</v>
      </c>
      <c r="B4" s="4"/>
      <c r="C4" s="4"/>
      <c r="D4" s="4"/>
      <c r="E4" s="4"/>
      <c r="F4" s="4"/>
      <c r="G4" s="4"/>
      <c r="H4" s="4"/>
      <c r="I4" s="4"/>
      <c r="J4" s="4"/>
      <c r="K4" s="4"/>
      <c r="L4" s="4"/>
      <c r="M4" s="4"/>
      <c r="N4" s="4"/>
      <c r="O4" s="4"/>
      <c r="P4" s="4"/>
      <c r="Q4" s="4"/>
      <c r="R4" s="4"/>
      <c r="S4" s="4"/>
      <c r="T4" s="4"/>
      <c r="U4" s="4"/>
      <c r="V4" s="4"/>
      <c r="W4" s="4"/>
      <c r="X4" s="4"/>
      <c r="Y4" s="4"/>
      <c r="Z4" s="4"/>
      <c r="AA4" s="4"/>
      <c r="AB4" s="4"/>
      <c r="AC4" s="4"/>
      <c r="AD4" s="4"/>
    </row>
    <row r="5" customFormat="false" ht="23.85" hidden="false" customHeight="false" outlineLevel="0" collapsed="false">
      <c r="A5" s="13" t="s">
        <v>356</v>
      </c>
      <c r="B5" s="13" t="s">
        <v>113</v>
      </c>
      <c r="C5" s="13" t="s">
        <v>685</v>
      </c>
      <c r="D5" s="13" t="s">
        <v>722</v>
      </c>
      <c r="E5" s="13" t="s">
        <v>723</v>
      </c>
      <c r="F5" s="13" t="s">
        <v>724</v>
      </c>
      <c r="G5" s="13" t="s">
        <v>180</v>
      </c>
      <c r="H5" s="13" t="s">
        <v>725</v>
      </c>
      <c r="I5" s="13" t="s">
        <v>726</v>
      </c>
      <c r="J5" s="13" t="s">
        <v>727</v>
      </c>
      <c r="K5" s="13" t="s">
        <v>728</v>
      </c>
      <c r="L5" s="13" t="s">
        <v>729</v>
      </c>
      <c r="M5" s="13" t="s">
        <v>730</v>
      </c>
      <c r="N5" s="13" t="s">
        <v>731</v>
      </c>
      <c r="O5" s="13" t="s">
        <v>732</v>
      </c>
      <c r="P5" s="13" t="s">
        <v>733</v>
      </c>
      <c r="Q5" s="13" t="s">
        <v>734</v>
      </c>
      <c r="R5" s="13" t="s">
        <v>735</v>
      </c>
      <c r="S5" s="13" t="s">
        <v>736</v>
      </c>
      <c r="T5" s="13" t="s">
        <v>737</v>
      </c>
      <c r="U5" s="13" t="s">
        <v>738</v>
      </c>
      <c r="V5" s="13" t="s">
        <v>739</v>
      </c>
      <c r="W5" s="13" t="s">
        <v>740</v>
      </c>
      <c r="X5" s="13" t="s">
        <v>741</v>
      </c>
      <c r="Y5" s="13" t="s">
        <v>742</v>
      </c>
    </row>
    <row r="6" customFormat="false" ht="15" hidden="false" customHeight="false" outlineLevel="0" collapsed="false">
      <c r="A6" s="5" t="n">
        <v>1</v>
      </c>
      <c r="B6" s="9" t="s">
        <v>743</v>
      </c>
      <c r="C6" s="9" t="s">
        <v>643</v>
      </c>
      <c r="D6" s="6" t="n">
        <v>3</v>
      </c>
      <c r="E6" s="6" t="n">
        <v>1</v>
      </c>
      <c r="F6" s="9" t="s">
        <v>744</v>
      </c>
      <c r="G6" s="9"/>
      <c r="H6" s="39" t="n">
        <v>20000</v>
      </c>
      <c r="I6" s="39" t="n">
        <v>20000</v>
      </c>
      <c r="J6" s="39" t="n">
        <v>20000</v>
      </c>
      <c r="K6" s="39" t="n">
        <v>20000</v>
      </c>
      <c r="L6" s="39" t="n">
        <v>20000</v>
      </c>
      <c r="M6" s="39" t="n">
        <v>20000</v>
      </c>
      <c r="N6" s="39" t="n">
        <v>20000</v>
      </c>
      <c r="O6" s="39" t="n">
        <v>20000</v>
      </c>
      <c r="P6" s="39" t="n">
        <v>20000</v>
      </c>
      <c r="Q6" s="42" t="n">
        <f aca="false">H6+K6+N6</f>
        <v>60000</v>
      </c>
      <c r="R6" s="42" t="n">
        <f aca="false">I6+L6+O6</f>
        <v>60000</v>
      </c>
      <c r="S6" s="42" t="n">
        <f aca="false">J6+M6+P6</f>
        <v>60000</v>
      </c>
      <c r="T6" s="27" t="b">
        <f aca="false">J116</f>
        <v>1</v>
      </c>
      <c r="U6" s="27" t="b">
        <f aca="false">J117</f>
        <v>1</v>
      </c>
      <c r="V6" s="27" t="b">
        <f aca="false">J118</f>
        <v>1</v>
      </c>
      <c r="W6" s="26" t="n">
        <f aca="false">K116</f>
        <v>0.795641240569992</v>
      </c>
      <c r="X6" s="26" t="n">
        <f aca="false">K117</f>
        <v>0.795641240569992</v>
      </c>
      <c r="Y6" s="26" t="n">
        <f aca="false">K118</f>
        <v>0.912070410729254</v>
      </c>
    </row>
    <row r="7" customFormat="false" ht="15" hidden="false" customHeight="false" outlineLevel="0" collapsed="false">
      <c r="A7" s="5" t="n">
        <v>2</v>
      </c>
      <c r="B7" s="9" t="s">
        <v>745</v>
      </c>
      <c r="C7" s="9" t="s">
        <v>640</v>
      </c>
      <c r="D7" s="6" t="n">
        <v>2</v>
      </c>
      <c r="E7" s="6" t="n">
        <v>1</v>
      </c>
      <c r="F7" s="9" t="s">
        <v>744</v>
      </c>
      <c r="G7" s="9"/>
      <c r="H7" s="39" t="n">
        <v>20000</v>
      </c>
      <c r="I7" s="39" t="n">
        <v>20000</v>
      </c>
      <c r="J7" s="39" t="n">
        <v>20000</v>
      </c>
      <c r="K7" s="39" t="n">
        <v>20000</v>
      </c>
      <c r="L7" s="39" t="n">
        <v>20000</v>
      </c>
      <c r="M7" s="39" t="n">
        <v>20000</v>
      </c>
      <c r="N7" s="39" t="n">
        <v>20000</v>
      </c>
      <c r="O7" s="39" t="n">
        <v>20000</v>
      </c>
      <c r="P7" s="39" t="n">
        <v>20000</v>
      </c>
      <c r="Q7" s="42" t="n">
        <f aca="false">H7+K7+N7</f>
        <v>60000</v>
      </c>
      <c r="R7" s="42" t="n">
        <f aca="false">I7+L7+O7</f>
        <v>60000</v>
      </c>
      <c r="S7" s="42" t="n">
        <f aca="false">J7+M7+P7</f>
        <v>60000</v>
      </c>
      <c r="T7" s="27" t="b">
        <f aca="false">J119</f>
        <v>1</v>
      </c>
      <c r="U7" s="27" t="b">
        <f aca="false">J120</f>
        <v>1</v>
      </c>
      <c r="V7" s="27" t="b">
        <f aca="false">J121</f>
        <v>0</v>
      </c>
      <c r="W7" s="26" t="n">
        <f aca="false">K119</f>
        <v>0.795641240569992</v>
      </c>
      <c r="X7" s="26" t="n">
        <f aca="false">K120</f>
        <v>0.912070410729254</v>
      </c>
      <c r="Y7" s="26" t="n">
        <f aca="false">K121</f>
        <v>1.03302598491199</v>
      </c>
    </row>
    <row r="8" customFormat="false" ht="15" hidden="false" customHeight="false" outlineLevel="0" collapsed="false">
      <c r="A8" s="5" t="n">
        <v>3</v>
      </c>
      <c r="B8" s="9" t="s">
        <v>746</v>
      </c>
      <c r="C8" s="9" t="s">
        <v>636</v>
      </c>
      <c r="D8" s="6" t="n">
        <v>1</v>
      </c>
      <c r="E8" s="6" t="n">
        <v>2</v>
      </c>
      <c r="F8" s="9" t="s">
        <v>744</v>
      </c>
      <c r="G8" s="9"/>
      <c r="H8" s="39" t="n">
        <v>20000</v>
      </c>
      <c r="I8" s="39" t="n">
        <v>20000</v>
      </c>
      <c r="J8" s="39" t="n">
        <v>20000</v>
      </c>
      <c r="K8" s="39" t="n">
        <v>20000</v>
      </c>
      <c r="L8" s="39" t="n">
        <v>20000</v>
      </c>
      <c r="M8" s="39" t="n">
        <v>20000</v>
      </c>
      <c r="N8" s="39" t="n">
        <v>20000</v>
      </c>
      <c r="O8" s="39" t="n">
        <v>20000</v>
      </c>
      <c r="P8" s="39" t="n">
        <v>20000</v>
      </c>
      <c r="Q8" s="42" t="n">
        <f aca="false">H8+K8+N8</f>
        <v>60000</v>
      </c>
      <c r="R8" s="42" t="n">
        <f aca="false">I8+L8+O8</f>
        <v>60000</v>
      </c>
      <c r="S8" s="42" t="n">
        <f aca="false">J8+M8+P8</f>
        <v>60000</v>
      </c>
      <c r="T8" s="27" t="b">
        <f aca="false">J122</f>
        <v>1</v>
      </c>
      <c r="U8" s="27" t="b">
        <f aca="false">J123</f>
        <v>1</v>
      </c>
      <c r="V8" s="27" t="b">
        <f aca="false">J124</f>
        <v>0</v>
      </c>
      <c r="W8" s="26" t="n">
        <f aca="false">K122</f>
        <v>0.901551724137931</v>
      </c>
      <c r="X8" s="26" t="n">
        <f aca="false">K123</f>
        <v>0.972413793103448</v>
      </c>
      <c r="Y8" s="26" t="n">
        <f aca="false">K124</f>
        <v>1.14827586206897</v>
      </c>
    </row>
    <row r="9" customFormat="false" ht="15" hidden="false" customHeight="false" outlineLevel="0" collapsed="false">
      <c r="A9" s="5" t="n">
        <v>4</v>
      </c>
      <c r="B9" s="9" t="s">
        <v>747</v>
      </c>
      <c r="C9" s="9" t="s">
        <v>643</v>
      </c>
      <c r="D9" s="6" t="n">
        <v>3</v>
      </c>
      <c r="E9" s="6" t="n">
        <v>1</v>
      </c>
      <c r="F9" s="9" t="s">
        <v>748</v>
      </c>
      <c r="G9" s="9"/>
      <c r="H9" s="60" t="n">
        <v>28000</v>
      </c>
      <c r="I9" s="60" t="n">
        <v>25800</v>
      </c>
      <c r="J9" s="60" t="n">
        <v>21400</v>
      </c>
      <c r="K9" s="60" t="n">
        <v>28000</v>
      </c>
      <c r="L9" s="60" t="n">
        <v>25800</v>
      </c>
      <c r="M9" s="60" t="n">
        <v>21400</v>
      </c>
      <c r="N9" s="60" t="n">
        <v>28000</v>
      </c>
      <c r="O9" s="60" t="n">
        <v>25800</v>
      </c>
      <c r="P9" s="60" t="n">
        <v>21400</v>
      </c>
      <c r="Q9" s="42" t="n">
        <f aca="false">H9+K9+N9</f>
        <v>84000</v>
      </c>
      <c r="R9" s="42" t="n">
        <f aca="false">I9+L9+O9</f>
        <v>77400</v>
      </c>
      <c r="S9" s="42" t="n">
        <f aca="false">J9+M9+P9</f>
        <v>64200</v>
      </c>
      <c r="T9" s="27" t="b">
        <f aca="false">J125</f>
        <v>1</v>
      </c>
      <c r="U9" s="27" t="b">
        <f aca="false">J126</f>
        <v>1</v>
      </c>
      <c r="V9" s="27" t="b">
        <f aca="false">J127</f>
        <v>1</v>
      </c>
      <c r="W9" s="26" t="n">
        <f aca="false">K125</f>
        <v>0.999580888516345</v>
      </c>
      <c r="X9" s="26" t="n">
        <f aca="false">K126</f>
        <v>0.999580888516345</v>
      </c>
      <c r="Y9" s="26" t="n">
        <f aca="false">K127</f>
        <v>0.999580888516345</v>
      </c>
    </row>
    <row r="10" customFormat="false" ht="15" hidden="false" customHeight="false" outlineLevel="0" collapsed="false">
      <c r="A10" s="5" t="n">
        <v>5</v>
      </c>
      <c r="B10" s="9" t="s">
        <v>749</v>
      </c>
      <c r="C10" s="9" t="s">
        <v>643</v>
      </c>
      <c r="D10" s="6" t="n">
        <v>3</v>
      </c>
      <c r="E10" s="6" t="n">
        <v>1</v>
      </c>
      <c r="F10" s="9" t="s">
        <v>750</v>
      </c>
      <c r="G10" s="9" t="s">
        <v>15</v>
      </c>
      <c r="H10" s="15" t="n">
        <f aca="false">INDEX(lg_real_3464_40HC,1)</f>
        <v>82450</v>
      </c>
      <c r="I10" s="15" t="n">
        <f aca="false">INDEX(lg_real_3464_40HC,2)</f>
        <v>76000</v>
      </c>
      <c r="J10" s="15" t="n">
        <f aca="false">INDEX(lg_real_3464_40HC,3)</f>
        <v>63000</v>
      </c>
      <c r="K10" s="15" t="n">
        <v>0</v>
      </c>
      <c r="L10" s="15" t="n">
        <v>0</v>
      </c>
      <c r="M10" s="15" t="n">
        <v>0</v>
      </c>
      <c r="N10" s="15" t="n">
        <v>0</v>
      </c>
      <c r="O10" s="15" t="n">
        <v>0</v>
      </c>
      <c r="P10" s="15" t="n">
        <v>0</v>
      </c>
      <c r="Q10" s="42" t="n">
        <f aca="false">H10+K10+N10</f>
        <v>82450</v>
      </c>
      <c r="R10" s="42" t="n">
        <f aca="false">I10+L10+O10</f>
        <v>76000</v>
      </c>
      <c r="S10" s="42" t="n">
        <f aca="false">J10+M10+P10</f>
        <v>63000</v>
      </c>
      <c r="T10" s="27" t="b">
        <f aca="false">J128</f>
        <v>1</v>
      </c>
      <c r="U10" s="27" t="b">
        <f aca="false">J129</f>
        <v>1</v>
      </c>
      <c r="V10" s="27" t="b">
        <f aca="false">J130</f>
        <v>1</v>
      </c>
      <c r="W10" s="26" t="n">
        <f aca="false">K128</f>
        <v>0.991198658843252</v>
      </c>
      <c r="X10" s="26" t="n">
        <f aca="false">K129</f>
        <v>0.991198658843252</v>
      </c>
      <c r="Y10" s="26" t="n">
        <f aca="false">K130</f>
        <v>0.991198658843252</v>
      </c>
    </row>
    <row r="11" customFormat="false" ht="15" hidden="false" customHeight="false" outlineLevel="0" collapsed="false">
      <c r="A11" s="5" t="n">
        <v>6</v>
      </c>
      <c r="B11" s="9" t="s">
        <v>751</v>
      </c>
      <c r="C11" s="9" t="s">
        <v>643</v>
      </c>
      <c r="D11" s="6" t="n">
        <v>3</v>
      </c>
      <c r="E11" s="6" t="n">
        <v>1</v>
      </c>
      <c r="F11" s="9" t="s">
        <v>750</v>
      </c>
      <c r="G11" s="9" t="s">
        <v>16</v>
      </c>
      <c r="H11" s="15" t="n">
        <v>0</v>
      </c>
      <c r="I11" s="15" t="n">
        <v>0</v>
      </c>
      <c r="J11" s="15" t="n">
        <v>0</v>
      </c>
      <c r="K11" s="15" t="n">
        <f aca="false">INDEX(lg_real_3463_40HC,1)</f>
        <v>72550</v>
      </c>
      <c r="L11" s="15" t="n">
        <f aca="false">INDEX(lg_real_3463_40HC,2)</f>
        <v>66850</v>
      </c>
      <c r="M11" s="15" t="n">
        <f aca="false">INDEX(lg_real_3463_40HC,3)</f>
        <v>55400</v>
      </c>
      <c r="N11" s="15" t="n">
        <v>0</v>
      </c>
      <c r="O11" s="15" t="n">
        <v>0</v>
      </c>
      <c r="P11" s="15" t="n">
        <v>0</v>
      </c>
      <c r="Q11" s="42" t="n">
        <f aca="false">H11+K11+N11</f>
        <v>72550</v>
      </c>
      <c r="R11" s="42" t="n">
        <f aca="false">I11+L11+O11</f>
        <v>66850</v>
      </c>
      <c r="S11" s="42" t="n">
        <f aca="false">J11+M11+P11</f>
        <v>55400</v>
      </c>
      <c r="T11" s="27" t="b">
        <f aca="false">J131</f>
        <v>1</v>
      </c>
      <c r="U11" s="27" t="b">
        <f aca="false">J132</f>
        <v>1</v>
      </c>
      <c r="V11" s="27" t="b">
        <f aca="false">J133</f>
        <v>1</v>
      </c>
      <c r="W11" s="26" t="n">
        <f aca="false">K131</f>
        <v>0.958927074601844</v>
      </c>
      <c r="X11" s="26" t="n">
        <f aca="false">K132</f>
        <v>0.958927074601844</v>
      </c>
      <c r="Y11" s="26" t="n">
        <f aca="false">K133</f>
        <v>0.958927074601844</v>
      </c>
    </row>
    <row r="12" customFormat="false" ht="15" hidden="false" customHeight="false" outlineLevel="0" collapsed="false">
      <c r="A12" s="5" t="n">
        <v>7</v>
      </c>
      <c r="B12" s="9" t="s">
        <v>752</v>
      </c>
      <c r="C12" s="9" t="s">
        <v>643</v>
      </c>
      <c r="D12" s="6" t="n">
        <v>3</v>
      </c>
      <c r="E12" s="6" t="n">
        <v>1</v>
      </c>
      <c r="F12" s="9" t="s">
        <v>750</v>
      </c>
      <c r="G12" s="9" t="s">
        <v>17</v>
      </c>
      <c r="H12" s="15" t="n">
        <v>0</v>
      </c>
      <c r="I12" s="15" t="n">
        <v>0</v>
      </c>
      <c r="J12" s="15" t="n">
        <v>0</v>
      </c>
      <c r="K12" s="15" t="n">
        <v>0</v>
      </c>
      <c r="L12" s="15" t="n">
        <v>0</v>
      </c>
      <c r="M12" s="15" t="n">
        <v>0</v>
      </c>
      <c r="N12" s="15" t="n">
        <f aca="false">INDEX(lg_real_3460_40HC,1)</f>
        <v>115400</v>
      </c>
      <c r="O12" s="15" t="n">
        <f aca="false">INDEX(lg_real_3460_40HC,2)</f>
        <v>106400</v>
      </c>
      <c r="P12" s="15" t="n">
        <f aca="false">INDEX(lg_real_3460_40HC,3)</f>
        <v>88200</v>
      </c>
      <c r="Q12" s="42" t="n">
        <f aca="false">H12+K12+N12</f>
        <v>115400</v>
      </c>
      <c r="R12" s="42" t="n">
        <f aca="false">I12+L12+O12</f>
        <v>106400</v>
      </c>
      <c r="S12" s="42" t="n">
        <f aca="false">J12+M12+P12</f>
        <v>88200</v>
      </c>
      <c r="T12" s="27" t="b">
        <f aca="false">J134</f>
        <v>1</v>
      </c>
      <c r="U12" s="27" t="b">
        <f aca="false">J135</f>
        <v>1</v>
      </c>
      <c r="V12" s="27" t="b">
        <f aca="false">J136</f>
        <v>1</v>
      </c>
      <c r="W12" s="26" t="n">
        <f aca="false">K134</f>
        <v>0.985750209555742</v>
      </c>
      <c r="X12" s="26" t="n">
        <f aca="false">K135</f>
        <v>0.985750209555742</v>
      </c>
      <c r="Y12" s="26" t="n">
        <f aca="false">K136</f>
        <v>0.985750209555742</v>
      </c>
    </row>
    <row r="13" customFormat="false" ht="15" hidden="false" customHeight="false" outlineLevel="0" collapsed="false">
      <c r="A13" s="5" t="n">
        <v>8</v>
      </c>
      <c r="B13" s="9" t="s">
        <v>753</v>
      </c>
      <c r="C13" s="9" t="s">
        <v>640</v>
      </c>
      <c r="D13" s="6" t="n">
        <v>2</v>
      </c>
      <c r="E13" s="6" t="n">
        <v>1</v>
      </c>
      <c r="F13" s="9" t="s">
        <v>748</v>
      </c>
      <c r="G13" s="9"/>
      <c r="H13" s="60" t="n">
        <v>24700</v>
      </c>
      <c r="I13" s="60" t="n">
        <v>22600</v>
      </c>
      <c r="J13" s="60" t="n">
        <v>19100</v>
      </c>
      <c r="K13" s="60" t="n">
        <v>24700</v>
      </c>
      <c r="L13" s="60" t="n">
        <v>22600</v>
      </c>
      <c r="M13" s="60" t="n">
        <v>19100</v>
      </c>
      <c r="N13" s="60" t="n">
        <v>24700</v>
      </c>
      <c r="O13" s="60" t="n">
        <v>22600</v>
      </c>
      <c r="P13" s="60" t="n">
        <v>19100</v>
      </c>
      <c r="Q13" s="42" t="n">
        <f aca="false">H13+K13+N13</f>
        <v>74100</v>
      </c>
      <c r="R13" s="42" t="n">
        <f aca="false">I13+L13+O13</f>
        <v>67800</v>
      </c>
      <c r="S13" s="42" t="n">
        <f aca="false">J13+M13+P13</f>
        <v>57300</v>
      </c>
      <c r="T13" s="27" t="b">
        <f aca="false">J137</f>
        <v>1</v>
      </c>
      <c r="U13" s="27" t="b">
        <f aca="false">J138</f>
        <v>1</v>
      </c>
      <c r="V13" s="27" t="b">
        <f aca="false">J139</f>
        <v>1</v>
      </c>
      <c r="W13" s="26" t="n">
        <f aca="false">K137</f>
        <v>0.999580888516345</v>
      </c>
      <c r="X13" s="26" t="n">
        <f aca="false">K138</f>
        <v>0.999580888516345</v>
      </c>
      <c r="Y13" s="26" t="n">
        <f aca="false">K139</f>
        <v>0.999580888516345</v>
      </c>
    </row>
    <row r="14" customFormat="false" ht="15" hidden="false" customHeight="false" outlineLevel="0" collapsed="false">
      <c r="A14" s="5" t="n">
        <v>9</v>
      </c>
      <c r="B14" s="9" t="s">
        <v>754</v>
      </c>
      <c r="C14" s="9" t="s">
        <v>636</v>
      </c>
      <c r="D14" s="6" t="n">
        <v>1</v>
      </c>
      <c r="E14" s="6" t="n">
        <v>1</v>
      </c>
      <c r="F14" s="9" t="s">
        <v>748</v>
      </c>
      <c r="G14" s="9"/>
      <c r="H14" s="60" t="n">
        <v>11600</v>
      </c>
      <c r="I14" s="60" t="n">
        <v>10600</v>
      </c>
      <c r="J14" s="60" t="n">
        <v>9000</v>
      </c>
      <c r="K14" s="60" t="n">
        <v>11600</v>
      </c>
      <c r="L14" s="60" t="n">
        <v>10600</v>
      </c>
      <c r="M14" s="60" t="n">
        <v>9000</v>
      </c>
      <c r="N14" s="60" t="n">
        <v>11600</v>
      </c>
      <c r="O14" s="60" t="n">
        <v>10600</v>
      </c>
      <c r="P14" s="60" t="n">
        <v>9000</v>
      </c>
      <c r="Q14" s="42" t="n">
        <f aca="false">H14+K14+N14</f>
        <v>34800</v>
      </c>
      <c r="R14" s="42" t="n">
        <f aca="false">I14+L14+O14</f>
        <v>31800</v>
      </c>
      <c r="S14" s="42" t="n">
        <f aca="false">J14+M14+P14</f>
        <v>27000</v>
      </c>
      <c r="T14" s="27" t="b">
        <f aca="false">J140</f>
        <v>1</v>
      </c>
      <c r="U14" s="27" t="b">
        <f aca="false">J141</f>
        <v>1</v>
      </c>
      <c r="V14" s="27" t="b">
        <f aca="false">J142</f>
        <v>1</v>
      </c>
      <c r="W14" s="26" t="n">
        <f aca="false">K140</f>
        <v>0.972413793103448</v>
      </c>
      <c r="X14" s="26" t="n">
        <f aca="false">K141</f>
        <v>0.972413793103448</v>
      </c>
      <c r="Y14" s="26" t="n">
        <f aca="false">K142</f>
        <v>0.972413793103448</v>
      </c>
    </row>
    <row r="15" customFormat="false" ht="15" hidden="false" customHeight="false" outlineLevel="0" collapsed="false">
      <c r="A15" s="5" t="n">
        <v>10</v>
      </c>
      <c r="B15" s="9" t="s">
        <v>755</v>
      </c>
      <c r="C15" s="9" t="s">
        <v>645</v>
      </c>
      <c r="D15" s="6" t="n">
        <v>4</v>
      </c>
      <c r="E15" s="6" t="n">
        <v>0</v>
      </c>
      <c r="F15" s="9" t="s">
        <v>744</v>
      </c>
      <c r="G15" s="9"/>
      <c r="H15" s="39" t="n">
        <v>3350</v>
      </c>
      <c r="I15" s="39" t="n">
        <v>3350</v>
      </c>
      <c r="J15" s="39" t="n">
        <v>3350</v>
      </c>
      <c r="K15" s="39" t="n">
        <v>3350</v>
      </c>
      <c r="L15" s="39" t="n">
        <v>3350</v>
      </c>
      <c r="M15" s="39" t="n">
        <v>3350</v>
      </c>
      <c r="N15" s="39" t="n">
        <v>3300</v>
      </c>
      <c r="O15" s="39" t="n">
        <v>3300</v>
      </c>
      <c r="P15" s="39" t="n">
        <v>3300</v>
      </c>
      <c r="Q15" s="42" t="n">
        <f aca="false">H15+K15+N15</f>
        <v>10000</v>
      </c>
      <c r="R15" s="42" t="n">
        <f aca="false">I15+L15+O15</f>
        <v>10000</v>
      </c>
      <c r="S15" s="42" t="n">
        <f aca="false">J15+M15+P15</f>
        <v>10000</v>
      </c>
      <c r="T15" s="27" t="b">
        <f aca="false">TRUE()</f>
        <v>1</v>
      </c>
      <c r="U15" s="27" t="b">
        <f aca="false">TRUE()</f>
        <v>1</v>
      </c>
      <c r="V15" s="27" t="b">
        <f aca="false">TRUE()</f>
        <v>1</v>
      </c>
      <c r="W15" s="8" t="str">
        <f aca="false">""</f>
        <v/>
      </c>
      <c r="X15" s="8" t="str">
        <f aca="false">""</f>
        <v/>
      </c>
      <c r="Y15" s="8" t="str">
        <f aca="false">""</f>
        <v/>
      </c>
    </row>
    <row r="17" customFormat="false" ht="15" hidden="false" customHeight="false" outlineLevel="0" collapsed="false">
      <c r="A17" s="3" t="s">
        <v>756</v>
      </c>
      <c r="B17" s="4"/>
      <c r="C17" s="4"/>
      <c r="D17" s="4"/>
      <c r="E17" s="4"/>
      <c r="F17" s="4"/>
      <c r="G17" s="4"/>
      <c r="H17" s="4"/>
      <c r="I17" s="4"/>
      <c r="J17" s="4"/>
      <c r="K17" s="4"/>
      <c r="L17" s="4"/>
    </row>
    <row r="18" customFormat="false" ht="15" hidden="false" customHeight="false" outlineLevel="0" collapsed="false">
      <c r="B18" s="16" t="s">
        <v>757</v>
      </c>
      <c r="C18" s="8" t="str">
        <f aca="false">IF(INDEX(cfg_fits,1,1),"Yes","No")&amp;" / "&amp;IF(INDEX(cfg_fits,1,2),"Yes","No")&amp;" / "&amp;IF(INDEX(cfg_fits,1,3),"Yes","No")</f>
        <v>Yes / Yes / Yes</v>
      </c>
      <c r="D18" s="8"/>
      <c r="E18" s="8"/>
      <c r="F18" s="8"/>
      <c r="G18" s="8"/>
      <c r="H18" s="8"/>
      <c r="I18" s="8"/>
      <c r="J18" s="8"/>
      <c r="K18" s="8"/>
      <c r="L18" s="8"/>
      <c r="M18" s="8"/>
      <c r="N18" s="8"/>
    </row>
    <row r="19" customFormat="false" ht="15" hidden="false" customHeight="false" outlineLevel="0" collapsed="false">
      <c r="B19" s="16" t="s">
        <v>758</v>
      </c>
      <c r="C19" s="8" t="str">
        <f aca="false">IF(INDEX(cfg_fits,2,1),"Yes","No")&amp;" / "&amp;IF(INDEX(cfg_fits,2,2),"Yes","No")&amp;" / "&amp;IF(INDEX(cfg_fits,2,3),"Yes","No")</f>
        <v>Yes / Yes / No</v>
      </c>
      <c r="D19" s="8"/>
      <c r="E19" s="8"/>
      <c r="F19" s="8"/>
      <c r="G19" s="8"/>
      <c r="H19" s="8"/>
      <c r="I19" s="8"/>
      <c r="J19" s="8"/>
      <c r="K19" s="8"/>
      <c r="L19" s="8"/>
      <c r="M19" s="8"/>
      <c r="N19" s="8"/>
    </row>
    <row r="20" customFormat="false" ht="15" hidden="false" customHeight="false" outlineLevel="0" collapsed="false">
      <c r="B20" s="16" t="s">
        <v>759</v>
      </c>
      <c r="C20" s="8" t="str">
        <f aca="false">IF(INDEX(cfg_fits,3,1),"Yes","No")&amp;" / "&amp;IF(INDEX(cfg_fits,3,2),"Yes","No")&amp;" / "&amp;IF(INDEX(cfg_fits,3,3),"Yes","No")</f>
        <v>Yes / Yes / No</v>
      </c>
      <c r="D20" s="8"/>
      <c r="E20" s="8"/>
      <c r="F20" s="8"/>
      <c r="G20" s="8"/>
      <c r="H20" s="8"/>
      <c r="I20" s="8"/>
      <c r="J20" s="8"/>
      <c r="K20" s="8"/>
      <c r="L20" s="8"/>
      <c r="M20" s="8"/>
      <c r="N20" s="8"/>
    </row>
    <row r="21" customFormat="false" ht="15" hidden="false" customHeight="false" outlineLevel="0" collapsed="false">
      <c r="B21" s="16" t="s">
        <v>760</v>
      </c>
      <c r="C21" s="8" t="str">
        <f aca="false">IF(AND(INDEX(cfg_fits,2,1),INDEX(cfg_fits,2,2),INDEX(cfg_fits,2,3)),"One 40' GP (fits in all scenarios)",IF(AND(INDEX(cfg_fits,1,1),INDEX(cfg_fits,1,2),INDEX(cfg_fits,1,3)),"One 40' HC – a 40' GP fails under STRESS bundle thickness; HC is the robust choice","Split shipment required"))</f>
        <v>One 40' HC – a 40' GP fails under STRESS bundle thickness; HC is the robust choice</v>
      </c>
      <c r="D21" s="8"/>
      <c r="E21" s="8"/>
      <c r="F21" s="8"/>
      <c r="G21" s="8"/>
      <c r="H21" s="8"/>
      <c r="I21" s="8"/>
      <c r="J21" s="8"/>
      <c r="K21" s="8"/>
      <c r="L21" s="8"/>
      <c r="M21" s="8"/>
      <c r="N21" s="8"/>
    </row>
    <row r="22" customFormat="false" ht="15" hidden="false" customHeight="false" outlineLevel="0" collapsed="false">
      <c r="B22" s="16" t="s">
        <v>761</v>
      </c>
      <c r="C22" s="8" t="str">
        <f aca="false">TEXT(INDEX(cfg_lenutil,1,2),"0%")</f>
        <v>80%</v>
      </c>
      <c r="D22" s="8"/>
      <c r="E22" s="8"/>
      <c r="F22" s="8"/>
      <c r="G22" s="8"/>
      <c r="H22" s="8"/>
      <c r="I22" s="8"/>
      <c r="J22" s="8"/>
      <c r="K22" s="8"/>
      <c r="L22" s="8"/>
      <c r="M22" s="8"/>
      <c r="N22" s="8"/>
    </row>
    <row r="23" customFormat="false" ht="15" hidden="false" customHeight="false" outlineLevel="0" collapsed="false">
      <c r="B23" s="16" t="s">
        <v>762</v>
      </c>
      <c r="C23" s="8" t="str">
        <f aca="false">TEXT(INDEX(cfg_total,4,2),"#,##0")&amp;" boxes ("&amp;TEXT(INDEX(cfg_u_3464,4,2),"#,##0")&amp;" per SKU)"</f>
        <v>77,400 boxes (25,800 per SKU)</v>
      </c>
      <c r="D23" s="8"/>
      <c r="E23" s="8"/>
      <c r="F23" s="8"/>
      <c r="G23" s="8"/>
      <c r="H23" s="8"/>
      <c r="I23" s="8"/>
      <c r="J23" s="8"/>
      <c r="K23" s="8"/>
      <c r="L23" s="8"/>
      <c r="M23" s="8"/>
      <c r="N23" s="8"/>
    </row>
    <row r="24" customFormat="false" ht="23.85" hidden="false" customHeight="false" outlineLevel="0" collapsed="false">
      <c r="B24" s="16" t="s">
        <v>763</v>
      </c>
      <c r="C24" s="54" t="n">
        <f aca="false">MAX(0,((INDEX(in_ori_truck_20,1,sel_scen)/fx_active+INDEX(in_ori_terminal,1,sel_scen)+INDEX(in_ori_othc_20,1,sel_scen)+INDEX(in_ori_seal,1,sel_scen)+INDEX(tbl_ocean_rate,1,sel_scen)+INDEX(tbl_dest_line,1,sel_scen)*(1+INDEX(in_dra_fsc,1,sel_scen))+INDEX(tbl_dest_tolls,1,sel_scen)+INDEX(in_dra_chassis_days,1,sel_scen)*INDEX(tbl_dest_chassis,1,sel_scen)+INDEX(in_dra_unload_20,1,sel_scen))-(INDEX(in_ori_lcl_truck,1,sel_scen)/fx_active+INDEX(in_ori_lcl_cfs_o,1,sel_scen)+INDEX(in_dra_lcl_cfs_d,1,sel_scen)+INDEX(in_dra_lcl_deliv,1,sel_scen)))/(INDEX(in_oce_lcl_rate,1,sel_scen)*INDEX(in_oce_lcl_factor,1,sel_scen)))</f>
        <v>19.3920830550345</v>
      </c>
      <c r="D24" s="9" t="s">
        <v>764</v>
      </c>
    </row>
    <row r="25" customFormat="false" ht="15" hidden="false" customHeight="false" outlineLevel="0" collapsed="false">
      <c r="B25" s="16" t="s">
        <v>765</v>
      </c>
      <c r="C25" s="15" t="n">
        <f aca="false">ship_lcl_be_m3/((INDEX(lg_vpu_3464,sel_scen)+INDEX(lg_vpu_3463,sel_scen)+INDEX(lg_vpu_3460,sel_scen))/3)</f>
        <v>27056.5056837689</v>
      </c>
      <c r="D25" s="9" t="s">
        <v>766</v>
      </c>
    </row>
    <row r="29" customFormat="false" ht="15" hidden="false" customHeight="false" outlineLevel="0" collapsed="false">
      <c r="A29" s="3" t="s">
        <v>767</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customFormat="false" ht="23.85" hidden="false" customHeight="false" outlineLevel="0" collapsed="false">
      <c r="A30" s="13" t="s">
        <v>768</v>
      </c>
      <c r="B30" s="13" t="s">
        <v>666</v>
      </c>
      <c r="C30" s="13" t="s">
        <v>180</v>
      </c>
      <c r="D30" s="13" t="s">
        <v>722</v>
      </c>
      <c r="E30" s="13" t="s">
        <v>723</v>
      </c>
      <c r="F30" s="13" t="s">
        <v>769</v>
      </c>
      <c r="G30" s="13" t="s">
        <v>770</v>
      </c>
      <c r="H30" s="13" t="s">
        <v>698</v>
      </c>
      <c r="I30" s="13" t="s">
        <v>771</v>
      </c>
      <c r="J30" s="13" t="s">
        <v>699</v>
      </c>
      <c r="K30" s="13" t="s">
        <v>772</v>
      </c>
      <c r="L30" s="13" t="s">
        <v>773</v>
      </c>
      <c r="M30" s="13" t="s">
        <v>774</v>
      </c>
      <c r="N30" s="13" t="s">
        <v>775</v>
      </c>
      <c r="O30" s="13" t="s">
        <v>690</v>
      </c>
      <c r="P30" s="13" t="s">
        <v>689</v>
      </c>
      <c r="Q30" s="13" t="s">
        <v>776</v>
      </c>
      <c r="R30" s="13" t="s">
        <v>777</v>
      </c>
      <c r="S30" s="13" t="s">
        <v>778</v>
      </c>
      <c r="T30" s="13" t="s">
        <v>779</v>
      </c>
      <c r="U30" s="13" t="s">
        <v>780</v>
      </c>
      <c r="V30" s="13" t="s">
        <v>781</v>
      </c>
      <c r="W30" s="13" t="s">
        <v>782</v>
      </c>
      <c r="X30" s="13" t="s">
        <v>783</v>
      </c>
      <c r="Y30" s="13" t="s">
        <v>784</v>
      </c>
      <c r="Z30" s="13" t="s">
        <v>785</v>
      </c>
      <c r="AA30" s="13" t="s">
        <v>786</v>
      </c>
      <c r="AB30" s="13" t="s">
        <v>787</v>
      </c>
      <c r="AC30" s="13" t="s">
        <v>788</v>
      </c>
      <c r="AD30" s="13" t="s">
        <v>789</v>
      </c>
      <c r="AE30" s="13" t="s">
        <v>790</v>
      </c>
    </row>
    <row r="31" customFormat="false" ht="15" hidden="false" customHeight="false" outlineLevel="0" collapsed="false">
      <c r="A31" s="9" t="n">
        <v>1</v>
      </c>
      <c r="B31" s="9" t="n">
        <v>1</v>
      </c>
      <c r="C31" s="9" t="s">
        <v>15</v>
      </c>
      <c r="D31" s="10" t="n">
        <f aca="false">INDEX(cfg_ct,A31)</f>
        <v>3</v>
      </c>
      <c r="E31" s="10" t="n">
        <f aca="false">INDEX(cfg_n,A31)</f>
        <v>1</v>
      </c>
      <c r="F31" s="15" t="n">
        <f aca="false">INDEX(cfg_u_3464,A31,B31)</f>
        <v>20000</v>
      </c>
      <c r="G31" s="15" t="n">
        <f aca="false">F31/E31</f>
        <v>20000</v>
      </c>
      <c r="H31" s="10" t="n">
        <f aca="false">INDEX(lg_n_3464,B31)</f>
        <v>50</v>
      </c>
      <c r="I31" s="15" t="n">
        <f aca="false">ROUNDUP(G31/H31,0)</f>
        <v>400</v>
      </c>
      <c r="J31" s="10" t="n">
        <f aca="false">INDEX(lg_layers_3464_40HC,B31)</f>
        <v>34</v>
      </c>
      <c r="K31" s="26" t="n">
        <f aca="false">INDEX(in_use_efficiency,1,B31)</f>
        <v>0.97</v>
      </c>
      <c r="L31" s="10" t="n">
        <f aca="false">IF(I31=0,0,ROUNDUP(I31/(K31*J31)-0.000000001,0))</f>
        <v>13</v>
      </c>
      <c r="M31" s="10" t="n">
        <f aca="false">INDEX(lg_a_3464,B31)</f>
        <v>940</v>
      </c>
      <c r="N31" s="10" t="n">
        <f aca="false">INDEX(lg_b_3464,B31)</f>
        <v>473</v>
      </c>
      <c r="O31" s="10" t="n">
        <f aca="false">INDEX(lg_Wu_40HC,B31)</f>
        <v>2330</v>
      </c>
      <c r="P31" s="10" t="n">
        <f aca="false">INDEX(lg_Lu_40HC,B31)</f>
        <v>11930</v>
      </c>
      <c r="Q31" s="10" t="n">
        <f aca="false">IF(O31-0*M31&gt;=0,INT((O31-0*M31)/N31),-1)</f>
        <v>4</v>
      </c>
      <c r="R31" s="10" t="n">
        <f aca="false">IF(AND(Q31&gt;=0,Q31+0&gt;0),ROUNDUP(L31/(Q31+0*M31/N31),0),0)</f>
        <v>4</v>
      </c>
      <c r="S31" s="10" t="n">
        <f aca="false">IF(AND(Q31&gt;=0,Q31+0&gt;0),ROUNDUP(L31/(Q31*N31/M31+0),0),0)</f>
        <v>7</v>
      </c>
      <c r="T31" s="10" t="n">
        <f aca="false">IF(OR(Q31&lt;0,Q31+0=0),1000000000,MIN(IF(AND(MAX(R31+(-1),0)*M31&gt;0,Q31*INT(MAX(R31+(-1),0)*M31/M31)+0*INT(MAX(R31+(-1),0)*M31/N31)&gt;=L31),MAX(R31+(-1),0)*M31,1000000000),IF(AND(MAX(R31+(0),0)*M31&gt;0,Q31*INT(MAX(R31+(0),0)*M31/M31)+0*INT(MAX(R31+(0),0)*M31/N31)&gt;=L31),MAX(R31+(0),0)*M31,1000000000),IF(AND(MAX(R31+(1),0)*M31&gt;0,Q31*INT(MAX(R31+(1),0)*M31/M31)+0*INT(MAX(R31+(1),0)*M31/N31)&gt;=L31),MAX(R31+(1),0)*M31,1000000000),IF(AND(MAX(R31+(2),0)*M31&gt;0,Q31*INT(MAX(R31+(2),0)*M31/M31)+0*INT(MAX(R31+(2),0)*M31/N31)&gt;=L31),MAX(R31+(2),0)*M31,1000000000),IF(AND(MAX(S31+(-1),0)*N31&gt;0,Q31*INT(MAX(S31+(-1),0)*N31/M31)+0*INT(MAX(S31+(-1),0)*N31/N31)&gt;=L31),MAX(S31+(-1),0)*N31,1000000000),IF(AND(MAX(S31+(0),0)*N31&gt;0,Q31*INT(MAX(S31+(0),0)*N31/M31)+0*INT(MAX(S31+(0),0)*N31/N31)&gt;=L31),MAX(S31+(0),0)*N31,1000000000),IF(AND(MAX(S31+(1),0)*N31&gt;0,Q31*INT(MAX(S31+(1),0)*N31/M31)+0*INT(MAX(S31+(1),0)*N31/N31)&gt;=L31),MAX(S31+(1),0)*N31,1000000000),IF(AND(MAX(S31+(2),0)*N31&gt;0,Q31*INT(MAX(S31+(2),0)*N31/M31)+0*INT(MAX(S31+(2),0)*N31/N31)&gt;=L31),MAX(S31+(2),0)*N31,1000000000)))</f>
        <v>3760</v>
      </c>
      <c r="U31" s="10" t="n">
        <f aca="false">IF(O31-1*M31&gt;=0,INT((O31-1*M31)/N31),-1)</f>
        <v>2</v>
      </c>
      <c r="V31" s="10" t="n">
        <f aca="false">IF(AND(U31&gt;=0,U31+1&gt;0),ROUNDUP(L31/(U31+1*M31/N31),0),0)</f>
        <v>4</v>
      </c>
      <c r="W31" s="10" t="n">
        <f aca="false">IF(AND(U31&gt;=0,U31+1&gt;0),ROUNDUP(L31/(U31*N31/M31+1),0),0)</f>
        <v>7</v>
      </c>
      <c r="X31" s="10" t="n">
        <f aca="false">IF(OR(U31&lt;0,U31+1=0),1000000000,MIN(IF(AND(MAX(V31+(-1),0)*M31&gt;0,U31*INT(MAX(V31+(-1),0)*M31/M31)+1*INT(MAX(V31+(-1),0)*M31/N31)&gt;=L31),MAX(V31+(-1),0)*M31,1000000000),IF(AND(MAX(V31+(0),0)*M31&gt;0,U31*INT(MAX(V31+(0),0)*M31/M31)+1*INT(MAX(V31+(0),0)*M31/N31)&gt;=L31),MAX(V31+(0),0)*M31,1000000000),IF(AND(MAX(V31+(1),0)*M31&gt;0,U31*INT(MAX(V31+(1),0)*M31/M31)+1*INT(MAX(V31+(1),0)*M31/N31)&gt;=L31),MAX(V31+(1),0)*M31,1000000000),IF(AND(MAX(V31+(2),0)*M31&gt;0,U31*INT(MAX(V31+(2),0)*M31/M31)+1*INT(MAX(V31+(2),0)*M31/N31)&gt;=L31),MAX(V31+(2),0)*M31,1000000000),IF(AND(MAX(W31+(-1),0)*N31&gt;0,U31*INT(MAX(W31+(-1),0)*N31/M31)+1*INT(MAX(W31+(-1),0)*N31/N31)&gt;=L31),MAX(W31+(-1),0)*N31,1000000000),IF(AND(MAX(W31+(0),0)*N31&gt;0,U31*INT(MAX(W31+(0),0)*N31/M31)+1*INT(MAX(W31+(0),0)*N31/N31)&gt;=L31),MAX(W31+(0),0)*N31,1000000000),IF(AND(MAX(W31+(1),0)*N31&gt;0,U31*INT(MAX(W31+(1),0)*N31/M31)+1*INT(MAX(W31+(1),0)*N31/N31)&gt;=L31),MAX(W31+(1),0)*N31,1000000000),IF(AND(MAX(W31+(2),0)*N31&gt;0,U31*INT(MAX(W31+(2),0)*N31/M31)+1*INT(MAX(W31+(2),0)*N31/N31)&gt;=L31),MAX(W31+(2),0)*N31,1000000000)))</f>
        <v>3311</v>
      </c>
      <c r="Y31" s="10" t="n">
        <f aca="false">IF(O31-2*M31&gt;=0,INT((O31-2*M31)/N31),-1)</f>
        <v>0</v>
      </c>
      <c r="Z31" s="10" t="n">
        <f aca="false">IF(AND(Y31&gt;=0,Y31+2&gt;0),ROUNDUP(L31/(Y31+2*M31/N31),0),0)</f>
        <v>4</v>
      </c>
      <c r="AA31" s="10" t="n">
        <f aca="false">IF(AND(Y31&gt;=0,Y31+2&gt;0),ROUNDUP(L31/(Y31*N31/M31+2),0),0)</f>
        <v>7</v>
      </c>
      <c r="AB31" s="10" t="n">
        <f aca="false">IF(OR(Y31&lt;0,Y31+2=0),1000000000,MIN(IF(AND(MAX(Z31+(-1),0)*M31&gt;0,Y31*INT(MAX(Z31+(-1),0)*M31/M31)+2*INT(MAX(Z31+(-1),0)*M31/N31)&gt;=L31),MAX(Z31+(-1),0)*M31,1000000000),IF(AND(MAX(Z31+(0),0)*M31&gt;0,Y31*INT(MAX(Z31+(0),0)*M31/M31)+2*INT(MAX(Z31+(0),0)*M31/N31)&gt;=L31),MAX(Z31+(0),0)*M31,1000000000),IF(AND(MAX(Z31+(1),0)*M31&gt;0,Y31*INT(MAX(Z31+(1),0)*M31/M31)+2*INT(MAX(Z31+(1),0)*M31/N31)&gt;=L31),MAX(Z31+(1),0)*M31,1000000000),IF(AND(MAX(Z31+(2),0)*M31&gt;0,Y31*INT(MAX(Z31+(2),0)*M31/M31)+2*INT(MAX(Z31+(2),0)*M31/N31)&gt;=L31),MAX(Z31+(2),0)*M31,1000000000),IF(AND(MAX(AA31+(-1),0)*N31&gt;0,Y31*INT(MAX(AA31+(-1),0)*N31/M31)+2*INT(MAX(AA31+(-1),0)*N31/N31)&gt;=L31),MAX(AA31+(-1),0)*N31,1000000000),IF(AND(MAX(AA31+(0),0)*N31&gt;0,Y31*INT(MAX(AA31+(0),0)*N31/M31)+2*INT(MAX(AA31+(0),0)*N31/N31)&gt;=L31),MAX(AA31+(0),0)*N31,1000000000),IF(AND(MAX(AA31+(1),0)*N31&gt;0,Y31*INT(MAX(AA31+(1),0)*N31/M31)+2*INT(MAX(AA31+(1),0)*N31/N31)&gt;=L31),MAX(AA31+(1),0)*N31,1000000000),IF(AND(MAX(AA31+(2),0)*N31&gt;0,Y31*INT(MAX(AA31+(2),0)*N31/M31)+2*INT(MAX(AA31+(2),0)*N31/N31)&gt;=L31),MAX(AA31+(2),0)*N31,1000000000)))</f>
        <v>3311</v>
      </c>
      <c r="AC31" s="42" t="n">
        <f aca="false">IF(L31=0,0,MIN(T31,X31,AB31))</f>
        <v>3311</v>
      </c>
      <c r="AD31" s="15" t="n">
        <f aca="false">I31*INDEX(lg_bkg_3464,B31)</f>
        <v>3260.5888</v>
      </c>
      <c r="AE31" s="33" t="n">
        <f aca="false">I31*INDEX(lg_bvol_3464,B31)</f>
        <v>13.3386</v>
      </c>
    </row>
    <row r="32" customFormat="false" ht="15" hidden="false" customHeight="false" outlineLevel="0" collapsed="false">
      <c r="A32" s="9" t="n">
        <v>1</v>
      </c>
      <c r="B32" s="9" t="n">
        <v>1</v>
      </c>
      <c r="C32" s="9" t="s">
        <v>16</v>
      </c>
      <c r="D32" s="10" t="n">
        <f aca="false">INDEX(cfg_ct,A32)</f>
        <v>3</v>
      </c>
      <c r="E32" s="10" t="n">
        <f aca="false">INDEX(cfg_n,A32)</f>
        <v>1</v>
      </c>
      <c r="F32" s="15" t="n">
        <f aca="false">INDEX(cfg_u_3463,A32,B32)</f>
        <v>20000</v>
      </c>
      <c r="G32" s="15" t="n">
        <f aca="false">F32/E32</f>
        <v>20000</v>
      </c>
      <c r="H32" s="10" t="n">
        <f aca="false">INDEX(lg_n_3463,B32)</f>
        <v>50</v>
      </c>
      <c r="I32" s="15" t="n">
        <f aca="false">ROUNDUP(G32/H32,0)</f>
        <v>400</v>
      </c>
      <c r="J32" s="10" t="n">
        <f aca="false">INDEX(lg_layers_3463_40HC,B32)</f>
        <v>34</v>
      </c>
      <c r="K32" s="26" t="n">
        <f aca="false">INDEX(in_use_efficiency,1,B32)</f>
        <v>0.97</v>
      </c>
      <c r="L32" s="10" t="n">
        <f aca="false">IF(I32=0,0,ROUNDUP(I32/(K32*J32)-0.000000001,0))</f>
        <v>13</v>
      </c>
      <c r="M32" s="10" t="n">
        <f aca="false">INDEX(lg_a_3463,B32)</f>
        <v>1040</v>
      </c>
      <c r="N32" s="10" t="n">
        <f aca="false">INDEX(lg_b_3463,B32)</f>
        <v>523</v>
      </c>
      <c r="O32" s="10" t="n">
        <f aca="false">INDEX(lg_Wu_40HC,B32)</f>
        <v>2330</v>
      </c>
      <c r="P32" s="10" t="n">
        <f aca="false">INDEX(lg_Lu_40HC,B32)</f>
        <v>11930</v>
      </c>
      <c r="Q32" s="10" t="n">
        <f aca="false">IF(O32-0*M32&gt;=0,INT((O32-0*M32)/N32),-1)</f>
        <v>4</v>
      </c>
      <c r="R32" s="10" t="n">
        <f aca="false">IF(AND(Q32&gt;=0,Q32+0&gt;0),ROUNDUP(L32/(Q32+0*M32/N32),0),0)</f>
        <v>4</v>
      </c>
      <c r="S32" s="10" t="n">
        <f aca="false">IF(AND(Q32&gt;=0,Q32+0&gt;0),ROUNDUP(L32/(Q32*N32/M32+0),0),0)</f>
        <v>7</v>
      </c>
      <c r="T32" s="10" t="n">
        <f aca="false">IF(OR(Q32&lt;0,Q32+0=0),1000000000,MIN(IF(AND(MAX(R32+(-1),0)*M32&gt;0,Q32*INT(MAX(R32+(-1),0)*M32/M32)+0*INT(MAX(R32+(-1),0)*M32/N32)&gt;=L32),MAX(R32+(-1),0)*M32,1000000000),IF(AND(MAX(R32+(0),0)*M32&gt;0,Q32*INT(MAX(R32+(0),0)*M32/M32)+0*INT(MAX(R32+(0),0)*M32/N32)&gt;=L32),MAX(R32+(0),0)*M32,1000000000),IF(AND(MAX(R32+(1),0)*M32&gt;0,Q32*INT(MAX(R32+(1),0)*M32/M32)+0*INT(MAX(R32+(1),0)*M32/N32)&gt;=L32),MAX(R32+(1),0)*M32,1000000000),IF(AND(MAX(R32+(2),0)*M32&gt;0,Q32*INT(MAX(R32+(2),0)*M32/M32)+0*INT(MAX(R32+(2),0)*M32/N32)&gt;=L32),MAX(R32+(2),0)*M32,1000000000),IF(AND(MAX(S32+(-1),0)*N32&gt;0,Q32*INT(MAX(S32+(-1),0)*N32/M32)+0*INT(MAX(S32+(-1),0)*N32/N32)&gt;=L32),MAX(S32+(-1),0)*N32,1000000000),IF(AND(MAX(S32+(0),0)*N32&gt;0,Q32*INT(MAX(S32+(0),0)*N32/M32)+0*INT(MAX(S32+(0),0)*N32/N32)&gt;=L32),MAX(S32+(0),0)*N32,1000000000),IF(AND(MAX(S32+(1),0)*N32&gt;0,Q32*INT(MAX(S32+(1),0)*N32/M32)+0*INT(MAX(S32+(1),0)*N32/N32)&gt;=L32),MAX(S32+(1),0)*N32,1000000000),IF(AND(MAX(S32+(2),0)*N32&gt;0,Q32*INT(MAX(S32+(2),0)*N32/M32)+0*INT(MAX(S32+(2),0)*N32/N32)&gt;=L32),MAX(S32+(2),0)*N32,1000000000)))</f>
        <v>4160</v>
      </c>
      <c r="U32" s="10" t="n">
        <f aca="false">IF(O32-1*M32&gt;=0,INT((O32-1*M32)/N32),-1)</f>
        <v>2</v>
      </c>
      <c r="V32" s="10" t="n">
        <f aca="false">IF(AND(U32&gt;=0,U32+1&gt;0),ROUNDUP(L32/(U32+1*M32/N32),0),0)</f>
        <v>4</v>
      </c>
      <c r="W32" s="10" t="n">
        <f aca="false">IF(AND(U32&gt;=0,U32+1&gt;0),ROUNDUP(L32/(U32*N32/M32+1),0),0)</f>
        <v>7</v>
      </c>
      <c r="X32" s="10" t="n">
        <f aca="false">IF(OR(U32&lt;0,U32+1=0),1000000000,MIN(IF(AND(MAX(V32+(-1),0)*M32&gt;0,U32*INT(MAX(V32+(-1),0)*M32/M32)+1*INT(MAX(V32+(-1),0)*M32/N32)&gt;=L32),MAX(V32+(-1),0)*M32,1000000000),IF(AND(MAX(V32+(0),0)*M32&gt;0,U32*INT(MAX(V32+(0),0)*M32/M32)+1*INT(MAX(V32+(0),0)*M32/N32)&gt;=L32),MAX(V32+(0),0)*M32,1000000000),IF(AND(MAX(V32+(1),0)*M32&gt;0,U32*INT(MAX(V32+(1),0)*M32/M32)+1*INT(MAX(V32+(1),0)*M32/N32)&gt;=L32),MAX(V32+(1),0)*M32,1000000000),IF(AND(MAX(V32+(2),0)*M32&gt;0,U32*INT(MAX(V32+(2),0)*M32/M32)+1*INT(MAX(V32+(2),0)*M32/N32)&gt;=L32),MAX(V32+(2),0)*M32,1000000000),IF(AND(MAX(W32+(-1),0)*N32&gt;0,U32*INT(MAX(W32+(-1),0)*N32/M32)+1*INT(MAX(W32+(-1),0)*N32/N32)&gt;=L32),MAX(W32+(-1),0)*N32,1000000000),IF(AND(MAX(W32+(0),0)*N32&gt;0,U32*INT(MAX(W32+(0),0)*N32/M32)+1*INT(MAX(W32+(0),0)*N32/N32)&gt;=L32),MAX(W32+(0),0)*N32,1000000000),IF(AND(MAX(W32+(1),0)*N32&gt;0,U32*INT(MAX(W32+(1),0)*N32/M32)+1*INT(MAX(W32+(1),0)*N32/N32)&gt;=L32),MAX(W32+(1),0)*N32,1000000000),IF(AND(MAX(W32+(2),0)*N32&gt;0,U32*INT(MAX(W32+(2),0)*N32/M32)+1*INT(MAX(W32+(2),0)*N32/N32)&gt;=L32),MAX(W32+(2),0)*N32,1000000000)))</f>
        <v>3661</v>
      </c>
      <c r="Y32" s="10" t="n">
        <f aca="false">IF(O32-2*M32&gt;=0,INT((O32-2*M32)/N32),-1)</f>
        <v>0</v>
      </c>
      <c r="Z32" s="10" t="n">
        <f aca="false">IF(AND(Y32&gt;=0,Y32+2&gt;0),ROUNDUP(L32/(Y32+2*M32/N32),0),0)</f>
        <v>4</v>
      </c>
      <c r="AA32" s="10" t="n">
        <f aca="false">IF(AND(Y32&gt;=0,Y32+2&gt;0),ROUNDUP(L32/(Y32*N32/M32+2),0),0)</f>
        <v>7</v>
      </c>
      <c r="AB32" s="10" t="n">
        <f aca="false">IF(OR(Y32&lt;0,Y32+2=0),1000000000,MIN(IF(AND(MAX(Z32+(-1),0)*M32&gt;0,Y32*INT(MAX(Z32+(-1),0)*M32/M32)+2*INT(MAX(Z32+(-1),0)*M32/N32)&gt;=L32),MAX(Z32+(-1),0)*M32,1000000000),IF(AND(MAX(Z32+(0),0)*M32&gt;0,Y32*INT(MAX(Z32+(0),0)*M32/M32)+2*INT(MAX(Z32+(0),0)*M32/N32)&gt;=L32),MAX(Z32+(0),0)*M32,1000000000),IF(AND(MAX(Z32+(1),0)*M32&gt;0,Y32*INT(MAX(Z32+(1),0)*M32/M32)+2*INT(MAX(Z32+(1),0)*M32/N32)&gt;=L32),MAX(Z32+(1),0)*M32,1000000000),IF(AND(MAX(Z32+(2),0)*M32&gt;0,Y32*INT(MAX(Z32+(2),0)*M32/M32)+2*INT(MAX(Z32+(2),0)*M32/N32)&gt;=L32),MAX(Z32+(2),0)*M32,1000000000),IF(AND(MAX(AA32+(-1),0)*N32&gt;0,Y32*INT(MAX(AA32+(-1),0)*N32/M32)+2*INT(MAX(AA32+(-1),0)*N32/N32)&gt;=L32),MAX(AA32+(-1),0)*N32,1000000000),IF(AND(MAX(AA32+(0),0)*N32&gt;0,Y32*INT(MAX(AA32+(0),0)*N32/M32)+2*INT(MAX(AA32+(0),0)*N32/N32)&gt;=L32),MAX(AA32+(0),0)*N32,1000000000),IF(AND(MAX(AA32+(1),0)*N32&gt;0,Y32*INT(MAX(AA32+(1),0)*N32/M32)+2*INT(MAX(AA32+(1),0)*N32/N32)&gt;=L32),MAX(AA32+(1),0)*N32,1000000000),IF(AND(MAX(AA32+(2),0)*N32&gt;0,Y32*INT(MAX(AA32+(2),0)*N32/M32)+2*INT(MAX(AA32+(2),0)*N32/N32)&gt;=L32),MAX(AA32+(2),0)*N32,1000000000)))</f>
        <v>3661</v>
      </c>
      <c r="AC32" s="42" t="n">
        <f aca="false">IF(L32=0,0,MIN(T32,X32,AB32))</f>
        <v>3661</v>
      </c>
      <c r="AD32" s="15" t="n">
        <f aca="false">I32*INDEX(lg_bkg_3463,B32)</f>
        <v>3985.9168</v>
      </c>
      <c r="AE32" s="33" t="n">
        <f aca="false">I32*INDEX(lg_bvol_3463,B32)</f>
        <v>16.3176</v>
      </c>
    </row>
    <row r="33" customFormat="false" ht="15" hidden="false" customHeight="false" outlineLevel="0" collapsed="false">
      <c r="A33" s="9" t="n">
        <v>1</v>
      </c>
      <c r="B33" s="9" t="n">
        <v>1</v>
      </c>
      <c r="C33" s="9" t="s">
        <v>17</v>
      </c>
      <c r="D33" s="10" t="n">
        <f aca="false">INDEX(cfg_ct,A33)</f>
        <v>3</v>
      </c>
      <c r="E33" s="10" t="n">
        <f aca="false">INDEX(cfg_n,A33)</f>
        <v>1</v>
      </c>
      <c r="F33" s="15" t="n">
        <f aca="false">INDEX(cfg_u_3460,A33,B33)</f>
        <v>20000</v>
      </c>
      <c r="G33" s="15" t="n">
        <f aca="false">F33/E33</f>
        <v>20000</v>
      </c>
      <c r="H33" s="10" t="n">
        <f aca="false">INDEX(lg_n_3460,B33)</f>
        <v>50</v>
      </c>
      <c r="I33" s="15" t="n">
        <f aca="false">ROUNDUP(G33/H33,0)</f>
        <v>400</v>
      </c>
      <c r="J33" s="10" t="n">
        <f aca="false">INDEX(lg_layers_3460_40HC,B33)</f>
        <v>34</v>
      </c>
      <c r="K33" s="26" t="n">
        <f aca="false">INDEX(in_use_efficiency,1,B33)</f>
        <v>0.97</v>
      </c>
      <c r="L33" s="10" t="n">
        <f aca="false">IF(I33=0,0,ROUNDUP(I33/(K33*J33)-0.000000001,0))</f>
        <v>13</v>
      </c>
      <c r="M33" s="10" t="n">
        <f aca="false">INDEX(lg_a_3460,B33)</f>
        <v>840</v>
      </c>
      <c r="N33" s="10" t="n">
        <f aca="false">INDEX(lg_b_3460,B33)</f>
        <v>423</v>
      </c>
      <c r="O33" s="10" t="n">
        <f aca="false">INDEX(lg_Wu_40HC,B33)</f>
        <v>2330</v>
      </c>
      <c r="P33" s="10" t="n">
        <f aca="false">INDEX(lg_Lu_40HC,B33)</f>
        <v>11930</v>
      </c>
      <c r="Q33" s="10" t="n">
        <f aca="false">IF(O33-0*M33&gt;=0,INT((O33-0*M33)/N33),-1)</f>
        <v>5</v>
      </c>
      <c r="R33" s="10" t="n">
        <f aca="false">IF(AND(Q33&gt;=0,Q33+0&gt;0),ROUNDUP(L33/(Q33+0*M33/N33),0),0)</f>
        <v>3</v>
      </c>
      <c r="S33" s="10" t="n">
        <f aca="false">IF(AND(Q33&gt;=0,Q33+0&gt;0),ROUNDUP(L33/(Q33*N33/M33+0),0),0)</f>
        <v>6</v>
      </c>
      <c r="T33" s="10" t="n">
        <f aca="false">IF(OR(Q33&lt;0,Q33+0=0),1000000000,MIN(IF(AND(MAX(R33+(-1),0)*M33&gt;0,Q33*INT(MAX(R33+(-1),0)*M33/M33)+0*INT(MAX(R33+(-1),0)*M33/N33)&gt;=L33),MAX(R33+(-1),0)*M33,1000000000),IF(AND(MAX(R33+(0),0)*M33&gt;0,Q33*INT(MAX(R33+(0),0)*M33/M33)+0*INT(MAX(R33+(0),0)*M33/N33)&gt;=L33),MAX(R33+(0),0)*M33,1000000000),IF(AND(MAX(R33+(1),0)*M33&gt;0,Q33*INT(MAX(R33+(1),0)*M33/M33)+0*INT(MAX(R33+(1),0)*M33/N33)&gt;=L33),MAX(R33+(1),0)*M33,1000000000),IF(AND(MAX(R33+(2),0)*M33&gt;0,Q33*INT(MAX(R33+(2),0)*M33/M33)+0*INT(MAX(R33+(2),0)*M33/N33)&gt;=L33),MAX(R33+(2),0)*M33,1000000000),IF(AND(MAX(S33+(-1),0)*N33&gt;0,Q33*INT(MAX(S33+(-1),0)*N33/M33)+0*INT(MAX(S33+(-1),0)*N33/N33)&gt;=L33),MAX(S33+(-1),0)*N33,1000000000),IF(AND(MAX(S33+(0),0)*N33&gt;0,Q33*INT(MAX(S33+(0),0)*N33/M33)+0*INT(MAX(S33+(0),0)*N33/N33)&gt;=L33),MAX(S33+(0),0)*N33,1000000000),IF(AND(MAX(S33+(1),0)*N33&gt;0,Q33*INT(MAX(S33+(1),0)*N33/M33)+0*INT(MAX(S33+(1),0)*N33/N33)&gt;=L33),MAX(S33+(1),0)*N33,1000000000),IF(AND(MAX(S33+(2),0)*N33&gt;0,Q33*INT(MAX(S33+(2),0)*N33/M33)+0*INT(MAX(S33+(2),0)*N33/N33)&gt;=L33),MAX(S33+(2),0)*N33,1000000000)))</f>
        <v>2520</v>
      </c>
      <c r="U33" s="10" t="n">
        <f aca="false">IF(O33-1*M33&gt;=0,INT((O33-1*M33)/N33),-1)</f>
        <v>3</v>
      </c>
      <c r="V33" s="10" t="n">
        <f aca="false">IF(AND(U33&gt;=0,U33+1&gt;0),ROUNDUP(L33/(U33+1*M33/N33),0),0)</f>
        <v>3</v>
      </c>
      <c r="W33" s="10" t="n">
        <f aca="false">IF(AND(U33&gt;=0,U33+1&gt;0),ROUNDUP(L33/(U33*N33/M33+1),0),0)</f>
        <v>6</v>
      </c>
      <c r="X33" s="10" t="n">
        <f aca="false">IF(OR(U33&lt;0,U33+1=0),1000000000,MIN(IF(AND(MAX(V33+(-1),0)*M33&gt;0,U33*INT(MAX(V33+(-1),0)*M33/M33)+1*INT(MAX(V33+(-1),0)*M33/N33)&gt;=L33),MAX(V33+(-1),0)*M33,1000000000),IF(AND(MAX(V33+(0),0)*M33&gt;0,U33*INT(MAX(V33+(0),0)*M33/M33)+1*INT(MAX(V33+(0),0)*M33/N33)&gt;=L33),MAX(V33+(0),0)*M33,1000000000),IF(AND(MAX(V33+(1),0)*M33&gt;0,U33*INT(MAX(V33+(1),0)*M33/M33)+1*INT(MAX(V33+(1),0)*M33/N33)&gt;=L33),MAX(V33+(1),0)*M33,1000000000),IF(AND(MAX(V33+(2),0)*M33&gt;0,U33*INT(MAX(V33+(2),0)*M33/M33)+1*INT(MAX(V33+(2),0)*M33/N33)&gt;=L33),MAX(V33+(2),0)*M33,1000000000),IF(AND(MAX(W33+(-1),0)*N33&gt;0,U33*INT(MAX(W33+(-1),0)*N33/M33)+1*INT(MAX(W33+(-1),0)*N33/N33)&gt;=L33),MAX(W33+(-1),0)*N33,1000000000),IF(AND(MAX(W33+(0),0)*N33&gt;0,U33*INT(MAX(W33+(0),0)*N33/M33)+1*INT(MAX(W33+(0),0)*N33/N33)&gt;=L33),MAX(W33+(0),0)*N33,1000000000),IF(AND(MAX(W33+(1),0)*N33&gt;0,U33*INT(MAX(W33+(1),0)*N33/M33)+1*INT(MAX(W33+(1),0)*N33/N33)&gt;=L33),MAX(W33+(1),0)*N33,1000000000),IF(AND(MAX(W33+(2),0)*N33&gt;0,U33*INT(MAX(W33+(2),0)*N33/M33)+1*INT(MAX(W33+(2),0)*N33/N33)&gt;=L33),MAX(W33+(2),0)*N33,1000000000)))</f>
        <v>2520</v>
      </c>
      <c r="Y33" s="10" t="n">
        <f aca="false">IF(O33-2*M33&gt;=0,INT((O33-2*M33)/N33),-1)</f>
        <v>1</v>
      </c>
      <c r="Z33" s="10" t="n">
        <f aca="false">IF(AND(Y33&gt;=0,Y33+2&gt;0),ROUNDUP(L33/(Y33+2*M33/N33),0),0)</f>
        <v>3</v>
      </c>
      <c r="AA33" s="10" t="n">
        <f aca="false">IF(AND(Y33&gt;=0,Y33+2&gt;0),ROUNDUP(L33/(Y33*N33/M33+2),0),0)</f>
        <v>6</v>
      </c>
      <c r="AB33" s="10" t="n">
        <f aca="false">IF(OR(Y33&lt;0,Y33+2=0),1000000000,MIN(IF(AND(MAX(Z33+(-1),0)*M33&gt;0,Y33*INT(MAX(Z33+(-1),0)*M33/M33)+2*INT(MAX(Z33+(-1),0)*M33/N33)&gt;=L33),MAX(Z33+(-1),0)*M33,1000000000),IF(AND(MAX(Z33+(0),0)*M33&gt;0,Y33*INT(MAX(Z33+(0),0)*M33/M33)+2*INT(MAX(Z33+(0),0)*M33/N33)&gt;=L33),MAX(Z33+(0),0)*M33,1000000000),IF(AND(MAX(Z33+(1),0)*M33&gt;0,Y33*INT(MAX(Z33+(1),0)*M33/M33)+2*INT(MAX(Z33+(1),0)*M33/N33)&gt;=L33),MAX(Z33+(1),0)*M33,1000000000),IF(AND(MAX(Z33+(2),0)*M33&gt;0,Y33*INT(MAX(Z33+(2),0)*M33/M33)+2*INT(MAX(Z33+(2),0)*M33/N33)&gt;=L33),MAX(Z33+(2),0)*M33,1000000000),IF(AND(MAX(AA33+(-1),0)*N33&gt;0,Y33*INT(MAX(AA33+(-1),0)*N33/M33)+2*INT(MAX(AA33+(-1),0)*N33/N33)&gt;=L33),MAX(AA33+(-1),0)*N33,1000000000),IF(AND(MAX(AA33+(0),0)*N33&gt;0,Y33*INT(MAX(AA33+(0),0)*N33/M33)+2*INT(MAX(AA33+(0),0)*N33/N33)&gt;=L33),MAX(AA33+(0),0)*N33,1000000000),IF(AND(MAX(AA33+(1),0)*N33&gt;0,Y33*INT(MAX(AA33+(1),0)*N33/M33)+2*INT(MAX(AA33+(1),0)*N33/N33)&gt;=L33),MAX(AA33+(1),0)*N33,1000000000),IF(AND(MAX(AA33+(2),0)*N33&gt;0,Y33*INT(MAX(AA33+(2),0)*N33/M33)+2*INT(MAX(AA33+(2),0)*N33/N33)&gt;=L33),MAX(AA33+(2),0)*N33,1000000000)))</f>
        <v>2520</v>
      </c>
      <c r="AC33" s="42" t="n">
        <f aca="false">IF(L33=0,0,MIN(T33,X33,AB33))</f>
        <v>2520</v>
      </c>
      <c r="AD33" s="15" t="n">
        <f aca="false">I33*INDEX(lg_bkg_3460,B33)</f>
        <v>2608.8608</v>
      </c>
      <c r="AE33" s="33" t="n">
        <f aca="false">I33*INDEX(lg_bvol_3460,B33)</f>
        <v>10.6596</v>
      </c>
    </row>
    <row r="34" customFormat="false" ht="15" hidden="false" customHeight="false" outlineLevel="0" collapsed="false">
      <c r="A34" s="9" t="n">
        <v>1</v>
      </c>
      <c r="B34" s="9" t="n">
        <v>2</v>
      </c>
      <c r="C34" s="9" t="s">
        <v>15</v>
      </c>
      <c r="D34" s="10" t="n">
        <f aca="false">INDEX(cfg_ct,A34)</f>
        <v>3</v>
      </c>
      <c r="E34" s="10" t="n">
        <f aca="false">INDEX(cfg_n,A34)</f>
        <v>1</v>
      </c>
      <c r="F34" s="15" t="n">
        <f aca="false">INDEX(cfg_u_3464,A34,B34)</f>
        <v>20000</v>
      </c>
      <c r="G34" s="15" t="n">
        <f aca="false">F34/E34</f>
        <v>20000</v>
      </c>
      <c r="H34" s="10" t="n">
        <f aca="false">INDEX(lg_n_3464,B34)</f>
        <v>50</v>
      </c>
      <c r="I34" s="15" t="n">
        <f aca="false">ROUNDUP(G34/H34,0)</f>
        <v>400</v>
      </c>
      <c r="J34" s="10" t="n">
        <f aca="false">INDEX(lg_layers_3464_40HC,B34)</f>
        <v>32</v>
      </c>
      <c r="K34" s="26" t="n">
        <f aca="false">INDEX(in_use_efficiency,1,B34)</f>
        <v>0.95</v>
      </c>
      <c r="L34" s="10" t="n">
        <f aca="false">IF(I34=0,0,ROUNDUP(I34/(K34*J34)-0.000000001,0))</f>
        <v>14</v>
      </c>
      <c r="M34" s="10" t="n">
        <f aca="false">INDEX(lg_a_3464,B34)</f>
        <v>940</v>
      </c>
      <c r="N34" s="10" t="n">
        <f aca="false">INDEX(lg_b_3464,B34)</f>
        <v>473</v>
      </c>
      <c r="O34" s="10" t="n">
        <f aca="false">INDEX(lg_Wu_40HC,B34)</f>
        <v>2330</v>
      </c>
      <c r="P34" s="10" t="n">
        <f aca="false">INDEX(lg_Lu_40HC,B34)</f>
        <v>11930</v>
      </c>
      <c r="Q34" s="10" t="n">
        <f aca="false">IF(O34-0*M34&gt;=0,INT((O34-0*M34)/N34),-1)</f>
        <v>4</v>
      </c>
      <c r="R34" s="10" t="n">
        <f aca="false">IF(AND(Q34&gt;=0,Q34+0&gt;0),ROUNDUP(L34/(Q34+0*M34/N34),0),0)</f>
        <v>4</v>
      </c>
      <c r="S34" s="10" t="n">
        <f aca="false">IF(AND(Q34&gt;=0,Q34+0&gt;0),ROUNDUP(L34/(Q34*N34/M34+0),0),0)</f>
        <v>7</v>
      </c>
      <c r="T34" s="10" t="n">
        <f aca="false">IF(OR(Q34&lt;0,Q34+0=0),1000000000,MIN(IF(AND(MAX(R34+(-1),0)*M34&gt;0,Q34*INT(MAX(R34+(-1),0)*M34/M34)+0*INT(MAX(R34+(-1),0)*M34/N34)&gt;=L34),MAX(R34+(-1),0)*M34,1000000000),IF(AND(MAX(R34+(0),0)*M34&gt;0,Q34*INT(MAX(R34+(0),0)*M34/M34)+0*INT(MAX(R34+(0),0)*M34/N34)&gt;=L34),MAX(R34+(0),0)*M34,1000000000),IF(AND(MAX(R34+(1),0)*M34&gt;0,Q34*INT(MAX(R34+(1),0)*M34/M34)+0*INT(MAX(R34+(1),0)*M34/N34)&gt;=L34),MAX(R34+(1),0)*M34,1000000000),IF(AND(MAX(R34+(2),0)*M34&gt;0,Q34*INT(MAX(R34+(2),0)*M34/M34)+0*INT(MAX(R34+(2),0)*M34/N34)&gt;=L34),MAX(R34+(2),0)*M34,1000000000),IF(AND(MAX(S34+(-1),0)*N34&gt;0,Q34*INT(MAX(S34+(-1),0)*N34/M34)+0*INT(MAX(S34+(-1),0)*N34/N34)&gt;=L34),MAX(S34+(-1),0)*N34,1000000000),IF(AND(MAX(S34+(0),0)*N34&gt;0,Q34*INT(MAX(S34+(0),0)*N34/M34)+0*INT(MAX(S34+(0),0)*N34/N34)&gt;=L34),MAX(S34+(0),0)*N34,1000000000),IF(AND(MAX(S34+(1),0)*N34&gt;0,Q34*INT(MAX(S34+(1),0)*N34/M34)+0*INT(MAX(S34+(1),0)*N34/N34)&gt;=L34),MAX(S34+(1),0)*N34,1000000000),IF(AND(MAX(S34+(2),0)*N34&gt;0,Q34*INT(MAX(S34+(2),0)*N34/M34)+0*INT(MAX(S34+(2),0)*N34/N34)&gt;=L34),MAX(S34+(2),0)*N34,1000000000)))</f>
        <v>3760</v>
      </c>
      <c r="U34" s="10" t="n">
        <f aca="false">IF(O34-1*M34&gt;=0,INT((O34-1*M34)/N34),-1)</f>
        <v>2</v>
      </c>
      <c r="V34" s="10" t="n">
        <f aca="false">IF(AND(U34&gt;=0,U34+1&gt;0),ROUNDUP(L34/(U34+1*M34/N34),0),0)</f>
        <v>4</v>
      </c>
      <c r="W34" s="10" t="n">
        <f aca="false">IF(AND(U34&gt;=0,U34+1&gt;0),ROUNDUP(L34/(U34*N34/M34+1),0),0)</f>
        <v>7</v>
      </c>
      <c r="X34" s="10" t="n">
        <f aca="false">IF(OR(U34&lt;0,U34+1=0),1000000000,MIN(IF(AND(MAX(V34+(-1),0)*M34&gt;0,U34*INT(MAX(V34+(-1),0)*M34/M34)+1*INT(MAX(V34+(-1),0)*M34/N34)&gt;=L34),MAX(V34+(-1),0)*M34,1000000000),IF(AND(MAX(V34+(0),0)*M34&gt;0,U34*INT(MAX(V34+(0),0)*M34/M34)+1*INT(MAX(V34+(0),0)*M34/N34)&gt;=L34),MAX(V34+(0),0)*M34,1000000000),IF(AND(MAX(V34+(1),0)*M34&gt;0,U34*INT(MAX(V34+(1),0)*M34/M34)+1*INT(MAX(V34+(1),0)*M34/N34)&gt;=L34),MAX(V34+(1),0)*M34,1000000000),IF(AND(MAX(V34+(2),0)*M34&gt;0,U34*INT(MAX(V34+(2),0)*M34/M34)+1*INT(MAX(V34+(2),0)*M34/N34)&gt;=L34),MAX(V34+(2),0)*M34,1000000000),IF(AND(MAX(W34+(-1),0)*N34&gt;0,U34*INT(MAX(W34+(-1),0)*N34/M34)+1*INT(MAX(W34+(-1),0)*N34/N34)&gt;=L34),MAX(W34+(-1),0)*N34,1000000000),IF(AND(MAX(W34+(0),0)*N34&gt;0,U34*INT(MAX(W34+(0),0)*N34/M34)+1*INT(MAX(W34+(0),0)*N34/N34)&gt;=L34),MAX(W34+(0),0)*N34,1000000000),IF(AND(MAX(W34+(1),0)*N34&gt;0,U34*INT(MAX(W34+(1),0)*N34/M34)+1*INT(MAX(W34+(1),0)*N34/N34)&gt;=L34),MAX(W34+(1),0)*N34,1000000000),IF(AND(MAX(W34+(2),0)*N34&gt;0,U34*INT(MAX(W34+(2),0)*N34/M34)+1*INT(MAX(W34+(2),0)*N34/N34)&gt;=L34),MAX(W34+(2),0)*N34,1000000000)))</f>
        <v>3760</v>
      </c>
      <c r="Y34" s="10" t="n">
        <f aca="false">IF(O34-2*M34&gt;=0,INT((O34-2*M34)/N34),-1)</f>
        <v>0</v>
      </c>
      <c r="Z34" s="10" t="n">
        <f aca="false">IF(AND(Y34&gt;=0,Y34+2&gt;0),ROUNDUP(L34/(Y34+2*M34/N34),0),0)</f>
        <v>4</v>
      </c>
      <c r="AA34" s="10" t="n">
        <f aca="false">IF(AND(Y34&gt;=0,Y34+2&gt;0),ROUNDUP(L34/(Y34*N34/M34+2),0),0)</f>
        <v>7</v>
      </c>
      <c r="AB34" s="10" t="n">
        <f aca="false">IF(OR(Y34&lt;0,Y34+2=0),1000000000,MIN(IF(AND(MAX(Z34+(-1),0)*M34&gt;0,Y34*INT(MAX(Z34+(-1),0)*M34/M34)+2*INT(MAX(Z34+(-1),0)*M34/N34)&gt;=L34),MAX(Z34+(-1),0)*M34,1000000000),IF(AND(MAX(Z34+(0),0)*M34&gt;0,Y34*INT(MAX(Z34+(0),0)*M34/M34)+2*INT(MAX(Z34+(0),0)*M34/N34)&gt;=L34),MAX(Z34+(0),0)*M34,1000000000),IF(AND(MAX(Z34+(1),0)*M34&gt;0,Y34*INT(MAX(Z34+(1),0)*M34/M34)+2*INT(MAX(Z34+(1),0)*M34/N34)&gt;=L34),MAX(Z34+(1),0)*M34,1000000000),IF(AND(MAX(Z34+(2),0)*M34&gt;0,Y34*INT(MAX(Z34+(2),0)*M34/M34)+2*INT(MAX(Z34+(2),0)*M34/N34)&gt;=L34),MAX(Z34+(2),0)*M34,1000000000),IF(AND(MAX(AA34+(-1),0)*N34&gt;0,Y34*INT(MAX(AA34+(-1),0)*N34/M34)+2*INT(MAX(AA34+(-1),0)*N34/N34)&gt;=L34),MAX(AA34+(-1),0)*N34,1000000000),IF(AND(MAX(AA34+(0),0)*N34&gt;0,Y34*INT(MAX(AA34+(0),0)*N34/M34)+2*INT(MAX(AA34+(0),0)*N34/N34)&gt;=L34),MAX(AA34+(0),0)*N34,1000000000),IF(AND(MAX(AA34+(1),0)*N34&gt;0,Y34*INT(MAX(AA34+(1),0)*N34/M34)+2*INT(MAX(AA34+(1),0)*N34/N34)&gt;=L34),MAX(AA34+(1),0)*N34,1000000000),IF(AND(MAX(AA34+(2),0)*N34&gt;0,Y34*INT(MAX(AA34+(2),0)*N34/M34)+2*INT(MAX(AA34+(2),0)*N34/N34)&gt;=L34),MAX(AA34+(2),0)*N34,1000000000)))</f>
        <v>3311</v>
      </c>
      <c r="AC34" s="42" t="n">
        <f aca="false">IF(L34=0,0,MIN(T34,X34,AB34))</f>
        <v>3311</v>
      </c>
      <c r="AD34" s="15" t="n">
        <f aca="false">I34*INDEX(lg_bkg_3464,B34)</f>
        <v>3421.61824</v>
      </c>
      <c r="AE34" s="33" t="n">
        <f aca="false">I34*INDEX(lg_bvol_3464,B34)</f>
        <v>14.22784</v>
      </c>
    </row>
    <row r="35" customFormat="false" ht="15" hidden="false" customHeight="false" outlineLevel="0" collapsed="false">
      <c r="A35" s="9" t="n">
        <v>1</v>
      </c>
      <c r="B35" s="9" t="n">
        <v>2</v>
      </c>
      <c r="C35" s="9" t="s">
        <v>16</v>
      </c>
      <c r="D35" s="10" t="n">
        <f aca="false">INDEX(cfg_ct,A35)</f>
        <v>3</v>
      </c>
      <c r="E35" s="10" t="n">
        <f aca="false">INDEX(cfg_n,A35)</f>
        <v>1</v>
      </c>
      <c r="F35" s="15" t="n">
        <f aca="false">INDEX(cfg_u_3463,A35,B35)</f>
        <v>20000</v>
      </c>
      <c r="G35" s="15" t="n">
        <f aca="false">F35/E35</f>
        <v>20000</v>
      </c>
      <c r="H35" s="10" t="n">
        <f aca="false">INDEX(lg_n_3463,B35)</f>
        <v>50</v>
      </c>
      <c r="I35" s="15" t="n">
        <f aca="false">ROUNDUP(G35/H35,0)</f>
        <v>400</v>
      </c>
      <c r="J35" s="10" t="n">
        <f aca="false">INDEX(lg_layers_3463_40HC,B35)</f>
        <v>32</v>
      </c>
      <c r="K35" s="26" t="n">
        <f aca="false">INDEX(in_use_efficiency,1,B35)</f>
        <v>0.95</v>
      </c>
      <c r="L35" s="10" t="n">
        <f aca="false">IF(I35=0,0,ROUNDUP(I35/(K35*J35)-0.000000001,0))</f>
        <v>14</v>
      </c>
      <c r="M35" s="10" t="n">
        <f aca="false">INDEX(lg_a_3463,B35)</f>
        <v>1040</v>
      </c>
      <c r="N35" s="10" t="n">
        <f aca="false">INDEX(lg_b_3463,B35)</f>
        <v>523</v>
      </c>
      <c r="O35" s="10" t="n">
        <f aca="false">INDEX(lg_Wu_40HC,B35)</f>
        <v>2330</v>
      </c>
      <c r="P35" s="10" t="n">
        <f aca="false">INDEX(lg_Lu_40HC,B35)</f>
        <v>11930</v>
      </c>
      <c r="Q35" s="10" t="n">
        <f aca="false">IF(O35-0*M35&gt;=0,INT((O35-0*M35)/N35),-1)</f>
        <v>4</v>
      </c>
      <c r="R35" s="10" t="n">
        <f aca="false">IF(AND(Q35&gt;=0,Q35+0&gt;0),ROUNDUP(L35/(Q35+0*M35/N35),0),0)</f>
        <v>4</v>
      </c>
      <c r="S35" s="10" t="n">
        <f aca="false">IF(AND(Q35&gt;=0,Q35+0&gt;0),ROUNDUP(L35/(Q35*N35/M35+0),0),0)</f>
        <v>7</v>
      </c>
      <c r="T35" s="10" t="n">
        <f aca="false">IF(OR(Q35&lt;0,Q35+0=0),1000000000,MIN(IF(AND(MAX(R35+(-1),0)*M35&gt;0,Q35*INT(MAX(R35+(-1),0)*M35/M35)+0*INT(MAX(R35+(-1),0)*M35/N35)&gt;=L35),MAX(R35+(-1),0)*M35,1000000000),IF(AND(MAX(R35+(0),0)*M35&gt;0,Q35*INT(MAX(R35+(0),0)*M35/M35)+0*INT(MAX(R35+(0),0)*M35/N35)&gt;=L35),MAX(R35+(0),0)*M35,1000000000),IF(AND(MAX(R35+(1),0)*M35&gt;0,Q35*INT(MAX(R35+(1),0)*M35/M35)+0*INT(MAX(R35+(1),0)*M35/N35)&gt;=L35),MAX(R35+(1),0)*M35,1000000000),IF(AND(MAX(R35+(2),0)*M35&gt;0,Q35*INT(MAX(R35+(2),0)*M35/M35)+0*INT(MAX(R35+(2),0)*M35/N35)&gt;=L35),MAX(R35+(2),0)*M35,1000000000),IF(AND(MAX(S35+(-1),0)*N35&gt;0,Q35*INT(MAX(S35+(-1),0)*N35/M35)+0*INT(MAX(S35+(-1),0)*N35/N35)&gt;=L35),MAX(S35+(-1),0)*N35,1000000000),IF(AND(MAX(S35+(0),0)*N35&gt;0,Q35*INT(MAX(S35+(0),0)*N35/M35)+0*INT(MAX(S35+(0),0)*N35/N35)&gt;=L35),MAX(S35+(0),0)*N35,1000000000),IF(AND(MAX(S35+(1),0)*N35&gt;0,Q35*INT(MAX(S35+(1),0)*N35/M35)+0*INT(MAX(S35+(1),0)*N35/N35)&gt;=L35),MAX(S35+(1),0)*N35,1000000000),IF(AND(MAX(S35+(2),0)*N35&gt;0,Q35*INT(MAX(S35+(2),0)*N35/M35)+0*INT(MAX(S35+(2),0)*N35/N35)&gt;=L35),MAX(S35+(2),0)*N35,1000000000)))</f>
        <v>4160</v>
      </c>
      <c r="U35" s="10" t="n">
        <f aca="false">IF(O35-1*M35&gt;=0,INT((O35-1*M35)/N35),-1)</f>
        <v>2</v>
      </c>
      <c r="V35" s="10" t="n">
        <f aca="false">IF(AND(U35&gt;=0,U35+1&gt;0),ROUNDUP(L35/(U35+1*M35/N35),0),0)</f>
        <v>4</v>
      </c>
      <c r="W35" s="10" t="n">
        <f aca="false">IF(AND(U35&gt;=0,U35+1&gt;0),ROUNDUP(L35/(U35*N35/M35+1),0),0)</f>
        <v>7</v>
      </c>
      <c r="X35" s="10" t="n">
        <f aca="false">IF(OR(U35&lt;0,U35+1=0),1000000000,MIN(IF(AND(MAX(V35+(-1),0)*M35&gt;0,U35*INT(MAX(V35+(-1),0)*M35/M35)+1*INT(MAX(V35+(-1),0)*M35/N35)&gt;=L35),MAX(V35+(-1),0)*M35,1000000000),IF(AND(MAX(V35+(0),0)*M35&gt;0,U35*INT(MAX(V35+(0),0)*M35/M35)+1*INT(MAX(V35+(0),0)*M35/N35)&gt;=L35),MAX(V35+(0),0)*M35,1000000000),IF(AND(MAX(V35+(1),0)*M35&gt;0,U35*INT(MAX(V35+(1),0)*M35/M35)+1*INT(MAX(V35+(1),0)*M35/N35)&gt;=L35),MAX(V35+(1),0)*M35,1000000000),IF(AND(MAX(V35+(2),0)*M35&gt;0,U35*INT(MAX(V35+(2),0)*M35/M35)+1*INT(MAX(V35+(2),0)*M35/N35)&gt;=L35),MAX(V35+(2),0)*M35,1000000000),IF(AND(MAX(W35+(-1),0)*N35&gt;0,U35*INT(MAX(W35+(-1),0)*N35/M35)+1*INT(MAX(W35+(-1),0)*N35/N35)&gt;=L35),MAX(W35+(-1),0)*N35,1000000000),IF(AND(MAX(W35+(0),0)*N35&gt;0,U35*INT(MAX(W35+(0),0)*N35/M35)+1*INT(MAX(W35+(0),0)*N35/N35)&gt;=L35),MAX(W35+(0),0)*N35,1000000000),IF(AND(MAX(W35+(1),0)*N35&gt;0,U35*INT(MAX(W35+(1),0)*N35/M35)+1*INT(MAX(W35+(1),0)*N35/N35)&gt;=L35),MAX(W35+(1),0)*N35,1000000000),IF(AND(MAX(W35+(2),0)*N35&gt;0,U35*INT(MAX(W35+(2),0)*N35/M35)+1*INT(MAX(W35+(2),0)*N35/N35)&gt;=L35),MAX(W35+(2),0)*N35,1000000000)))</f>
        <v>4160</v>
      </c>
      <c r="Y35" s="10" t="n">
        <f aca="false">IF(O35-2*M35&gt;=0,INT((O35-2*M35)/N35),-1)</f>
        <v>0</v>
      </c>
      <c r="Z35" s="10" t="n">
        <f aca="false">IF(AND(Y35&gt;=0,Y35+2&gt;0),ROUNDUP(L35/(Y35+2*M35/N35),0),0)</f>
        <v>4</v>
      </c>
      <c r="AA35" s="10" t="n">
        <f aca="false">IF(AND(Y35&gt;=0,Y35+2&gt;0),ROUNDUP(L35/(Y35*N35/M35+2),0),0)</f>
        <v>7</v>
      </c>
      <c r="AB35" s="10" t="n">
        <f aca="false">IF(OR(Y35&lt;0,Y35+2=0),1000000000,MIN(IF(AND(MAX(Z35+(-1),0)*M35&gt;0,Y35*INT(MAX(Z35+(-1),0)*M35/M35)+2*INT(MAX(Z35+(-1),0)*M35/N35)&gt;=L35),MAX(Z35+(-1),0)*M35,1000000000),IF(AND(MAX(Z35+(0),0)*M35&gt;0,Y35*INT(MAX(Z35+(0),0)*M35/M35)+2*INT(MAX(Z35+(0),0)*M35/N35)&gt;=L35),MAX(Z35+(0),0)*M35,1000000000),IF(AND(MAX(Z35+(1),0)*M35&gt;0,Y35*INT(MAX(Z35+(1),0)*M35/M35)+2*INT(MAX(Z35+(1),0)*M35/N35)&gt;=L35),MAX(Z35+(1),0)*M35,1000000000),IF(AND(MAX(Z35+(2),0)*M35&gt;0,Y35*INT(MAX(Z35+(2),0)*M35/M35)+2*INT(MAX(Z35+(2),0)*M35/N35)&gt;=L35),MAX(Z35+(2),0)*M35,1000000000),IF(AND(MAX(AA35+(-1),0)*N35&gt;0,Y35*INT(MAX(AA35+(-1),0)*N35/M35)+2*INT(MAX(AA35+(-1),0)*N35/N35)&gt;=L35),MAX(AA35+(-1),0)*N35,1000000000),IF(AND(MAX(AA35+(0),0)*N35&gt;0,Y35*INT(MAX(AA35+(0),0)*N35/M35)+2*INT(MAX(AA35+(0),0)*N35/N35)&gt;=L35),MAX(AA35+(0),0)*N35,1000000000),IF(AND(MAX(AA35+(1),0)*N35&gt;0,Y35*INT(MAX(AA35+(1),0)*N35/M35)+2*INT(MAX(AA35+(1),0)*N35/N35)&gt;=L35),MAX(AA35+(1),0)*N35,1000000000),IF(AND(MAX(AA35+(2),0)*N35&gt;0,Y35*INT(MAX(AA35+(2),0)*N35/M35)+2*INT(MAX(AA35+(2),0)*N35/N35)&gt;=L35),MAX(AA35+(2),0)*N35,1000000000)))</f>
        <v>3661</v>
      </c>
      <c r="AC35" s="42" t="n">
        <f aca="false">IF(L35=0,0,MIN(T35,X35,AB35))</f>
        <v>3661</v>
      </c>
      <c r="AD35" s="15" t="n">
        <f aca="false">I35*INDEX(lg_bkg_3463,B35)</f>
        <v>4183.21264</v>
      </c>
      <c r="AE35" s="33" t="n">
        <f aca="false">I35*INDEX(lg_bvol_3463,B35)</f>
        <v>17.40544</v>
      </c>
    </row>
    <row r="36" customFormat="false" ht="15" hidden="false" customHeight="false" outlineLevel="0" collapsed="false">
      <c r="A36" s="9" t="n">
        <v>1</v>
      </c>
      <c r="B36" s="9" t="n">
        <v>2</v>
      </c>
      <c r="C36" s="9" t="s">
        <v>17</v>
      </c>
      <c r="D36" s="10" t="n">
        <f aca="false">INDEX(cfg_ct,A36)</f>
        <v>3</v>
      </c>
      <c r="E36" s="10" t="n">
        <f aca="false">INDEX(cfg_n,A36)</f>
        <v>1</v>
      </c>
      <c r="F36" s="15" t="n">
        <f aca="false">INDEX(cfg_u_3460,A36,B36)</f>
        <v>20000</v>
      </c>
      <c r="G36" s="15" t="n">
        <f aca="false">F36/E36</f>
        <v>20000</v>
      </c>
      <c r="H36" s="10" t="n">
        <f aca="false">INDEX(lg_n_3460,B36)</f>
        <v>50</v>
      </c>
      <c r="I36" s="15" t="n">
        <f aca="false">ROUNDUP(G36/H36,0)</f>
        <v>400</v>
      </c>
      <c r="J36" s="10" t="n">
        <f aca="false">INDEX(lg_layers_3460_40HC,B36)</f>
        <v>32</v>
      </c>
      <c r="K36" s="26" t="n">
        <f aca="false">INDEX(in_use_efficiency,1,B36)</f>
        <v>0.95</v>
      </c>
      <c r="L36" s="10" t="n">
        <f aca="false">IF(I36=0,0,ROUNDUP(I36/(K36*J36)-0.000000001,0))</f>
        <v>14</v>
      </c>
      <c r="M36" s="10" t="n">
        <f aca="false">INDEX(lg_a_3460,B36)</f>
        <v>840</v>
      </c>
      <c r="N36" s="10" t="n">
        <f aca="false">INDEX(lg_b_3460,B36)</f>
        <v>423</v>
      </c>
      <c r="O36" s="10" t="n">
        <f aca="false">INDEX(lg_Wu_40HC,B36)</f>
        <v>2330</v>
      </c>
      <c r="P36" s="10" t="n">
        <f aca="false">INDEX(lg_Lu_40HC,B36)</f>
        <v>11930</v>
      </c>
      <c r="Q36" s="10" t="n">
        <f aca="false">IF(O36-0*M36&gt;=0,INT((O36-0*M36)/N36),-1)</f>
        <v>5</v>
      </c>
      <c r="R36" s="10" t="n">
        <f aca="false">IF(AND(Q36&gt;=0,Q36+0&gt;0),ROUNDUP(L36/(Q36+0*M36/N36),0),0)</f>
        <v>3</v>
      </c>
      <c r="S36" s="10" t="n">
        <f aca="false">IF(AND(Q36&gt;=0,Q36+0&gt;0),ROUNDUP(L36/(Q36*N36/M36+0),0),0)</f>
        <v>6</v>
      </c>
      <c r="T36" s="10" t="n">
        <f aca="false">IF(OR(Q36&lt;0,Q36+0=0),1000000000,MIN(IF(AND(MAX(R36+(-1),0)*M36&gt;0,Q36*INT(MAX(R36+(-1),0)*M36/M36)+0*INT(MAX(R36+(-1),0)*M36/N36)&gt;=L36),MAX(R36+(-1),0)*M36,1000000000),IF(AND(MAX(R36+(0),0)*M36&gt;0,Q36*INT(MAX(R36+(0),0)*M36/M36)+0*INT(MAX(R36+(0),0)*M36/N36)&gt;=L36),MAX(R36+(0),0)*M36,1000000000),IF(AND(MAX(R36+(1),0)*M36&gt;0,Q36*INT(MAX(R36+(1),0)*M36/M36)+0*INT(MAX(R36+(1),0)*M36/N36)&gt;=L36),MAX(R36+(1),0)*M36,1000000000),IF(AND(MAX(R36+(2),0)*M36&gt;0,Q36*INT(MAX(R36+(2),0)*M36/M36)+0*INT(MAX(R36+(2),0)*M36/N36)&gt;=L36),MAX(R36+(2),0)*M36,1000000000),IF(AND(MAX(S36+(-1),0)*N36&gt;0,Q36*INT(MAX(S36+(-1),0)*N36/M36)+0*INT(MAX(S36+(-1),0)*N36/N36)&gt;=L36),MAX(S36+(-1),0)*N36,1000000000),IF(AND(MAX(S36+(0),0)*N36&gt;0,Q36*INT(MAX(S36+(0),0)*N36/M36)+0*INT(MAX(S36+(0),0)*N36/N36)&gt;=L36),MAX(S36+(0),0)*N36,1000000000),IF(AND(MAX(S36+(1),0)*N36&gt;0,Q36*INT(MAX(S36+(1),0)*N36/M36)+0*INT(MAX(S36+(1),0)*N36/N36)&gt;=L36),MAX(S36+(1),0)*N36,1000000000),IF(AND(MAX(S36+(2),0)*N36&gt;0,Q36*INT(MAX(S36+(2),0)*N36/M36)+0*INT(MAX(S36+(2),0)*N36/N36)&gt;=L36),MAX(S36+(2),0)*N36,1000000000)))</f>
        <v>2520</v>
      </c>
      <c r="U36" s="10" t="n">
        <f aca="false">IF(O36-1*M36&gt;=0,INT((O36-1*M36)/N36),-1)</f>
        <v>3</v>
      </c>
      <c r="V36" s="10" t="n">
        <f aca="false">IF(AND(U36&gt;=0,U36+1&gt;0),ROUNDUP(L36/(U36+1*M36/N36),0),0)</f>
        <v>3</v>
      </c>
      <c r="W36" s="10" t="n">
        <f aca="false">IF(AND(U36&gt;=0,U36+1&gt;0),ROUNDUP(L36/(U36*N36/M36+1),0),0)</f>
        <v>6</v>
      </c>
      <c r="X36" s="10" t="n">
        <f aca="false">IF(OR(U36&lt;0,U36+1=0),1000000000,MIN(IF(AND(MAX(V36+(-1),0)*M36&gt;0,U36*INT(MAX(V36+(-1),0)*M36/M36)+1*INT(MAX(V36+(-1),0)*M36/N36)&gt;=L36),MAX(V36+(-1),0)*M36,1000000000),IF(AND(MAX(V36+(0),0)*M36&gt;0,U36*INT(MAX(V36+(0),0)*M36/M36)+1*INT(MAX(V36+(0),0)*M36/N36)&gt;=L36),MAX(V36+(0),0)*M36,1000000000),IF(AND(MAX(V36+(1),0)*M36&gt;0,U36*INT(MAX(V36+(1),0)*M36/M36)+1*INT(MAX(V36+(1),0)*M36/N36)&gt;=L36),MAX(V36+(1),0)*M36,1000000000),IF(AND(MAX(V36+(2),0)*M36&gt;0,U36*INT(MAX(V36+(2),0)*M36/M36)+1*INT(MAX(V36+(2),0)*M36/N36)&gt;=L36),MAX(V36+(2),0)*M36,1000000000),IF(AND(MAX(W36+(-1),0)*N36&gt;0,U36*INT(MAX(W36+(-1),0)*N36/M36)+1*INT(MAX(W36+(-1),0)*N36/N36)&gt;=L36),MAX(W36+(-1),0)*N36,1000000000),IF(AND(MAX(W36+(0),0)*N36&gt;0,U36*INT(MAX(W36+(0),0)*N36/M36)+1*INT(MAX(W36+(0),0)*N36/N36)&gt;=L36),MAX(W36+(0),0)*N36,1000000000),IF(AND(MAX(W36+(1),0)*N36&gt;0,U36*INT(MAX(W36+(1),0)*N36/M36)+1*INT(MAX(W36+(1),0)*N36/N36)&gt;=L36),MAX(W36+(1),0)*N36,1000000000),IF(AND(MAX(W36+(2),0)*N36&gt;0,U36*INT(MAX(W36+(2),0)*N36/M36)+1*INT(MAX(W36+(2),0)*N36/N36)&gt;=L36),MAX(W36+(2),0)*N36,1000000000)))</f>
        <v>2520</v>
      </c>
      <c r="Y36" s="10" t="n">
        <f aca="false">IF(O36-2*M36&gt;=0,INT((O36-2*M36)/N36),-1)</f>
        <v>1</v>
      </c>
      <c r="Z36" s="10" t="n">
        <f aca="false">IF(AND(Y36&gt;=0,Y36+2&gt;0),ROUNDUP(L36/(Y36+2*M36/N36),0),0)</f>
        <v>3</v>
      </c>
      <c r="AA36" s="10" t="n">
        <f aca="false">IF(AND(Y36&gt;=0,Y36+2&gt;0),ROUNDUP(L36/(Y36*N36/M36+2),0),0)</f>
        <v>6</v>
      </c>
      <c r="AB36" s="10" t="n">
        <f aca="false">IF(OR(Y36&lt;0,Y36+2=0),1000000000,MIN(IF(AND(MAX(Z36+(-1),0)*M36&gt;0,Y36*INT(MAX(Z36+(-1),0)*M36/M36)+2*INT(MAX(Z36+(-1),0)*M36/N36)&gt;=L36),MAX(Z36+(-1),0)*M36,1000000000),IF(AND(MAX(Z36+(0),0)*M36&gt;0,Y36*INT(MAX(Z36+(0),0)*M36/M36)+2*INT(MAX(Z36+(0),0)*M36/N36)&gt;=L36),MAX(Z36+(0),0)*M36,1000000000),IF(AND(MAX(Z36+(1),0)*M36&gt;0,Y36*INT(MAX(Z36+(1),0)*M36/M36)+2*INT(MAX(Z36+(1),0)*M36/N36)&gt;=L36),MAX(Z36+(1),0)*M36,1000000000),IF(AND(MAX(Z36+(2),0)*M36&gt;0,Y36*INT(MAX(Z36+(2),0)*M36/M36)+2*INT(MAX(Z36+(2),0)*M36/N36)&gt;=L36),MAX(Z36+(2),0)*M36,1000000000),IF(AND(MAX(AA36+(-1),0)*N36&gt;0,Y36*INT(MAX(AA36+(-1),0)*N36/M36)+2*INT(MAX(AA36+(-1),0)*N36/N36)&gt;=L36),MAX(AA36+(-1),0)*N36,1000000000),IF(AND(MAX(AA36+(0),0)*N36&gt;0,Y36*INT(MAX(AA36+(0),0)*N36/M36)+2*INT(MAX(AA36+(0),0)*N36/N36)&gt;=L36),MAX(AA36+(0),0)*N36,1000000000),IF(AND(MAX(AA36+(1),0)*N36&gt;0,Y36*INT(MAX(AA36+(1),0)*N36/M36)+2*INT(MAX(AA36+(1),0)*N36/N36)&gt;=L36),MAX(AA36+(1),0)*N36,1000000000),IF(AND(MAX(AA36+(2),0)*N36&gt;0,Y36*INT(MAX(AA36+(2),0)*N36/M36)+2*INT(MAX(AA36+(2),0)*N36/N36)&gt;=L36),MAX(AA36+(2),0)*N36,1000000000)))</f>
        <v>2538</v>
      </c>
      <c r="AC36" s="42" t="n">
        <f aca="false">IF(L36=0,0,MIN(T36,X36,AB36))</f>
        <v>2520</v>
      </c>
      <c r="AD36" s="15" t="n">
        <f aca="false">I36*INDEX(lg_bkg_3460,B36)</f>
        <v>2737.30384</v>
      </c>
      <c r="AE36" s="33" t="n">
        <f aca="false">I36*INDEX(lg_bvol_3460,B36)</f>
        <v>11.37024</v>
      </c>
    </row>
    <row r="37" customFormat="false" ht="15" hidden="false" customHeight="false" outlineLevel="0" collapsed="false">
      <c r="A37" s="9" t="n">
        <v>1</v>
      </c>
      <c r="B37" s="9" t="n">
        <v>3</v>
      </c>
      <c r="C37" s="9" t="s">
        <v>15</v>
      </c>
      <c r="D37" s="10" t="n">
        <f aca="false">INDEX(cfg_ct,A37)</f>
        <v>3</v>
      </c>
      <c r="E37" s="10" t="n">
        <f aca="false">INDEX(cfg_n,A37)</f>
        <v>1</v>
      </c>
      <c r="F37" s="15" t="n">
        <f aca="false">INDEX(cfg_u_3464,A37,B37)</f>
        <v>20000</v>
      </c>
      <c r="G37" s="15" t="n">
        <f aca="false">F37/E37</f>
        <v>20000</v>
      </c>
      <c r="H37" s="10" t="n">
        <f aca="false">INDEX(lg_n_3464,B37)</f>
        <v>50</v>
      </c>
      <c r="I37" s="15" t="n">
        <f aca="false">ROUNDUP(G37/H37,0)</f>
        <v>400</v>
      </c>
      <c r="J37" s="10" t="n">
        <f aca="false">INDEX(lg_layers_3464_40HC,B37)</f>
        <v>28</v>
      </c>
      <c r="K37" s="26" t="n">
        <f aca="false">INDEX(in_use_efficiency,1,B37)</f>
        <v>0.9</v>
      </c>
      <c r="L37" s="10" t="n">
        <f aca="false">IF(I37=0,0,ROUNDUP(I37/(K37*J37)-0.000000001,0))</f>
        <v>16</v>
      </c>
      <c r="M37" s="10" t="n">
        <f aca="false">INDEX(lg_a_3464,B37)</f>
        <v>940</v>
      </c>
      <c r="N37" s="10" t="n">
        <f aca="false">INDEX(lg_b_3464,B37)</f>
        <v>473</v>
      </c>
      <c r="O37" s="10" t="n">
        <f aca="false">INDEX(lg_Wu_40HC,B37)</f>
        <v>2330</v>
      </c>
      <c r="P37" s="10" t="n">
        <f aca="false">INDEX(lg_Lu_40HC,B37)</f>
        <v>11930</v>
      </c>
      <c r="Q37" s="10" t="n">
        <f aca="false">IF(O37-0*M37&gt;=0,INT((O37-0*M37)/N37),-1)</f>
        <v>4</v>
      </c>
      <c r="R37" s="10" t="n">
        <f aca="false">IF(AND(Q37&gt;=0,Q37+0&gt;0),ROUNDUP(L37/(Q37+0*M37/N37),0),0)</f>
        <v>4</v>
      </c>
      <c r="S37" s="10" t="n">
        <f aca="false">IF(AND(Q37&gt;=0,Q37+0&gt;0),ROUNDUP(L37/(Q37*N37/M37+0),0),0)</f>
        <v>8</v>
      </c>
      <c r="T37" s="10" t="n">
        <f aca="false">IF(OR(Q37&lt;0,Q37+0=0),1000000000,MIN(IF(AND(MAX(R37+(-1),0)*M37&gt;0,Q37*INT(MAX(R37+(-1),0)*M37/M37)+0*INT(MAX(R37+(-1),0)*M37/N37)&gt;=L37),MAX(R37+(-1),0)*M37,1000000000),IF(AND(MAX(R37+(0),0)*M37&gt;0,Q37*INT(MAX(R37+(0),0)*M37/M37)+0*INT(MAX(R37+(0),0)*M37/N37)&gt;=L37),MAX(R37+(0),0)*M37,1000000000),IF(AND(MAX(R37+(1),0)*M37&gt;0,Q37*INT(MAX(R37+(1),0)*M37/M37)+0*INT(MAX(R37+(1),0)*M37/N37)&gt;=L37),MAX(R37+(1),0)*M37,1000000000),IF(AND(MAX(R37+(2),0)*M37&gt;0,Q37*INT(MAX(R37+(2),0)*M37/M37)+0*INT(MAX(R37+(2),0)*M37/N37)&gt;=L37),MAX(R37+(2),0)*M37,1000000000),IF(AND(MAX(S37+(-1),0)*N37&gt;0,Q37*INT(MAX(S37+(-1),0)*N37/M37)+0*INT(MAX(S37+(-1),0)*N37/N37)&gt;=L37),MAX(S37+(-1),0)*N37,1000000000),IF(AND(MAX(S37+(0),0)*N37&gt;0,Q37*INT(MAX(S37+(0),0)*N37/M37)+0*INT(MAX(S37+(0),0)*N37/N37)&gt;=L37),MAX(S37+(0),0)*N37,1000000000),IF(AND(MAX(S37+(1),0)*N37&gt;0,Q37*INT(MAX(S37+(1),0)*N37/M37)+0*INT(MAX(S37+(1),0)*N37/N37)&gt;=L37),MAX(S37+(1),0)*N37,1000000000),IF(AND(MAX(S37+(2),0)*N37&gt;0,Q37*INT(MAX(S37+(2),0)*N37/M37)+0*INT(MAX(S37+(2),0)*N37/N37)&gt;=L37),MAX(S37+(2),0)*N37,1000000000)))</f>
        <v>3760</v>
      </c>
      <c r="U37" s="10" t="n">
        <f aca="false">IF(O37-1*M37&gt;=0,INT((O37-1*M37)/N37),-1)</f>
        <v>2</v>
      </c>
      <c r="V37" s="10" t="n">
        <f aca="false">IF(AND(U37&gt;=0,U37+1&gt;0),ROUNDUP(L37/(U37+1*M37/N37),0),0)</f>
        <v>5</v>
      </c>
      <c r="W37" s="10" t="n">
        <f aca="false">IF(AND(U37&gt;=0,U37+1&gt;0),ROUNDUP(L37/(U37*N37/M37+1),0),0)</f>
        <v>8</v>
      </c>
      <c r="X37" s="10" t="n">
        <f aca="false">IF(OR(U37&lt;0,U37+1=0),1000000000,MIN(IF(AND(MAX(V37+(-1),0)*M37&gt;0,U37*INT(MAX(V37+(-1),0)*M37/M37)+1*INT(MAX(V37+(-1),0)*M37/N37)&gt;=L37),MAX(V37+(-1),0)*M37,1000000000),IF(AND(MAX(V37+(0),0)*M37&gt;0,U37*INT(MAX(V37+(0),0)*M37/M37)+1*INT(MAX(V37+(0),0)*M37/N37)&gt;=L37),MAX(V37+(0),0)*M37,1000000000),IF(AND(MAX(V37+(1),0)*M37&gt;0,U37*INT(MAX(V37+(1),0)*M37/M37)+1*INT(MAX(V37+(1),0)*M37/N37)&gt;=L37),MAX(V37+(1),0)*M37,1000000000),IF(AND(MAX(V37+(2),0)*M37&gt;0,U37*INT(MAX(V37+(2),0)*M37/M37)+1*INT(MAX(V37+(2),0)*M37/N37)&gt;=L37),MAX(V37+(2),0)*M37,1000000000),IF(AND(MAX(W37+(-1),0)*N37&gt;0,U37*INT(MAX(W37+(-1),0)*N37/M37)+1*INT(MAX(W37+(-1),0)*N37/N37)&gt;=L37),MAX(W37+(-1),0)*N37,1000000000),IF(AND(MAX(W37+(0),0)*N37&gt;0,U37*INT(MAX(W37+(0),0)*N37/M37)+1*INT(MAX(W37+(0),0)*N37/N37)&gt;=L37),MAX(W37+(0),0)*N37,1000000000),IF(AND(MAX(W37+(1),0)*N37&gt;0,U37*INT(MAX(W37+(1),0)*N37/M37)+1*INT(MAX(W37+(1),0)*N37/N37)&gt;=L37),MAX(W37+(1),0)*N37,1000000000),IF(AND(MAX(W37+(2),0)*N37&gt;0,U37*INT(MAX(W37+(2),0)*N37/M37)+1*INT(MAX(W37+(2),0)*N37/N37)&gt;=L37),MAX(W37+(2),0)*N37,1000000000)))</f>
        <v>3784</v>
      </c>
      <c r="Y37" s="10" t="n">
        <f aca="false">IF(O37-2*M37&gt;=0,INT((O37-2*M37)/N37),-1)</f>
        <v>0</v>
      </c>
      <c r="Z37" s="10" t="n">
        <f aca="false">IF(AND(Y37&gt;=0,Y37+2&gt;0),ROUNDUP(L37/(Y37+2*M37/N37),0),0)</f>
        <v>5</v>
      </c>
      <c r="AA37" s="10" t="n">
        <f aca="false">IF(AND(Y37&gt;=0,Y37+2&gt;0),ROUNDUP(L37/(Y37*N37/M37+2),0),0)</f>
        <v>8</v>
      </c>
      <c r="AB37" s="10" t="n">
        <f aca="false">IF(OR(Y37&lt;0,Y37+2=0),1000000000,MIN(IF(AND(MAX(Z37+(-1),0)*M37&gt;0,Y37*INT(MAX(Z37+(-1),0)*M37/M37)+2*INT(MAX(Z37+(-1),0)*M37/N37)&gt;=L37),MAX(Z37+(-1),0)*M37,1000000000),IF(AND(MAX(Z37+(0),0)*M37&gt;0,Y37*INT(MAX(Z37+(0),0)*M37/M37)+2*INT(MAX(Z37+(0),0)*M37/N37)&gt;=L37),MAX(Z37+(0),0)*M37,1000000000),IF(AND(MAX(Z37+(1),0)*M37&gt;0,Y37*INT(MAX(Z37+(1),0)*M37/M37)+2*INT(MAX(Z37+(1),0)*M37/N37)&gt;=L37),MAX(Z37+(1),0)*M37,1000000000),IF(AND(MAX(Z37+(2),0)*M37&gt;0,Y37*INT(MAX(Z37+(2),0)*M37/M37)+2*INT(MAX(Z37+(2),0)*M37/N37)&gt;=L37),MAX(Z37+(2),0)*M37,1000000000),IF(AND(MAX(AA37+(-1),0)*N37&gt;0,Y37*INT(MAX(AA37+(-1),0)*N37/M37)+2*INT(MAX(AA37+(-1),0)*N37/N37)&gt;=L37),MAX(AA37+(-1),0)*N37,1000000000),IF(AND(MAX(AA37+(0),0)*N37&gt;0,Y37*INT(MAX(AA37+(0),0)*N37/M37)+2*INT(MAX(AA37+(0),0)*N37/N37)&gt;=L37),MAX(AA37+(0),0)*N37,1000000000),IF(AND(MAX(AA37+(1),0)*N37&gt;0,Y37*INT(MAX(AA37+(1),0)*N37/M37)+2*INT(MAX(AA37+(1),0)*N37/N37)&gt;=L37),MAX(AA37+(1),0)*N37,1000000000),IF(AND(MAX(AA37+(2),0)*N37&gt;0,Y37*INT(MAX(AA37+(2),0)*N37/M37)+2*INT(MAX(AA37+(2),0)*N37/N37)&gt;=L37),MAX(AA37+(2),0)*N37,1000000000)))</f>
        <v>3784</v>
      </c>
      <c r="AC37" s="42" t="n">
        <f aca="false">IF(L37=0,0,MIN(T37,X37,AB37))</f>
        <v>3760</v>
      </c>
      <c r="AD37" s="15" t="n">
        <f aca="false">I37*INDEX(lg_bkg_3464,B37)</f>
        <v>3904.70656</v>
      </c>
      <c r="AE37" s="33" t="n">
        <f aca="false">I37*INDEX(lg_bvol_3464,B37)</f>
        <v>16.00632</v>
      </c>
    </row>
    <row r="38" customFormat="false" ht="15" hidden="false" customHeight="false" outlineLevel="0" collapsed="false">
      <c r="A38" s="9" t="n">
        <v>1</v>
      </c>
      <c r="B38" s="9" t="n">
        <v>3</v>
      </c>
      <c r="C38" s="9" t="s">
        <v>16</v>
      </c>
      <c r="D38" s="10" t="n">
        <f aca="false">INDEX(cfg_ct,A38)</f>
        <v>3</v>
      </c>
      <c r="E38" s="10" t="n">
        <f aca="false">INDEX(cfg_n,A38)</f>
        <v>1</v>
      </c>
      <c r="F38" s="15" t="n">
        <f aca="false">INDEX(cfg_u_3463,A38,B38)</f>
        <v>20000</v>
      </c>
      <c r="G38" s="15" t="n">
        <f aca="false">F38/E38</f>
        <v>20000</v>
      </c>
      <c r="H38" s="10" t="n">
        <f aca="false">INDEX(lg_n_3463,B38)</f>
        <v>50</v>
      </c>
      <c r="I38" s="15" t="n">
        <f aca="false">ROUNDUP(G38/H38,0)</f>
        <v>400</v>
      </c>
      <c r="J38" s="10" t="n">
        <f aca="false">INDEX(lg_layers_3463_40HC,B38)</f>
        <v>28</v>
      </c>
      <c r="K38" s="26" t="n">
        <f aca="false">INDEX(in_use_efficiency,1,B38)</f>
        <v>0.9</v>
      </c>
      <c r="L38" s="10" t="n">
        <f aca="false">IF(I38=0,0,ROUNDUP(I38/(K38*J38)-0.000000001,0))</f>
        <v>16</v>
      </c>
      <c r="M38" s="10" t="n">
        <f aca="false">INDEX(lg_a_3463,B38)</f>
        <v>1040</v>
      </c>
      <c r="N38" s="10" t="n">
        <f aca="false">INDEX(lg_b_3463,B38)</f>
        <v>523</v>
      </c>
      <c r="O38" s="10" t="n">
        <f aca="false">INDEX(lg_Wu_40HC,B38)</f>
        <v>2330</v>
      </c>
      <c r="P38" s="10" t="n">
        <f aca="false">INDEX(lg_Lu_40HC,B38)</f>
        <v>11930</v>
      </c>
      <c r="Q38" s="10" t="n">
        <f aca="false">IF(O38-0*M38&gt;=0,INT((O38-0*M38)/N38),-1)</f>
        <v>4</v>
      </c>
      <c r="R38" s="10" t="n">
        <f aca="false">IF(AND(Q38&gt;=0,Q38+0&gt;0),ROUNDUP(L38/(Q38+0*M38/N38),0),0)</f>
        <v>4</v>
      </c>
      <c r="S38" s="10" t="n">
        <f aca="false">IF(AND(Q38&gt;=0,Q38+0&gt;0),ROUNDUP(L38/(Q38*N38/M38+0),0),0)</f>
        <v>8</v>
      </c>
      <c r="T38" s="10" t="n">
        <f aca="false">IF(OR(Q38&lt;0,Q38+0=0),1000000000,MIN(IF(AND(MAX(R38+(-1),0)*M38&gt;0,Q38*INT(MAX(R38+(-1),0)*M38/M38)+0*INT(MAX(R38+(-1),0)*M38/N38)&gt;=L38),MAX(R38+(-1),0)*M38,1000000000),IF(AND(MAX(R38+(0),0)*M38&gt;0,Q38*INT(MAX(R38+(0),0)*M38/M38)+0*INT(MAX(R38+(0),0)*M38/N38)&gt;=L38),MAX(R38+(0),0)*M38,1000000000),IF(AND(MAX(R38+(1),0)*M38&gt;0,Q38*INT(MAX(R38+(1),0)*M38/M38)+0*INT(MAX(R38+(1),0)*M38/N38)&gt;=L38),MAX(R38+(1),0)*M38,1000000000),IF(AND(MAX(R38+(2),0)*M38&gt;0,Q38*INT(MAX(R38+(2),0)*M38/M38)+0*INT(MAX(R38+(2),0)*M38/N38)&gt;=L38),MAX(R38+(2),0)*M38,1000000000),IF(AND(MAX(S38+(-1),0)*N38&gt;0,Q38*INT(MAX(S38+(-1),0)*N38/M38)+0*INT(MAX(S38+(-1),0)*N38/N38)&gt;=L38),MAX(S38+(-1),0)*N38,1000000000),IF(AND(MAX(S38+(0),0)*N38&gt;0,Q38*INT(MAX(S38+(0),0)*N38/M38)+0*INT(MAX(S38+(0),0)*N38/N38)&gt;=L38),MAX(S38+(0),0)*N38,1000000000),IF(AND(MAX(S38+(1),0)*N38&gt;0,Q38*INT(MAX(S38+(1),0)*N38/M38)+0*INT(MAX(S38+(1),0)*N38/N38)&gt;=L38),MAX(S38+(1),0)*N38,1000000000),IF(AND(MAX(S38+(2),0)*N38&gt;0,Q38*INT(MAX(S38+(2),0)*N38/M38)+0*INT(MAX(S38+(2),0)*N38/N38)&gt;=L38),MAX(S38+(2),0)*N38,1000000000)))</f>
        <v>4160</v>
      </c>
      <c r="U38" s="10" t="n">
        <f aca="false">IF(O38-1*M38&gt;=0,INT((O38-1*M38)/N38),-1)</f>
        <v>2</v>
      </c>
      <c r="V38" s="10" t="n">
        <f aca="false">IF(AND(U38&gt;=0,U38+1&gt;0),ROUNDUP(L38/(U38+1*M38/N38),0),0)</f>
        <v>5</v>
      </c>
      <c r="W38" s="10" t="n">
        <f aca="false">IF(AND(U38&gt;=0,U38+1&gt;0),ROUNDUP(L38/(U38*N38/M38+1),0),0)</f>
        <v>8</v>
      </c>
      <c r="X38" s="10" t="n">
        <f aca="false">IF(OR(U38&lt;0,U38+1=0),1000000000,MIN(IF(AND(MAX(V38+(-1),0)*M38&gt;0,U38*INT(MAX(V38+(-1),0)*M38/M38)+1*INT(MAX(V38+(-1),0)*M38/N38)&gt;=L38),MAX(V38+(-1),0)*M38,1000000000),IF(AND(MAX(V38+(0),0)*M38&gt;0,U38*INT(MAX(V38+(0),0)*M38/M38)+1*INT(MAX(V38+(0),0)*M38/N38)&gt;=L38),MAX(V38+(0),0)*M38,1000000000),IF(AND(MAX(V38+(1),0)*M38&gt;0,U38*INT(MAX(V38+(1),0)*M38/M38)+1*INT(MAX(V38+(1),0)*M38/N38)&gt;=L38),MAX(V38+(1),0)*M38,1000000000),IF(AND(MAX(V38+(2),0)*M38&gt;0,U38*INT(MAX(V38+(2),0)*M38/M38)+1*INT(MAX(V38+(2),0)*M38/N38)&gt;=L38),MAX(V38+(2),0)*M38,1000000000),IF(AND(MAX(W38+(-1),0)*N38&gt;0,U38*INT(MAX(W38+(-1),0)*N38/M38)+1*INT(MAX(W38+(-1),0)*N38/N38)&gt;=L38),MAX(W38+(-1),0)*N38,1000000000),IF(AND(MAX(W38+(0),0)*N38&gt;0,U38*INT(MAX(W38+(0),0)*N38/M38)+1*INT(MAX(W38+(0),0)*N38/N38)&gt;=L38),MAX(W38+(0),0)*N38,1000000000),IF(AND(MAX(W38+(1),0)*N38&gt;0,U38*INT(MAX(W38+(1),0)*N38/M38)+1*INT(MAX(W38+(1),0)*N38/N38)&gt;=L38),MAX(W38+(1),0)*N38,1000000000),IF(AND(MAX(W38+(2),0)*N38&gt;0,U38*INT(MAX(W38+(2),0)*N38/M38)+1*INT(MAX(W38+(2),0)*N38/N38)&gt;=L38),MAX(W38+(2),0)*N38,1000000000)))</f>
        <v>4184</v>
      </c>
      <c r="Y38" s="10" t="n">
        <f aca="false">IF(O38-2*M38&gt;=0,INT((O38-2*M38)/N38),-1)</f>
        <v>0</v>
      </c>
      <c r="Z38" s="10" t="n">
        <f aca="false">IF(AND(Y38&gt;=0,Y38+2&gt;0),ROUNDUP(L38/(Y38+2*M38/N38),0),0)</f>
        <v>5</v>
      </c>
      <c r="AA38" s="10" t="n">
        <f aca="false">IF(AND(Y38&gt;=0,Y38+2&gt;0),ROUNDUP(L38/(Y38*N38/M38+2),0),0)</f>
        <v>8</v>
      </c>
      <c r="AB38" s="10" t="n">
        <f aca="false">IF(OR(Y38&lt;0,Y38+2=0),1000000000,MIN(IF(AND(MAX(Z38+(-1),0)*M38&gt;0,Y38*INT(MAX(Z38+(-1),0)*M38/M38)+2*INT(MAX(Z38+(-1),0)*M38/N38)&gt;=L38),MAX(Z38+(-1),0)*M38,1000000000),IF(AND(MAX(Z38+(0),0)*M38&gt;0,Y38*INT(MAX(Z38+(0),0)*M38/M38)+2*INT(MAX(Z38+(0),0)*M38/N38)&gt;=L38),MAX(Z38+(0),0)*M38,1000000000),IF(AND(MAX(Z38+(1),0)*M38&gt;0,Y38*INT(MAX(Z38+(1),0)*M38/M38)+2*INT(MAX(Z38+(1),0)*M38/N38)&gt;=L38),MAX(Z38+(1),0)*M38,1000000000),IF(AND(MAX(Z38+(2),0)*M38&gt;0,Y38*INT(MAX(Z38+(2),0)*M38/M38)+2*INT(MAX(Z38+(2),0)*M38/N38)&gt;=L38),MAX(Z38+(2),0)*M38,1000000000),IF(AND(MAX(AA38+(-1),0)*N38&gt;0,Y38*INT(MAX(AA38+(-1),0)*N38/M38)+2*INT(MAX(AA38+(-1),0)*N38/N38)&gt;=L38),MAX(AA38+(-1),0)*N38,1000000000),IF(AND(MAX(AA38+(0),0)*N38&gt;0,Y38*INT(MAX(AA38+(0),0)*N38/M38)+2*INT(MAX(AA38+(0),0)*N38/N38)&gt;=L38),MAX(AA38+(0),0)*N38,1000000000),IF(AND(MAX(AA38+(1),0)*N38&gt;0,Y38*INT(MAX(AA38+(1),0)*N38/M38)+2*INT(MAX(AA38+(1),0)*N38/N38)&gt;=L38),MAX(AA38+(1),0)*N38,1000000000),IF(AND(MAX(AA38+(2),0)*N38&gt;0,Y38*INT(MAX(AA38+(2),0)*N38/M38)+2*INT(MAX(AA38+(2),0)*N38/N38)&gt;=L38),MAX(AA38+(2),0)*N38,1000000000)))</f>
        <v>4184</v>
      </c>
      <c r="AC38" s="42" t="n">
        <f aca="false">IF(L38=0,0,MIN(T38,X38,AB38))</f>
        <v>4160</v>
      </c>
      <c r="AD38" s="15" t="n">
        <f aca="false">I38*INDEX(lg_bkg_3463,B38)</f>
        <v>4775.10016</v>
      </c>
      <c r="AE38" s="33" t="n">
        <f aca="false">I38*INDEX(lg_bvol_3463,B38)</f>
        <v>19.58112</v>
      </c>
    </row>
    <row r="39" customFormat="false" ht="15" hidden="false" customHeight="false" outlineLevel="0" collapsed="false">
      <c r="A39" s="9" t="n">
        <v>1</v>
      </c>
      <c r="B39" s="9" t="n">
        <v>3</v>
      </c>
      <c r="C39" s="9" t="s">
        <v>17</v>
      </c>
      <c r="D39" s="10" t="n">
        <f aca="false">INDEX(cfg_ct,A39)</f>
        <v>3</v>
      </c>
      <c r="E39" s="10" t="n">
        <f aca="false">INDEX(cfg_n,A39)</f>
        <v>1</v>
      </c>
      <c r="F39" s="15" t="n">
        <f aca="false">INDEX(cfg_u_3460,A39,B39)</f>
        <v>20000</v>
      </c>
      <c r="G39" s="15" t="n">
        <f aca="false">F39/E39</f>
        <v>20000</v>
      </c>
      <c r="H39" s="10" t="n">
        <f aca="false">INDEX(lg_n_3460,B39)</f>
        <v>50</v>
      </c>
      <c r="I39" s="15" t="n">
        <f aca="false">ROUNDUP(G39/H39,0)</f>
        <v>400</v>
      </c>
      <c r="J39" s="10" t="n">
        <f aca="false">INDEX(lg_layers_3460_40HC,B39)</f>
        <v>28</v>
      </c>
      <c r="K39" s="26" t="n">
        <f aca="false">INDEX(in_use_efficiency,1,B39)</f>
        <v>0.9</v>
      </c>
      <c r="L39" s="10" t="n">
        <f aca="false">IF(I39=0,0,ROUNDUP(I39/(K39*J39)-0.000000001,0))</f>
        <v>16</v>
      </c>
      <c r="M39" s="10" t="n">
        <f aca="false">INDEX(lg_a_3460,B39)</f>
        <v>840</v>
      </c>
      <c r="N39" s="10" t="n">
        <f aca="false">INDEX(lg_b_3460,B39)</f>
        <v>423</v>
      </c>
      <c r="O39" s="10" t="n">
        <f aca="false">INDEX(lg_Wu_40HC,B39)</f>
        <v>2330</v>
      </c>
      <c r="P39" s="10" t="n">
        <f aca="false">INDEX(lg_Lu_40HC,B39)</f>
        <v>11930</v>
      </c>
      <c r="Q39" s="10" t="n">
        <f aca="false">IF(O39-0*M39&gt;=0,INT((O39-0*M39)/N39),-1)</f>
        <v>5</v>
      </c>
      <c r="R39" s="10" t="n">
        <f aca="false">IF(AND(Q39&gt;=0,Q39+0&gt;0),ROUNDUP(L39/(Q39+0*M39/N39),0),0)</f>
        <v>4</v>
      </c>
      <c r="S39" s="10" t="n">
        <f aca="false">IF(AND(Q39&gt;=0,Q39+0&gt;0),ROUNDUP(L39/(Q39*N39/M39+0),0),0)</f>
        <v>7</v>
      </c>
      <c r="T39" s="10" t="n">
        <f aca="false">IF(OR(Q39&lt;0,Q39+0=0),1000000000,MIN(IF(AND(MAX(R39+(-1),0)*M39&gt;0,Q39*INT(MAX(R39+(-1),0)*M39/M39)+0*INT(MAX(R39+(-1),0)*M39/N39)&gt;=L39),MAX(R39+(-1),0)*M39,1000000000),IF(AND(MAX(R39+(0),0)*M39&gt;0,Q39*INT(MAX(R39+(0),0)*M39/M39)+0*INT(MAX(R39+(0),0)*M39/N39)&gt;=L39),MAX(R39+(0),0)*M39,1000000000),IF(AND(MAX(R39+(1),0)*M39&gt;0,Q39*INT(MAX(R39+(1),0)*M39/M39)+0*INT(MAX(R39+(1),0)*M39/N39)&gt;=L39),MAX(R39+(1),0)*M39,1000000000),IF(AND(MAX(R39+(2),0)*M39&gt;0,Q39*INT(MAX(R39+(2),0)*M39/M39)+0*INT(MAX(R39+(2),0)*M39/N39)&gt;=L39),MAX(R39+(2),0)*M39,1000000000),IF(AND(MAX(S39+(-1),0)*N39&gt;0,Q39*INT(MAX(S39+(-1),0)*N39/M39)+0*INT(MAX(S39+(-1),0)*N39/N39)&gt;=L39),MAX(S39+(-1),0)*N39,1000000000),IF(AND(MAX(S39+(0),0)*N39&gt;0,Q39*INT(MAX(S39+(0),0)*N39/M39)+0*INT(MAX(S39+(0),0)*N39/N39)&gt;=L39),MAX(S39+(0),0)*N39,1000000000),IF(AND(MAX(S39+(1),0)*N39&gt;0,Q39*INT(MAX(S39+(1),0)*N39/M39)+0*INT(MAX(S39+(1),0)*N39/N39)&gt;=L39),MAX(S39+(1),0)*N39,1000000000),IF(AND(MAX(S39+(2),0)*N39&gt;0,Q39*INT(MAX(S39+(2),0)*N39/M39)+0*INT(MAX(S39+(2),0)*N39/N39)&gt;=L39),MAX(S39+(2),0)*N39,1000000000)))</f>
        <v>3360</v>
      </c>
      <c r="U39" s="10" t="n">
        <f aca="false">IF(O39-1*M39&gt;=0,INT((O39-1*M39)/N39),-1)</f>
        <v>3</v>
      </c>
      <c r="V39" s="10" t="n">
        <f aca="false">IF(AND(U39&gt;=0,U39+1&gt;0),ROUNDUP(L39/(U39+1*M39/N39),0),0)</f>
        <v>4</v>
      </c>
      <c r="W39" s="10" t="n">
        <f aca="false">IF(AND(U39&gt;=0,U39+1&gt;0),ROUNDUP(L39/(U39*N39/M39+1),0),0)</f>
        <v>7</v>
      </c>
      <c r="X39" s="10" t="n">
        <f aca="false">IF(OR(U39&lt;0,U39+1=0),1000000000,MIN(IF(AND(MAX(V39+(-1),0)*M39&gt;0,U39*INT(MAX(V39+(-1),0)*M39/M39)+1*INT(MAX(V39+(-1),0)*M39/N39)&gt;=L39),MAX(V39+(-1),0)*M39,1000000000),IF(AND(MAX(V39+(0),0)*M39&gt;0,U39*INT(MAX(V39+(0),0)*M39/M39)+1*INT(MAX(V39+(0),0)*M39/N39)&gt;=L39),MAX(V39+(0),0)*M39,1000000000),IF(AND(MAX(V39+(1),0)*M39&gt;0,U39*INT(MAX(V39+(1),0)*M39/M39)+1*INT(MAX(V39+(1),0)*M39/N39)&gt;=L39),MAX(V39+(1),0)*M39,1000000000),IF(AND(MAX(V39+(2),0)*M39&gt;0,U39*INT(MAX(V39+(2),0)*M39/M39)+1*INT(MAX(V39+(2),0)*M39/N39)&gt;=L39),MAX(V39+(2),0)*M39,1000000000),IF(AND(MAX(W39+(-1),0)*N39&gt;0,U39*INT(MAX(W39+(-1),0)*N39/M39)+1*INT(MAX(W39+(-1),0)*N39/N39)&gt;=L39),MAX(W39+(-1),0)*N39,1000000000),IF(AND(MAX(W39+(0),0)*N39&gt;0,U39*INT(MAX(W39+(0),0)*N39/M39)+1*INT(MAX(W39+(0),0)*N39/N39)&gt;=L39),MAX(W39+(0),0)*N39,1000000000),IF(AND(MAX(W39+(1),0)*N39&gt;0,U39*INT(MAX(W39+(1),0)*N39/M39)+1*INT(MAX(W39+(1),0)*N39/N39)&gt;=L39),MAX(W39+(1),0)*N39,1000000000),IF(AND(MAX(W39+(2),0)*N39&gt;0,U39*INT(MAX(W39+(2),0)*N39/M39)+1*INT(MAX(W39+(2),0)*N39/N39)&gt;=L39),MAX(W39+(2),0)*N39,1000000000)))</f>
        <v>2961</v>
      </c>
      <c r="Y39" s="10" t="n">
        <f aca="false">IF(O39-2*M39&gt;=0,INT((O39-2*M39)/N39),-1)</f>
        <v>1</v>
      </c>
      <c r="Z39" s="10" t="n">
        <f aca="false">IF(AND(Y39&gt;=0,Y39+2&gt;0),ROUNDUP(L39/(Y39+2*M39/N39),0),0)</f>
        <v>4</v>
      </c>
      <c r="AA39" s="10" t="n">
        <f aca="false">IF(AND(Y39&gt;=0,Y39+2&gt;0),ROUNDUP(L39/(Y39*N39/M39+2),0),0)</f>
        <v>7</v>
      </c>
      <c r="AB39" s="10" t="n">
        <f aca="false">IF(OR(Y39&lt;0,Y39+2=0),1000000000,MIN(IF(AND(MAX(Z39+(-1),0)*M39&gt;0,Y39*INT(MAX(Z39+(-1),0)*M39/M39)+2*INT(MAX(Z39+(-1),0)*M39/N39)&gt;=L39),MAX(Z39+(-1),0)*M39,1000000000),IF(AND(MAX(Z39+(0),0)*M39&gt;0,Y39*INT(MAX(Z39+(0),0)*M39/M39)+2*INT(MAX(Z39+(0),0)*M39/N39)&gt;=L39),MAX(Z39+(0),0)*M39,1000000000),IF(AND(MAX(Z39+(1),0)*M39&gt;0,Y39*INT(MAX(Z39+(1),0)*M39/M39)+2*INT(MAX(Z39+(1),0)*M39/N39)&gt;=L39),MAX(Z39+(1),0)*M39,1000000000),IF(AND(MAX(Z39+(2),0)*M39&gt;0,Y39*INT(MAX(Z39+(2),0)*M39/M39)+2*INT(MAX(Z39+(2),0)*M39/N39)&gt;=L39),MAX(Z39+(2),0)*M39,1000000000),IF(AND(MAX(AA39+(-1),0)*N39&gt;0,Y39*INT(MAX(AA39+(-1),0)*N39/M39)+2*INT(MAX(AA39+(-1),0)*N39/N39)&gt;=L39),MAX(AA39+(-1),0)*N39,1000000000),IF(AND(MAX(AA39+(0),0)*N39&gt;0,Y39*INT(MAX(AA39+(0),0)*N39/M39)+2*INT(MAX(AA39+(0),0)*N39/N39)&gt;=L39),MAX(AA39+(0),0)*N39,1000000000),IF(AND(MAX(AA39+(1),0)*N39&gt;0,Y39*INT(MAX(AA39+(1),0)*N39/M39)+2*INT(MAX(AA39+(1),0)*N39/N39)&gt;=L39),MAX(AA39+(1),0)*N39,1000000000),IF(AND(MAX(AA39+(2),0)*N39&gt;0,Y39*INT(MAX(AA39+(2),0)*N39/M39)+2*INT(MAX(AA39+(2),0)*N39/N39)&gt;=L39),MAX(AA39+(2),0)*N39,1000000000)))</f>
        <v>2961</v>
      </c>
      <c r="AC39" s="42" t="n">
        <f aca="false">IF(L39=0,0,MIN(T39,X39,AB39))</f>
        <v>2961</v>
      </c>
      <c r="AD39" s="15" t="n">
        <f aca="false">I39*INDEX(lg_bkg_3460,B39)</f>
        <v>3122.63296</v>
      </c>
      <c r="AE39" s="33" t="n">
        <f aca="false">I39*INDEX(lg_bvol_3460,B39)</f>
        <v>12.79152</v>
      </c>
    </row>
    <row r="40" customFormat="false" ht="15" hidden="false" customHeight="false" outlineLevel="0" collapsed="false">
      <c r="A40" s="9" t="n">
        <v>2</v>
      </c>
      <c r="B40" s="9" t="n">
        <v>1</v>
      </c>
      <c r="C40" s="9" t="s">
        <v>15</v>
      </c>
      <c r="D40" s="10" t="n">
        <f aca="false">INDEX(cfg_ct,A40)</f>
        <v>2</v>
      </c>
      <c r="E40" s="10" t="n">
        <f aca="false">INDEX(cfg_n,A40)</f>
        <v>1</v>
      </c>
      <c r="F40" s="15" t="n">
        <f aca="false">INDEX(cfg_u_3464,A40,B40)</f>
        <v>20000</v>
      </c>
      <c r="G40" s="15" t="n">
        <f aca="false">F40/E40</f>
        <v>20000</v>
      </c>
      <c r="H40" s="10" t="n">
        <f aca="false">INDEX(lg_n_3464,B40)</f>
        <v>50</v>
      </c>
      <c r="I40" s="15" t="n">
        <f aca="false">ROUNDUP(G40/H40,0)</f>
        <v>400</v>
      </c>
      <c r="J40" s="10" t="n">
        <f aca="false">INDEX(lg_layers_3464_40GP,B40)</f>
        <v>30</v>
      </c>
      <c r="K40" s="26" t="n">
        <f aca="false">INDEX(in_use_efficiency,1,B40)</f>
        <v>0.97</v>
      </c>
      <c r="L40" s="10" t="n">
        <f aca="false">IF(I40=0,0,ROUNDUP(I40/(K40*J40)-0.000000001,0))</f>
        <v>14</v>
      </c>
      <c r="M40" s="10" t="n">
        <f aca="false">INDEX(lg_a_3464,B40)</f>
        <v>940</v>
      </c>
      <c r="N40" s="10" t="n">
        <f aca="false">INDEX(lg_b_3464,B40)</f>
        <v>473</v>
      </c>
      <c r="O40" s="10" t="n">
        <f aca="false">INDEX(lg_Wu_40GP,B40)</f>
        <v>2330</v>
      </c>
      <c r="P40" s="10" t="n">
        <f aca="false">INDEX(lg_Lu_40GP,B40)</f>
        <v>11930</v>
      </c>
      <c r="Q40" s="10" t="n">
        <f aca="false">IF(O40-0*M40&gt;=0,INT((O40-0*M40)/N40),-1)</f>
        <v>4</v>
      </c>
      <c r="R40" s="10" t="n">
        <f aca="false">IF(AND(Q40&gt;=0,Q40+0&gt;0),ROUNDUP(L40/(Q40+0*M40/N40),0),0)</f>
        <v>4</v>
      </c>
      <c r="S40" s="10" t="n">
        <f aca="false">IF(AND(Q40&gt;=0,Q40+0&gt;0),ROUNDUP(L40/(Q40*N40/M40+0),0),0)</f>
        <v>7</v>
      </c>
      <c r="T40" s="10" t="n">
        <f aca="false">IF(OR(Q40&lt;0,Q40+0=0),1000000000,MIN(IF(AND(MAX(R40+(-1),0)*M40&gt;0,Q40*INT(MAX(R40+(-1),0)*M40/M40)+0*INT(MAX(R40+(-1),0)*M40/N40)&gt;=L40),MAX(R40+(-1),0)*M40,1000000000),IF(AND(MAX(R40+(0),0)*M40&gt;0,Q40*INT(MAX(R40+(0),0)*M40/M40)+0*INT(MAX(R40+(0),0)*M40/N40)&gt;=L40),MAX(R40+(0),0)*M40,1000000000),IF(AND(MAX(R40+(1),0)*M40&gt;0,Q40*INT(MAX(R40+(1),0)*M40/M40)+0*INT(MAX(R40+(1),0)*M40/N40)&gt;=L40),MAX(R40+(1),0)*M40,1000000000),IF(AND(MAX(R40+(2),0)*M40&gt;0,Q40*INT(MAX(R40+(2),0)*M40/M40)+0*INT(MAX(R40+(2),0)*M40/N40)&gt;=L40),MAX(R40+(2),0)*M40,1000000000),IF(AND(MAX(S40+(-1),0)*N40&gt;0,Q40*INT(MAX(S40+(-1),0)*N40/M40)+0*INT(MAX(S40+(-1),0)*N40/N40)&gt;=L40),MAX(S40+(-1),0)*N40,1000000000),IF(AND(MAX(S40+(0),0)*N40&gt;0,Q40*INT(MAX(S40+(0),0)*N40/M40)+0*INT(MAX(S40+(0),0)*N40/N40)&gt;=L40),MAX(S40+(0),0)*N40,1000000000),IF(AND(MAX(S40+(1),0)*N40&gt;0,Q40*INT(MAX(S40+(1),0)*N40/M40)+0*INT(MAX(S40+(1),0)*N40/N40)&gt;=L40),MAX(S40+(1),0)*N40,1000000000),IF(AND(MAX(S40+(2),0)*N40&gt;0,Q40*INT(MAX(S40+(2),0)*N40/M40)+0*INT(MAX(S40+(2),0)*N40/N40)&gt;=L40),MAX(S40+(2),0)*N40,1000000000)))</f>
        <v>3760</v>
      </c>
      <c r="U40" s="10" t="n">
        <f aca="false">IF(O40-1*M40&gt;=0,INT((O40-1*M40)/N40),-1)</f>
        <v>2</v>
      </c>
      <c r="V40" s="10" t="n">
        <f aca="false">IF(AND(U40&gt;=0,U40+1&gt;0),ROUNDUP(L40/(U40+1*M40/N40),0),0)</f>
        <v>4</v>
      </c>
      <c r="W40" s="10" t="n">
        <f aca="false">IF(AND(U40&gt;=0,U40+1&gt;0),ROUNDUP(L40/(U40*N40/M40+1),0),0)</f>
        <v>7</v>
      </c>
      <c r="X40" s="10" t="n">
        <f aca="false">IF(OR(U40&lt;0,U40+1=0),1000000000,MIN(IF(AND(MAX(V40+(-1),0)*M40&gt;0,U40*INT(MAX(V40+(-1),0)*M40/M40)+1*INT(MAX(V40+(-1),0)*M40/N40)&gt;=L40),MAX(V40+(-1),0)*M40,1000000000),IF(AND(MAX(V40+(0),0)*M40&gt;0,U40*INT(MAX(V40+(0),0)*M40/M40)+1*INT(MAX(V40+(0),0)*M40/N40)&gt;=L40),MAX(V40+(0),0)*M40,1000000000),IF(AND(MAX(V40+(1),0)*M40&gt;0,U40*INT(MAX(V40+(1),0)*M40/M40)+1*INT(MAX(V40+(1),0)*M40/N40)&gt;=L40),MAX(V40+(1),0)*M40,1000000000),IF(AND(MAX(V40+(2),0)*M40&gt;0,U40*INT(MAX(V40+(2),0)*M40/M40)+1*INT(MAX(V40+(2),0)*M40/N40)&gt;=L40),MAX(V40+(2),0)*M40,1000000000),IF(AND(MAX(W40+(-1),0)*N40&gt;0,U40*INT(MAX(W40+(-1),0)*N40/M40)+1*INT(MAX(W40+(-1),0)*N40/N40)&gt;=L40),MAX(W40+(-1),0)*N40,1000000000),IF(AND(MAX(W40+(0),0)*N40&gt;0,U40*INT(MAX(W40+(0),0)*N40/M40)+1*INT(MAX(W40+(0),0)*N40/N40)&gt;=L40),MAX(W40+(0),0)*N40,1000000000),IF(AND(MAX(W40+(1),0)*N40&gt;0,U40*INT(MAX(W40+(1),0)*N40/M40)+1*INT(MAX(W40+(1),0)*N40/N40)&gt;=L40),MAX(W40+(1),0)*N40,1000000000),IF(AND(MAX(W40+(2),0)*N40&gt;0,U40*INT(MAX(W40+(2),0)*N40/M40)+1*INT(MAX(W40+(2),0)*N40/N40)&gt;=L40),MAX(W40+(2),0)*N40,1000000000)))</f>
        <v>3760</v>
      </c>
      <c r="Y40" s="10" t="n">
        <f aca="false">IF(O40-2*M40&gt;=0,INT((O40-2*M40)/N40),-1)</f>
        <v>0</v>
      </c>
      <c r="Z40" s="10" t="n">
        <f aca="false">IF(AND(Y40&gt;=0,Y40+2&gt;0),ROUNDUP(L40/(Y40+2*M40/N40),0),0)</f>
        <v>4</v>
      </c>
      <c r="AA40" s="10" t="n">
        <f aca="false">IF(AND(Y40&gt;=0,Y40+2&gt;0),ROUNDUP(L40/(Y40*N40/M40+2),0),0)</f>
        <v>7</v>
      </c>
      <c r="AB40" s="10" t="n">
        <f aca="false">IF(OR(Y40&lt;0,Y40+2=0),1000000000,MIN(IF(AND(MAX(Z40+(-1),0)*M40&gt;0,Y40*INT(MAX(Z40+(-1),0)*M40/M40)+2*INT(MAX(Z40+(-1),0)*M40/N40)&gt;=L40),MAX(Z40+(-1),0)*M40,1000000000),IF(AND(MAX(Z40+(0),0)*M40&gt;0,Y40*INT(MAX(Z40+(0),0)*M40/M40)+2*INT(MAX(Z40+(0),0)*M40/N40)&gt;=L40),MAX(Z40+(0),0)*M40,1000000000),IF(AND(MAX(Z40+(1),0)*M40&gt;0,Y40*INT(MAX(Z40+(1),0)*M40/M40)+2*INT(MAX(Z40+(1),0)*M40/N40)&gt;=L40),MAX(Z40+(1),0)*M40,1000000000),IF(AND(MAX(Z40+(2),0)*M40&gt;0,Y40*INT(MAX(Z40+(2),0)*M40/M40)+2*INT(MAX(Z40+(2),0)*M40/N40)&gt;=L40),MAX(Z40+(2),0)*M40,1000000000),IF(AND(MAX(AA40+(-1),0)*N40&gt;0,Y40*INT(MAX(AA40+(-1),0)*N40/M40)+2*INT(MAX(AA40+(-1),0)*N40/N40)&gt;=L40),MAX(AA40+(-1),0)*N40,1000000000),IF(AND(MAX(AA40+(0),0)*N40&gt;0,Y40*INT(MAX(AA40+(0),0)*N40/M40)+2*INT(MAX(AA40+(0),0)*N40/N40)&gt;=L40),MAX(AA40+(0),0)*N40,1000000000),IF(AND(MAX(AA40+(1),0)*N40&gt;0,Y40*INT(MAX(AA40+(1),0)*N40/M40)+2*INT(MAX(AA40+(1),0)*N40/N40)&gt;=L40),MAX(AA40+(1),0)*N40,1000000000),IF(AND(MAX(AA40+(2),0)*N40&gt;0,Y40*INT(MAX(AA40+(2),0)*N40/M40)+2*INT(MAX(AA40+(2),0)*N40/N40)&gt;=L40),MAX(AA40+(2),0)*N40,1000000000)))</f>
        <v>3311</v>
      </c>
      <c r="AC40" s="42" t="n">
        <f aca="false">IF(L40=0,0,MIN(T40,X40,AB40))</f>
        <v>3311</v>
      </c>
      <c r="AD40" s="15" t="n">
        <f aca="false">I40*INDEX(lg_bkg_3464,B40)</f>
        <v>3260.5888</v>
      </c>
      <c r="AE40" s="33" t="n">
        <f aca="false">I40*INDEX(lg_bvol_3464,B40)</f>
        <v>13.3386</v>
      </c>
    </row>
    <row r="41" customFormat="false" ht="15" hidden="false" customHeight="false" outlineLevel="0" collapsed="false">
      <c r="A41" s="9" t="n">
        <v>2</v>
      </c>
      <c r="B41" s="9" t="n">
        <v>1</v>
      </c>
      <c r="C41" s="9" t="s">
        <v>16</v>
      </c>
      <c r="D41" s="10" t="n">
        <f aca="false">INDEX(cfg_ct,A41)</f>
        <v>2</v>
      </c>
      <c r="E41" s="10" t="n">
        <f aca="false">INDEX(cfg_n,A41)</f>
        <v>1</v>
      </c>
      <c r="F41" s="15" t="n">
        <f aca="false">INDEX(cfg_u_3463,A41,B41)</f>
        <v>20000</v>
      </c>
      <c r="G41" s="15" t="n">
        <f aca="false">F41/E41</f>
        <v>20000</v>
      </c>
      <c r="H41" s="10" t="n">
        <f aca="false">INDEX(lg_n_3463,B41)</f>
        <v>50</v>
      </c>
      <c r="I41" s="15" t="n">
        <f aca="false">ROUNDUP(G41/H41,0)</f>
        <v>400</v>
      </c>
      <c r="J41" s="10" t="n">
        <f aca="false">INDEX(lg_layers_3463_40GP,B41)</f>
        <v>30</v>
      </c>
      <c r="K41" s="26" t="n">
        <f aca="false">INDEX(in_use_efficiency,1,B41)</f>
        <v>0.97</v>
      </c>
      <c r="L41" s="10" t="n">
        <f aca="false">IF(I41=0,0,ROUNDUP(I41/(K41*J41)-0.000000001,0))</f>
        <v>14</v>
      </c>
      <c r="M41" s="10" t="n">
        <f aca="false">INDEX(lg_a_3463,B41)</f>
        <v>1040</v>
      </c>
      <c r="N41" s="10" t="n">
        <f aca="false">INDEX(lg_b_3463,B41)</f>
        <v>523</v>
      </c>
      <c r="O41" s="10" t="n">
        <f aca="false">INDEX(lg_Wu_40GP,B41)</f>
        <v>2330</v>
      </c>
      <c r="P41" s="10" t="n">
        <f aca="false">INDEX(lg_Lu_40GP,B41)</f>
        <v>11930</v>
      </c>
      <c r="Q41" s="10" t="n">
        <f aca="false">IF(O41-0*M41&gt;=0,INT((O41-0*M41)/N41),-1)</f>
        <v>4</v>
      </c>
      <c r="R41" s="10" t="n">
        <f aca="false">IF(AND(Q41&gt;=0,Q41+0&gt;0),ROUNDUP(L41/(Q41+0*M41/N41),0),0)</f>
        <v>4</v>
      </c>
      <c r="S41" s="10" t="n">
        <f aca="false">IF(AND(Q41&gt;=0,Q41+0&gt;0),ROUNDUP(L41/(Q41*N41/M41+0),0),0)</f>
        <v>7</v>
      </c>
      <c r="T41" s="10" t="n">
        <f aca="false">IF(OR(Q41&lt;0,Q41+0=0),1000000000,MIN(IF(AND(MAX(R41+(-1),0)*M41&gt;0,Q41*INT(MAX(R41+(-1),0)*M41/M41)+0*INT(MAX(R41+(-1),0)*M41/N41)&gt;=L41),MAX(R41+(-1),0)*M41,1000000000),IF(AND(MAX(R41+(0),0)*M41&gt;0,Q41*INT(MAX(R41+(0),0)*M41/M41)+0*INT(MAX(R41+(0),0)*M41/N41)&gt;=L41),MAX(R41+(0),0)*M41,1000000000),IF(AND(MAX(R41+(1),0)*M41&gt;0,Q41*INT(MAX(R41+(1),0)*M41/M41)+0*INT(MAX(R41+(1),0)*M41/N41)&gt;=L41),MAX(R41+(1),0)*M41,1000000000),IF(AND(MAX(R41+(2),0)*M41&gt;0,Q41*INT(MAX(R41+(2),0)*M41/M41)+0*INT(MAX(R41+(2),0)*M41/N41)&gt;=L41),MAX(R41+(2),0)*M41,1000000000),IF(AND(MAX(S41+(-1),0)*N41&gt;0,Q41*INT(MAX(S41+(-1),0)*N41/M41)+0*INT(MAX(S41+(-1),0)*N41/N41)&gt;=L41),MAX(S41+(-1),0)*N41,1000000000),IF(AND(MAX(S41+(0),0)*N41&gt;0,Q41*INT(MAX(S41+(0),0)*N41/M41)+0*INT(MAX(S41+(0),0)*N41/N41)&gt;=L41),MAX(S41+(0),0)*N41,1000000000),IF(AND(MAX(S41+(1),0)*N41&gt;0,Q41*INT(MAX(S41+(1),0)*N41/M41)+0*INT(MAX(S41+(1),0)*N41/N41)&gt;=L41),MAX(S41+(1),0)*N41,1000000000),IF(AND(MAX(S41+(2),0)*N41&gt;0,Q41*INT(MAX(S41+(2),0)*N41/M41)+0*INT(MAX(S41+(2),0)*N41/N41)&gt;=L41),MAX(S41+(2),0)*N41,1000000000)))</f>
        <v>4160</v>
      </c>
      <c r="U41" s="10" t="n">
        <f aca="false">IF(O41-1*M41&gt;=0,INT((O41-1*M41)/N41),-1)</f>
        <v>2</v>
      </c>
      <c r="V41" s="10" t="n">
        <f aca="false">IF(AND(U41&gt;=0,U41+1&gt;0),ROUNDUP(L41/(U41+1*M41/N41),0),0)</f>
        <v>4</v>
      </c>
      <c r="W41" s="10" t="n">
        <f aca="false">IF(AND(U41&gt;=0,U41+1&gt;0),ROUNDUP(L41/(U41*N41/M41+1),0),0)</f>
        <v>7</v>
      </c>
      <c r="X41" s="10" t="n">
        <f aca="false">IF(OR(U41&lt;0,U41+1=0),1000000000,MIN(IF(AND(MAX(V41+(-1),0)*M41&gt;0,U41*INT(MAX(V41+(-1),0)*M41/M41)+1*INT(MAX(V41+(-1),0)*M41/N41)&gt;=L41),MAX(V41+(-1),0)*M41,1000000000),IF(AND(MAX(V41+(0),0)*M41&gt;0,U41*INT(MAX(V41+(0),0)*M41/M41)+1*INT(MAX(V41+(0),0)*M41/N41)&gt;=L41),MAX(V41+(0),0)*M41,1000000000),IF(AND(MAX(V41+(1),0)*M41&gt;0,U41*INT(MAX(V41+(1),0)*M41/M41)+1*INT(MAX(V41+(1),0)*M41/N41)&gt;=L41),MAX(V41+(1),0)*M41,1000000000),IF(AND(MAX(V41+(2),0)*M41&gt;0,U41*INT(MAX(V41+(2),0)*M41/M41)+1*INT(MAX(V41+(2),0)*M41/N41)&gt;=L41),MAX(V41+(2),0)*M41,1000000000),IF(AND(MAX(W41+(-1),0)*N41&gt;0,U41*INT(MAX(W41+(-1),0)*N41/M41)+1*INT(MAX(W41+(-1),0)*N41/N41)&gt;=L41),MAX(W41+(-1),0)*N41,1000000000),IF(AND(MAX(W41+(0),0)*N41&gt;0,U41*INT(MAX(W41+(0),0)*N41/M41)+1*INT(MAX(W41+(0),0)*N41/N41)&gt;=L41),MAX(W41+(0),0)*N41,1000000000),IF(AND(MAX(W41+(1),0)*N41&gt;0,U41*INT(MAX(W41+(1),0)*N41/M41)+1*INT(MAX(W41+(1),0)*N41/N41)&gt;=L41),MAX(W41+(1),0)*N41,1000000000),IF(AND(MAX(W41+(2),0)*N41&gt;0,U41*INT(MAX(W41+(2),0)*N41/M41)+1*INT(MAX(W41+(2),0)*N41/N41)&gt;=L41),MAX(W41+(2),0)*N41,1000000000)))</f>
        <v>4160</v>
      </c>
      <c r="Y41" s="10" t="n">
        <f aca="false">IF(O41-2*M41&gt;=0,INT((O41-2*M41)/N41),-1)</f>
        <v>0</v>
      </c>
      <c r="Z41" s="10" t="n">
        <f aca="false">IF(AND(Y41&gt;=0,Y41+2&gt;0),ROUNDUP(L41/(Y41+2*M41/N41),0),0)</f>
        <v>4</v>
      </c>
      <c r="AA41" s="10" t="n">
        <f aca="false">IF(AND(Y41&gt;=0,Y41+2&gt;0),ROUNDUP(L41/(Y41*N41/M41+2),0),0)</f>
        <v>7</v>
      </c>
      <c r="AB41" s="10" t="n">
        <f aca="false">IF(OR(Y41&lt;0,Y41+2=0),1000000000,MIN(IF(AND(MAX(Z41+(-1),0)*M41&gt;0,Y41*INT(MAX(Z41+(-1),0)*M41/M41)+2*INT(MAX(Z41+(-1),0)*M41/N41)&gt;=L41),MAX(Z41+(-1),0)*M41,1000000000),IF(AND(MAX(Z41+(0),0)*M41&gt;0,Y41*INT(MAX(Z41+(0),0)*M41/M41)+2*INT(MAX(Z41+(0),0)*M41/N41)&gt;=L41),MAX(Z41+(0),0)*M41,1000000000),IF(AND(MAX(Z41+(1),0)*M41&gt;0,Y41*INT(MAX(Z41+(1),0)*M41/M41)+2*INT(MAX(Z41+(1),0)*M41/N41)&gt;=L41),MAX(Z41+(1),0)*M41,1000000000),IF(AND(MAX(Z41+(2),0)*M41&gt;0,Y41*INT(MAX(Z41+(2),0)*M41/M41)+2*INT(MAX(Z41+(2),0)*M41/N41)&gt;=L41),MAX(Z41+(2),0)*M41,1000000000),IF(AND(MAX(AA41+(-1),0)*N41&gt;0,Y41*INT(MAX(AA41+(-1),0)*N41/M41)+2*INT(MAX(AA41+(-1),0)*N41/N41)&gt;=L41),MAX(AA41+(-1),0)*N41,1000000000),IF(AND(MAX(AA41+(0),0)*N41&gt;0,Y41*INT(MAX(AA41+(0),0)*N41/M41)+2*INT(MAX(AA41+(0),0)*N41/N41)&gt;=L41),MAX(AA41+(0),0)*N41,1000000000),IF(AND(MAX(AA41+(1),0)*N41&gt;0,Y41*INT(MAX(AA41+(1),0)*N41/M41)+2*INT(MAX(AA41+(1),0)*N41/N41)&gt;=L41),MAX(AA41+(1),0)*N41,1000000000),IF(AND(MAX(AA41+(2),0)*N41&gt;0,Y41*INT(MAX(AA41+(2),0)*N41/M41)+2*INT(MAX(AA41+(2),0)*N41/N41)&gt;=L41),MAX(AA41+(2),0)*N41,1000000000)))</f>
        <v>3661</v>
      </c>
      <c r="AC41" s="42" t="n">
        <f aca="false">IF(L41=0,0,MIN(T41,X41,AB41))</f>
        <v>3661</v>
      </c>
      <c r="AD41" s="15" t="n">
        <f aca="false">I41*INDEX(lg_bkg_3463,B41)</f>
        <v>3985.9168</v>
      </c>
      <c r="AE41" s="33" t="n">
        <f aca="false">I41*INDEX(lg_bvol_3463,B41)</f>
        <v>16.3176</v>
      </c>
    </row>
    <row r="42" customFormat="false" ht="15" hidden="false" customHeight="false" outlineLevel="0" collapsed="false">
      <c r="A42" s="9" t="n">
        <v>2</v>
      </c>
      <c r="B42" s="9" t="n">
        <v>1</v>
      </c>
      <c r="C42" s="9" t="s">
        <v>17</v>
      </c>
      <c r="D42" s="10" t="n">
        <f aca="false">INDEX(cfg_ct,A42)</f>
        <v>2</v>
      </c>
      <c r="E42" s="10" t="n">
        <f aca="false">INDEX(cfg_n,A42)</f>
        <v>1</v>
      </c>
      <c r="F42" s="15" t="n">
        <f aca="false">INDEX(cfg_u_3460,A42,B42)</f>
        <v>20000</v>
      </c>
      <c r="G42" s="15" t="n">
        <f aca="false">F42/E42</f>
        <v>20000</v>
      </c>
      <c r="H42" s="10" t="n">
        <f aca="false">INDEX(lg_n_3460,B42)</f>
        <v>50</v>
      </c>
      <c r="I42" s="15" t="n">
        <f aca="false">ROUNDUP(G42/H42,0)</f>
        <v>400</v>
      </c>
      <c r="J42" s="10" t="n">
        <f aca="false">INDEX(lg_layers_3460_40GP,B42)</f>
        <v>30</v>
      </c>
      <c r="K42" s="26" t="n">
        <f aca="false">INDEX(in_use_efficiency,1,B42)</f>
        <v>0.97</v>
      </c>
      <c r="L42" s="10" t="n">
        <f aca="false">IF(I42=0,0,ROUNDUP(I42/(K42*J42)-0.000000001,0))</f>
        <v>14</v>
      </c>
      <c r="M42" s="10" t="n">
        <f aca="false">INDEX(lg_a_3460,B42)</f>
        <v>840</v>
      </c>
      <c r="N42" s="10" t="n">
        <f aca="false">INDEX(lg_b_3460,B42)</f>
        <v>423</v>
      </c>
      <c r="O42" s="10" t="n">
        <f aca="false">INDEX(lg_Wu_40GP,B42)</f>
        <v>2330</v>
      </c>
      <c r="P42" s="10" t="n">
        <f aca="false">INDEX(lg_Lu_40GP,B42)</f>
        <v>11930</v>
      </c>
      <c r="Q42" s="10" t="n">
        <f aca="false">IF(O42-0*M42&gt;=0,INT((O42-0*M42)/N42),-1)</f>
        <v>5</v>
      </c>
      <c r="R42" s="10" t="n">
        <f aca="false">IF(AND(Q42&gt;=0,Q42+0&gt;0),ROUNDUP(L42/(Q42+0*M42/N42),0),0)</f>
        <v>3</v>
      </c>
      <c r="S42" s="10" t="n">
        <f aca="false">IF(AND(Q42&gt;=0,Q42+0&gt;0),ROUNDUP(L42/(Q42*N42/M42+0),0),0)</f>
        <v>6</v>
      </c>
      <c r="T42" s="10" t="n">
        <f aca="false">IF(OR(Q42&lt;0,Q42+0=0),1000000000,MIN(IF(AND(MAX(R42+(-1),0)*M42&gt;0,Q42*INT(MAX(R42+(-1),0)*M42/M42)+0*INT(MAX(R42+(-1),0)*M42/N42)&gt;=L42),MAX(R42+(-1),0)*M42,1000000000),IF(AND(MAX(R42+(0),0)*M42&gt;0,Q42*INT(MAX(R42+(0),0)*M42/M42)+0*INT(MAX(R42+(0),0)*M42/N42)&gt;=L42),MAX(R42+(0),0)*M42,1000000000),IF(AND(MAX(R42+(1),0)*M42&gt;0,Q42*INT(MAX(R42+(1),0)*M42/M42)+0*INT(MAX(R42+(1),0)*M42/N42)&gt;=L42),MAX(R42+(1),0)*M42,1000000000),IF(AND(MAX(R42+(2),0)*M42&gt;0,Q42*INT(MAX(R42+(2),0)*M42/M42)+0*INT(MAX(R42+(2),0)*M42/N42)&gt;=L42),MAX(R42+(2),0)*M42,1000000000),IF(AND(MAX(S42+(-1),0)*N42&gt;0,Q42*INT(MAX(S42+(-1),0)*N42/M42)+0*INT(MAX(S42+(-1),0)*N42/N42)&gt;=L42),MAX(S42+(-1),0)*N42,1000000000),IF(AND(MAX(S42+(0),0)*N42&gt;0,Q42*INT(MAX(S42+(0),0)*N42/M42)+0*INT(MAX(S42+(0),0)*N42/N42)&gt;=L42),MAX(S42+(0),0)*N42,1000000000),IF(AND(MAX(S42+(1),0)*N42&gt;0,Q42*INT(MAX(S42+(1),0)*N42/M42)+0*INT(MAX(S42+(1),0)*N42/N42)&gt;=L42),MAX(S42+(1),0)*N42,1000000000),IF(AND(MAX(S42+(2),0)*N42&gt;0,Q42*INT(MAX(S42+(2),0)*N42/M42)+0*INT(MAX(S42+(2),0)*N42/N42)&gt;=L42),MAX(S42+(2),0)*N42,1000000000)))</f>
        <v>2520</v>
      </c>
      <c r="U42" s="10" t="n">
        <f aca="false">IF(O42-1*M42&gt;=0,INT((O42-1*M42)/N42),-1)</f>
        <v>3</v>
      </c>
      <c r="V42" s="10" t="n">
        <f aca="false">IF(AND(U42&gt;=0,U42+1&gt;0),ROUNDUP(L42/(U42+1*M42/N42),0),0)</f>
        <v>3</v>
      </c>
      <c r="W42" s="10" t="n">
        <f aca="false">IF(AND(U42&gt;=0,U42+1&gt;0),ROUNDUP(L42/(U42*N42/M42+1),0),0)</f>
        <v>6</v>
      </c>
      <c r="X42" s="10" t="n">
        <f aca="false">IF(OR(U42&lt;0,U42+1=0),1000000000,MIN(IF(AND(MAX(V42+(-1),0)*M42&gt;0,U42*INT(MAX(V42+(-1),0)*M42/M42)+1*INT(MAX(V42+(-1),0)*M42/N42)&gt;=L42),MAX(V42+(-1),0)*M42,1000000000),IF(AND(MAX(V42+(0),0)*M42&gt;0,U42*INT(MAX(V42+(0),0)*M42/M42)+1*INT(MAX(V42+(0),0)*M42/N42)&gt;=L42),MAX(V42+(0),0)*M42,1000000000),IF(AND(MAX(V42+(1),0)*M42&gt;0,U42*INT(MAX(V42+(1),0)*M42/M42)+1*INT(MAX(V42+(1),0)*M42/N42)&gt;=L42),MAX(V42+(1),0)*M42,1000000000),IF(AND(MAX(V42+(2),0)*M42&gt;0,U42*INT(MAX(V42+(2),0)*M42/M42)+1*INT(MAX(V42+(2),0)*M42/N42)&gt;=L42),MAX(V42+(2),0)*M42,1000000000),IF(AND(MAX(W42+(-1),0)*N42&gt;0,U42*INT(MAX(W42+(-1),0)*N42/M42)+1*INT(MAX(W42+(-1),0)*N42/N42)&gt;=L42),MAX(W42+(-1),0)*N42,1000000000),IF(AND(MAX(W42+(0),0)*N42&gt;0,U42*INT(MAX(W42+(0),0)*N42/M42)+1*INT(MAX(W42+(0),0)*N42/N42)&gt;=L42),MAX(W42+(0),0)*N42,1000000000),IF(AND(MAX(W42+(1),0)*N42&gt;0,U42*INT(MAX(W42+(1),0)*N42/M42)+1*INT(MAX(W42+(1),0)*N42/N42)&gt;=L42),MAX(W42+(1),0)*N42,1000000000),IF(AND(MAX(W42+(2),0)*N42&gt;0,U42*INT(MAX(W42+(2),0)*N42/M42)+1*INT(MAX(W42+(2),0)*N42/N42)&gt;=L42),MAX(W42+(2),0)*N42,1000000000)))</f>
        <v>2520</v>
      </c>
      <c r="Y42" s="10" t="n">
        <f aca="false">IF(O42-2*M42&gt;=0,INT((O42-2*M42)/N42),-1)</f>
        <v>1</v>
      </c>
      <c r="Z42" s="10" t="n">
        <f aca="false">IF(AND(Y42&gt;=0,Y42+2&gt;0),ROUNDUP(L42/(Y42+2*M42/N42),0),0)</f>
        <v>3</v>
      </c>
      <c r="AA42" s="10" t="n">
        <f aca="false">IF(AND(Y42&gt;=0,Y42+2&gt;0),ROUNDUP(L42/(Y42*N42/M42+2),0),0)</f>
        <v>6</v>
      </c>
      <c r="AB42" s="10" t="n">
        <f aca="false">IF(OR(Y42&lt;0,Y42+2=0),1000000000,MIN(IF(AND(MAX(Z42+(-1),0)*M42&gt;0,Y42*INT(MAX(Z42+(-1),0)*M42/M42)+2*INT(MAX(Z42+(-1),0)*M42/N42)&gt;=L42),MAX(Z42+(-1),0)*M42,1000000000),IF(AND(MAX(Z42+(0),0)*M42&gt;0,Y42*INT(MAX(Z42+(0),0)*M42/M42)+2*INT(MAX(Z42+(0),0)*M42/N42)&gt;=L42),MAX(Z42+(0),0)*M42,1000000000),IF(AND(MAX(Z42+(1),0)*M42&gt;0,Y42*INT(MAX(Z42+(1),0)*M42/M42)+2*INT(MAX(Z42+(1),0)*M42/N42)&gt;=L42),MAX(Z42+(1),0)*M42,1000000000),IF(AND(MAX(Z42+(2),0)*M42&gt;0,Y42*INT(MAX(Z42+(2),0)*M42/M42)+2*INT(MAX(Z42+(2),0)*M42/N42)&gt;=L42),MAX(Z42+(2),0)*M42,1000000000),IF(AND(MAX(AA42+(-1),0)*N42&gt;0,Y42*INT(MAX(AA42+(-1),0)*N42/M42)+2*INT(MAX(AA42+(-1),0)*N42/N42)&gt;=L42),MAX(AA42+(-1),0)*N42,1000000000),IF(AND(MAX(AA42+(0),0)*N42&gt;0,Y42*INT(MAX(AA42+(0),0)*N42/M42)+2*INT(MAX(AA42+(0),0)*N42/N42)&gt;=L42),MAX(AA42+(0),0)*N42,1000000000),IF(AND(MAX(AA42+(1),0)*N42&gt;0,Y42*INT(MAX(AA42+(1),0)*N42/M42)+2*INT(MAX(AA42+(1),0)*N42/N42)&gt;=L42),MAX(AA42+(1),0)*N42,1000000000),IF(AND(MAX(AA42+(2),0)*N42&gt;0,Y42*INT(MAX(AA42+(2),0)*N42/M42)+2*INT(MAX(AA42+(2),0)*N42/N42)&gt;=L42),MAX(AA42+(2),0)*N42,1000000000)))</f>
        <v>2538</v>
      </c>
      <c r="AC42" s="42" t="n">
        <f aca="false">IF(L42=0,0,MIN(T42,X42,AB42))</f>
        <v>2520</v>
      </c>
      <c r="AD42" s="15" t="n">
        <f aca="false">I42*INDEX(lg_bkg_3460,B42)</f>
        <v>2608.8608</v>
      </c>
      <c r="AE42" s="33" t="n">
        <f aca="false">I42*INDEX(lg_bvol_3460,B42)</f>
        <v>10.6596</v>
      </c>
    </row>
    <row r="43" customFormat="false" ht="15" hidden="false" customHeight="false" outlineLevel="0" collapsed="false">
      <c r="A43" s="9" t="n">
        <v>2</v>
      </c>
      <c r="B43" s="9" t="n">
        <v>2</v>
      </c>
      <c r="C43" s="9" t="s">
        <v>15</v>
      </c>
      <c r="D43" s="10" t="n">
        <f aca="false">INDEX(cfg_ct,A43)</f>
        <v>2</v>
      </c>
      <c r="E43" s="10" t="n">
        <f aca="false">INDEX(cfg_n,A43)</f>
        <v>1</v>
      </c>
      <c r="F43" s="15" t="n">
        <f aca="false">INDEX(cfg_u_3464,A43,B43)</f>
        <v>20000</v>
      </c>
      <c r="G43" s="15" t="n">
        <f aca="false">F43/E43</f>
        <v>20000</v>
      </c>
      <c r="H43" s="10" t="n">
        <f aca="false">INDEX(lg_n_3464,B43)</f>
        <v>50</v>
      </c>
      <c r="I43" s="15" t="n">
        <f aca="false">ROUNDUP(G43/H43,0)</f>
        <v>400</v>
      </c>
      <c r="J43" s="10" t="n">
        <f aca="false">INDEX(lg_layers_3464_40GP,B43)</f>
        <v>28</v>
      </c>
      <c r="K43" s="26" t="n">
        <f aca="false">INDEX(in_use_efficiency,1,B43)</f>
        <v>0.95</v>
      </c>
      <c r="L43" s="10" t="n">
        <f aca="false">IF(I43=0,0,ROUNDUP(I43/(K43*J43)-0.000000001,0))</f>
        <v>16</v>
      </c>
      <c r="M43" s="10" t="n">
        <f aca="false">INDEX(lg_a_3464,B43)</f>
        <v>940</v>
      </c>
      <c r="N43" s="10" t="n">
        <f aca="false">INDEX(lg_b_3464,B43)</f>
        <v>473</v>
      </c>
      <c r="O43" s="10" t="n">
        <f aca="false">INDEX(lg_Wu_40GP,B43)</f>
        <v>2330</v>
      </c>
      <c r="P43" s="10" t="n">
        <f aca="false">INDEX(lg_Lu_40GP,B43)</f>
        <v>11930</v>
      </c>
      <c r="Q43" s="10" t="n">
        <f aca="false">IF(O43-0*M43&gt;=0,INT((O43-0*M43)/N43),-1)</f>
        <v>4</v>
      </c>
      <c r="R43" s="10" t="n">
        <f aca="false">IF(AND(Q43&gt;=0,Q43+0&gt;0),ROUNDUP(L43/(Q43+0*M43/N43),0),0)</f>
        <v>4</v>
      </c>
      <c r="S43" s="10" t="n">
        <f aca="false">IF(AND(Q43&gt;=0,Q43+0&gt;0),ROUNDUP(L43/(Q43*N43/M43+0),0),0)</f>
        <v>8</v>
      </c>
      <c r="T43" s="10" t="n">
        <f aca="false">IF(OR(Q43&lt;0,Q43+0=0),1000000000,MIN(IF(AND(MAX(R43+(-1),0)*M43&gt;0,Q43*INT(MAX(R43+(-1),0)*M43/M43)+0*INT(MAX(R43+(-1),0)*M43/N43)&gt;=L43),MAX(R43+(-1),0)*M43,1000000000),IF(AND(MAX(R43+(0),0)*M43&gt;0,Q43*INT(MAX(R43+(0),0)*M43/M43)+0*INT(MAX(R43+(0),0)*M43/N43)&gt;=L43),MAX(R43+(0),0)*M43,1000000000),IF(AND(MAX(R43+(1),0)*M43&gt;0,Q43*INT(MAX(R43+(1),0)*M43/M43)+0*INT(MAX(R43+(1),0)*M43/N43)&gt;=L43),MAX(R43+(1),0)*M43,1000000000),IF(AND(MAX(R43+(2),0)*M43&gt;0,Q43*INT(MAX(R43+(2),0)*M43/M43)+0*INT(MAX(R43+(2),0)*M43/N43)&gt;=L43),MAX(R43+(2),0)*M43,1000000000),IF(AND(MAX(S43+(-1),0)*N43&gt;0,Q43*INT(MAX(S43+(-1),0)*N43/M43)+0*INT(MAX(S43+(-1),0)*N43/N43)&gt;=L43),MAX(S43+(-1),0)*N43,1000000000),IF(AND(MAX(S43+(0),0)*N43&gt;0,Q43*INT(MAX(S43+(0),0)*N43/M43)+0*INT(MAX(S43+(0),0)*N43/N43)&gt;=L43),MAX(S43+(0),0)*N43,1000000000),IF(AND(MAX(S43+(1),0)*N43&gt;0,Q43*INT(MAX(S43+(1),0)*N43/M43)+0*INT(MAX(S43+(1),0)*N43/N43)&gt;=L43),MAX(S43+(1),0)*N43,1000000000),IF(AND(MAX(S43+(2),0)*N43&gt;0,Q43*INT(MAX(S43+(2),0)*N43/M43)+0*INT(MAX(S43+(2),0)*N43/N43)&gt;=L43),MAX(S43+(2),0)*N43,1000000000)))</f>
        <v>3760</v>
      </c>
      <c r="U43" s="10" t="n">
        <f aca="false">IF(O43-1*M43&gt;=0,INT((O43-1*M43)/N43),-1)</f>
        <v>2</v>
      </c>
      <c r="V43" s="10" t="n">
        <f aca="false">IF(AND(U43&gt;=0,U43+1&gt;0),ROUNDUP(L43/(U43+1*M43/N43),0),0)</f>
        <v>5</v>
      </c>
      <c r="W43" s="10" t="n">
        <f aca="false">IF(AND(U43&gt;=0,U43+1&gt;0),ROUNDUP(L43/(U43*N43/M43+1),0),0)</f>
        <v>8</v>
      </c>
      <c r="X43" s="10" t="n">
        <f aca="false">IF(OR(U43&lt;0,U43+1=0),1000000000,MIN(IF(AND(MAX(V43+(-1),0)*M43&gt;0,U43*INT(MAX(V43+(-1),0)*M43/M43)+1*INT(MAX(V43+(-1),0)*M43/N43)&gt;=L43),MAX(V43+(-1),0)*M43,1000000000),IF(AND(MAX(V43+(0),0)*M43&gt;0,U43*INT(MAX(V43+(0),0)*M43/M43)+1*INT(MAX(V43+(0),0)*M43/N43)&gt;=L43),MAX(V43+(0),0)*M43,1000000000),IF(AND(MAX(V43+(1),0)*M43&gt;0,U43*INT(MAX(V43+(1),0)*M43/M43)+1*INT(MAX(V43+(1),0)*M43/N43)&gt;=L43),MAX(V43+(1),0)*M43,1000000000),IF(AND(MAX(V43+(2),0)*M43&gt;0,U43*INT(MAX(V43+(2),0)*M43/M43)+1*INT(MAX(V43+(2),0)*M43/N43)&gt;=L43),MAX(V43+(2),0)*M43,1000000000),IF(AND(MAX(W43+(-1),0)*N43&gt;0,U43*INT(MAX(W43+(-1),0)*N43/M43)+1*INT(MAX(W43+(-1),0)*N43/N43)&gt;=L43),MAX(W43+(-1),0)*N43,1000000000),IF(AND(MAX(W43+(0),0)*N43&gt;0,U43*INT(MAX(W43+(0),0)*N43/M43)+1*INT(MAX(W43+(0),0)*N43/N43)&gt;=L43),MAX(W43+(0),0)*N43,1000000000),IF(AND(MAX(W43+(1),0)*N43&gt;0,U43*INT(MAX(W43+(1),0)*N43/M43)+1*INT(MAX(W43+(1),0)*N43/N43)&gt;=L43),MAX(W43+(1),0)*N43,1000000000),IF(AND(MAX(W43+(2),0)*N43&gt;0,U43*INT(MAX(W43+(2),0)*N43/M43)+1*INT(MAX(W43+(2),0)*N43/N43)&gt;=L43),MAX(W43+(2),0)*N43,1000000000)))</f>
        <v>3784</v>
      </c>
      <c r="Y43" s="10" t="n">
        <f aca="false">IF(O43-2*M43&gt;=0,INT((O43-2*M43)/N43),-1)</f>
        <v>0</v>
      </c>
      <c r="Z43" s="10" t="n">
        <f aca="false">IF(AND(Y43&gt;=0,Y43+2&gt;0),ROUNDUP(L43/(Y43+2*M43/N43),0),0)</f>
        <v>5</v>
      </c>
      <c r="AA43" s="10" t="n">
        <f aca="false">IF(AND(Y43&gt;=0,Y43+2&gt;0),ROUNDUP(L43/(Y43*N43/M43+2),0),0)</f>
        <v>8</v>
      </c>
      <c r="AB43" s="10" t="n">
        <f aca="false">IF(OR(Y43&lt;0,Y43+2=0),1000000000,MIN(IF(AND(MAX(Z43+(-1),0)*M43&gt;0,Y43*INT(MAX(Z43+(-1),0)*M43/M43)+2*INT(MAX(Z43+(-1),0)*M43/N43)&gt;=L43),MAX(Z43+(-1),0)*M43,1000000000),IF(AND(MAX(Z43+(0),0)*M43&gt;0,Y43*INT(MAX(Z43+(0),0)*M43/M43)+2*INT(MAX(Z43+(0),0)*M43/N43)&gt;=L43),MAX(Z43+(0),0)*M43,1000000000),IF(AND(MAX(Z43+(1),0)*M43&gt;0,Y43*INT(MAX(Z43+(1),0)*M43/M43)+2*INT(MAX(Z43+(1),0)*M43/N43)&gt;=L43),MAX(Z43+(1),0)*M43,1000000000),IF(AND(MAX(Z43+(2),0)*M43&gt;0,Y43*INT(MAX(Z43+(2),0)*M43/M43)+2*INT(MAX(Z43+(2),0)*M43/N43)&gt;=L43),MAX(Z43+(2),0)*M43,1000000000),IF(AND(MAX(AA43+(-1),0)*N43&gt;0,Y43*INT(MAX(AA43+(-1),0)*N43/M43)+2*INT(MAX(AA43+(-1),0)*N43/N43)&gt;=L43),MAX(AA43+(-1),0)*N43,1000000000),IF(AND(MAX(AA43+(0),0)*N43&gt;0,Y43*INT(MAX(AA43+(0),0)*N43/M43)+2*INT(MAX(AA43+(0),0)*N43/N43)&gt;=L43),MAX(AA43+(0),0)*N43,1000000000),IF(AND(MAX(AA43+(1),0)*N43&gt;0,Y43*INT(MAX(AA43+(1),0)*N43/M43)+2*INT(MAX(AA43+(1),0)*N43/N43)&gt;=L43),MAX(AA43+(1),0)*N43,1000000000),IF(AND(MAX(AA43+(2),0)*N43&gt;0,Y43*INT(MAX(AA43+(2),0)*N43/M43)+2*INT(MAX(AA43+(2),0)*N43/N43)&gt;=L43),MAX(AA43+(2),0)*N43,1000000000)))</f>
        <v>3784</v>
      </c>
      <c r="AC43" s="42" t="n">
        <f aca="false">IF(L43=0,0,MIN(T43,X43,AB43))</f>
        <v>3760</v>
      </c>
      <c r="AD43" s="15" t="n">
        <f aca="false">I43*INDEX(lg_bkg_3464,B43)</f>
        <v>3421.61824</v>
      </c>
      <c r="AE43" s="33" t="n">
        <f aca="false">I43*INDEX(lg_bvol_3464,B43)</f>
        <v>14.22784</v>
      </c>
    </row>
    <row r="44" customFormat="false" ht="15" hidden="false" customHeight="false" outlineLevel="0" collapsed="false">
      <c r="A44" s="9" t="n">
        <v>2</v>
      </c>
      <c r="B44" s="9" t="n">
        <v>2</v>
      </c>
      <c r="C44" s="9" t="s">
        <v>16</v>
      </c>
      <c r="D44" s="10" t="n">
        <f aca="false">INDEX(cfg_ct,A44)</f>
        <v>2</v>
      </c>
      <c r="E44" s="10" t="n">
        <f aca="false">INDEX(cfg_n,A44)</f>
        <v>1</v>
      </c>
      <c r="F44" s="15" t="n">
        <f aca="false">INDEX(cfg_u_3463,A44,B44)</f>
        <v>20000</v>
      </c>
      <c r="G44" s="15" t="n">
        <f aca="false">F44/E44</f>
        <v>20000</v>
      </c>
      <c r="H44" s="10" t="n">
        <f aca="false">INDEX(lg_n_3463,B44)</f>
        <v>50</v>
      </c>
      <c r="I44" s="15" t="n">
        <f aca="false">ROUNDUP(G44/H44,0)</f>
        <v>400</v>
      </c>
      <c r="J44" s="10" t="n">
        <f aca="false">INDEX(lg_layers_3463_40GP,B44)</f>
        <v>28</v>
      </c>
      <c r="K44" s="26" t="n">
        <f aca="false">INDEX(in_use_efficiency,1,B44)</f>
        <v>0.95</v>
      </c>
      <c r="L44" s="10" t="n">
        <f aca="false">IF(I44=0,0,ROUNDUP(I44/(K44*J44)-0.000000001,0))</f>
        <v>16</v>
      </c>
      <c r="M44" s="10" t="n">
        <f aca="false">INDEX(lg_a_3463,B44)</f>
        <v>1040</v>
      </c>
      <c r="N44" s="10" t="n">
        <f aca="false">INDEX(lg_b_3463,B44)</f>
        <v>523</v>
      </c>
      <c r="O44" s="10" t="n">
        <f aca="false">INDEX(lg_Wu_40GP,B44)</f>
        <v>2330</v>
      </c>
      <c r="P44" s="10" t="n">
        <f aca="false">INDEX(lg_Lu_40GP,B44)</f>
        <v>11930</v>
      </c>
      <c r="Q44" s="10" t="n">
        <f aca="false">IF(O44-0*M44&gt;=0,INT((O44-0*M44)/N44),-1)</f>
        <v>4</v>
      </c>
      <c r="R44" s="10" t="n">
        <f aca="false">IF(AND(Q44&gt;=0,Q44+0&gt;0),ROUNDUP(L44/(Q44+0*M44/N44),0),0)</f>
        <v>4</v>
      </c>
      <c r="S44" s="10" t="n">
        <f aca="false">IF(AND(Q44&gt;=0,Q44+0&gt;0),ROUNDUP(L44/(Q44*N44/M44+0),0),0)</f>
        <v>8</v>
      </c>
      <c r="T44" s="10" t="n">
        <f aca="false">IF(OR(Q44&lt;0,Q44+0=0),1000000000,MIN(IF(AND(MAX(R44+(-1),0)*M44&gt;0,Q44*INT(MAX(R44+(-1),0)*M44/M44)+0*INT(MAX(R44+(-1),0)*M44/N44)&gt;=L44),MAX(R44+(-1),0)*M44,1000000000),IF(AND(MAX(R44+(0),0)*M44&gt;0,Q44*INT(MAX(R44+(0),0)*M44/M44)+0*INT(MAX(R44+(0),0)*M44/N44)&gt;=L44),MAX(R44+(0),0)*M44,1000000000),IF(AND(MAX(R44+(1),0)*M44&gt;0,Q44*INT(MAX(R44+(1),0)*M44/M44)+0*INT(MAX(R44+(1),0)*M44/N44)&gt;=L44),MAX(R44+(1),0)*M44,1000000000),IF(AND(MAX(R44+(2),0)*M44&gt;0,Q44*INT(MAX(R44+(2),0)*M44/M44)+0*INT(MAX(R44+(2),0)*M44/N44)&gt;=L44),MAX(R44+(2),0)*M44,1000000000),IF(AND(MAX(S44+(-1),0)*N44&gt;0,Q44*INT(MAX(S44+(-1),0)*N44/M44)+0*INT(MAX(S44+(-1),0)*N44/N44)&gt;=L44),MAX(S44+(-1),0)*N44,1000000000),IF(AND(MAX(S44+(0),0)*N44&gt;0,Q44*INT(MAX(S44+(0),0)*N44/M44)+0*INT(MAX(S44+(0),0)*N44/N44)&gt;=L44),MAX(S44+(0),0)*N44,1000000000),IF(AND(MAX(S44+(1),0)*N44&gt;0,Q44*INT(MAX(S44+(1),0)*N44/M44)+0*INT(MAX(S44+(1),0)*N44/N44)&gt;=L44),MAX(S44+(1),0)*N44,1000000000),IF(AND(MAX(S44+(2),0)*N44&gt;0,Q44*INT(MAX(S44+(2),0)*N44/M44)+0*INT(MAX(S44+(2),0)*N44/N44)&gt;=L44),MAX(S44+(2),0)*N44,1000000000)))</f>
        <v>4160</v>
      </c>
      <c r="U44" s="10" t="n">
        <f aca="false">IF(O44-1*M44&gt;=0,INT((O44-1*M44)/N44),-1)</f>
        <v>2</v>
      </c>
      <c r="V44" s="10" t="n">
        <f aca="false">IF(AND(U44&gt;=0,U44+1&gt;0),ROUNDUP(L44/(U44+1*M44/N44),0),0)</f>
        <v>5</v>
      </c>
      <c r="W44" s="10" t="n">
        <f aca="false">IF(AND(U44&gt;=0,U44+1&gt;0),ROUNDUP(L44/(U44*N44/M44+1),0),0)</f>
        <v>8</v>
      </c>
      <c r="X44" s="10" t="n">
        <f aca="false">IF(OR(U44&lt;0,U44+1=0),1000000000,MIN(IF(AND(MAX(V44+(-1),0)*M44&gt;0,U44*INT(MAX(V44+(-1),0)*M44/M44)+1*INT(MAX(V44+(-1),0)*M44/N44)&gt;=L44),MAX(V44+(-1),0)*M44,1000000000),IF(AND(MAX(V44+(0),0)*M44&gt;0,U44*INT(MAX(V44+(0),0)*M44/M44)+1*INT(MAX(V44+(0),0)*M44/N44)&gt;=L44),MAX(V44+(0),0)*M44,1000000000),IF(AND(MAX(V44+(1),0)*M44&gt;0,U44*INT(MAX(V44+(1),0)*M44/M44)+1*INT(MAX(V44+(1),0)*M44/N44)&gt;=L44),MAX(V44+(1),0)*M44,1000000000),IF(AND(MAX(V44+(2),0)*M44&gt;0,U44*INT(MAX(V44+(2),0)*M44/M44)+1*INT(MAX(V44+(2),0)*M44/N44)&gt;=L44),MAX(V44+(2),0)*M44,1000000000),IF(AND(MAX(W44+(-1),0)*N44&gt;0,U44*INT(MAX(W44+(-1),0)*N44/M44)+1*INT(MAX(W44+(-1),0)*N44/N44)&gt;=L44),MAX(W44+(-1),0)*N44,1000000000),IF(AND(MAX(W44+(0),0)*N44&gt;0,U44*INT(MAX(W44+(0),0)*N44/M44)+1*INT(MAX(W44+(0),0)*N44/N44)&gt;=L44),MAX(W44+(0),0)*N44,1000000000),IF(AND(MAX(W44+(1),0)*N44&gt;0,U44*INT(MAX(W44+(1),0)*N44/M44)+1*INT(MAX(W44+(1),0)*N44/N44)&gt;=L44),MAX(W44+(1),0)*N44,1000000000),IF(AND(MAX(W44+(2),0)*N44&gt;0,U44*INT(MAX(W44+(2),0)*N44/M44)+1*INT(MAX(W44+(2),0)*N44/N44)&gt;=L44),MAX(W44+(2),0)*N44,1000000000)))</f>
        <v>4184</v>
      </c>
      <c r="Y44" s="10" t="n">
        <f aca="false">IF(O44-2*M44&gt;=0,INT((O44-2*M44)/N44),-1)</f>
        <v>0</v>
      </c>
      <c r="Z44" s="10" t="n">
        <f aca="false">IF(AND(Y44&gt;=0,Y44+2&gt;0),ROUNDUP(L44/(Y44+2*M44/N44),0),0)</f>
        <v>5</v>
      </c>
      <c r="AA44" s="10" t="n">
        <f aca="false">IF(AND(Y44&gt;=0,Y44+2&gt;0),ROUNDUP(L44/(Y44*N44/M44+2),0),0)</f>
        <v>8</v>
      </c>
      <c r="AB44" s="10" t="n">
        <f aca="false">IF(OR(Y44&lt;0,Y44+2=0),1000000000,MIN(IF(AND(MAX(Z44+(-1),0)*M44&gt;0,Y44*INT(MAX(Z44+(-1),0)*M44/M44)+2*INT(MAX(Z44+(-1),0)*M44/N44)&gt;=L44),MAX(Z44+(-1),0)*M44,1000000000),IF(AND(MAX(Z44+(0),0)*M44&gt;0,Y44*INT(MAX(Z44+(0),0)*M44/M44)+2*INT(MAX(Z44+(0),0)*M44/N44)&gt;=L44),MAX(Z44+(0),0)*M44,1000000000),IF(AND(MAX(Z44+(1),0)*M44&gt;0,Y44*INT(MAX(Z44+(1),0)*M44/M44)+2*INT(MAX(Z44+(1),0)*M44/N44)&gt;=L44),MAX(Z44+(1),0)*M44,1000000000),IF(AND(MAX(Z44+(2),0)*M44&gt;0,Y44*INT(MAX(Z44+(2),0)*M44/M44)+2*INT(MAX(Z44+(2),0)*M44/N44)&gt;=L44),MAX(Z44+(2),0)*M44,1000000000),IF(AND(MAX(AA44+(-1),0)*N44&gt;0,Y44*INT(MAX(AA44+(-1),0)*N44/M44)+2*INT(MAX(AA44+(-1),0)*N44/N44)&gt;=L44),MAX(AA44+(-1),0)*N44,1000000000),IF(AND(MAX(AA44+(0),0)*N44&gt;0,Y44*INT(MAX(AA44+(0),0)*N44/M44)+2*INT(MAX(AA44+(0),0)*N44/N44)&gt;=L44),MAX(AA44+(0),0)*N44,1000000000),IF(AND(MAX(AA44+(1),0)*N44&gt;0,Y44*INT(MAX(AA44+(1),0)*N44/M44)+2*INT(MAX(AA44+(1),0)*N44/N44)&gt;=L44),MAX(AA44+(1),0)*N44,1000000000),IF(AND(MAX(AA44+(2),0)*N44&gt;0,Y44*INT(MAX(AA44+(2),0)*N44/M44)+2*INT(MAX(AA44+(2),0)*N44/N44)&gt;=L44),MAX(AA44+(2),0)*N44,1000000000)))</f>
        <v>4184</v>
      </c>
      <c r="AC44" s="42" t="n">
        <f aca="false">IF(L44=0,0,MIN(T44,X44,AB44))</f>
        <v>4160</v>
      </c>
      <c r="AD44" s="15" t="n">
        <f aca="false">I44*INDEX(lg_bkg_3463,B44)</f>
        <v>4183.21264</v>
      </c>
      <c r="AE44" s="33" t="n">
        <f aca="false">I44*INDEX(lg_bvol_3463,B44)</f>
        <v>17.40544</v>
      </c>
    </row>
    <row r="45" customFormat="false" ht="15" hidden="false" customHeight="false" outlineLevel="0" collapsed="false">
      <c r="A45" s="9" t="n">
        <v>2</v>
      </c>
      <c r="B45" s="9" t="n">
        <v>2</v>
      </c>
      <c r="C45" s="9" t="s">
        <v>17</v>
      </c>
      <c r="D45" s="10" t="n">
        <f aca="false">INDEX(cfg_ct,A45)</f>
        <v>2</v>
      </c>
      <c r="E45" s="10" t="n">
        <f aca="false">INDEX(cfg_n,A45)</f>
        <v>1</v>
      </c>
      <c r="F45" s="15" t="n">
        <f aca="false">INDEX(cfg_u_3460,A45,B45)</f>
        <v>20000</v>
      </c>
      <c r="G45" s="15" t="n">
        <f aca="false">F45/E45</f>
        <v>20000</v>
      </c>
      <c r="H45" s="10" t="n">
        <f aca="false">INDEX(lg_n_3460,B45)</f>
        <v>50</v>
      </c>
      <c r="I45" s="15" t="n">
        <f aca="false">ROUNDUP(G45/H45,0)</f>
        <v>400</v>
      </c>
      <c r="J45" s="10" t="n">
        <f aca="false">INDEX(lg_layers_3460_40GP,B45)</f>
        <v>28</v>
      </c>
      <c r="K45" s="26" t="n">
        <f aca="false">INDEX(in_use_efficiency,1,B45)</f>
        <v>0.95</v>
      </c>
      <c r="L45" s="10" t="n">
        <f aca="false">IF(I45=0,0,ROUNDUP(I45/(K45*J45)-0.000000001,0))</f>
        <v>16</v>
      </c>
      <c r="M45" s="10" t="n">
        <f aca="false">INDEX(lg_a_3460,B45)</f>
        <v>840</v>
      </c>
      <c r="N45" s="10" t="n">
        <f aca="false">INDEX(lg_b_3460,B45)</f>
        <v>423</v>
      </c>
      <c r="O45" s="10" t="n">
        <f aca="false">INDEX(lg_Wu_40GP,B45)</f>
        <v>2330</v>
      </c>
      <c r="P45" s="10" t="n">
        <f aca="false">INDEX(lg_Lu_40GP,B45)</f>
        <v>11930</v>
      </c>
      <c r="Q45" s="10" t="n">
        <f aca="false">IF(O45-0*M45&gt;=0,INT((O45-0*M45)/N45),-1)</f>
        <v>5</v>
      </c>
      <c r="R45" s="10" t="n">
        <f aca="false">IF(AND(Q45&gt;=0,Q45+0&gt;0),ROUNDUP(L45/(Q45+0*M45/N45),0),0)</f>
        <v>4</v>
      </c>
      <c r="S45" s="10" t="n">
        <f aca="false">IF(AND(Q45&gt;=0,Q45+0&gt;0),ROUNDUP(L45/(Q45*N45/M45+0),0),0)</f>
        <v>7</v>
      </c>
      <c r="T45" s="10" t="n">
        <f aca="false">IF(OR(Q45&lt;0,Q45+0=0),1000000000,MIN(IF(AND(MAX(R45+(-1),0)*M45&gt;0,Q45*INT(MAX(R45+(-1),0)*M45/M45)+0*INT(MAX(R45+(-1),0)*M45/N45)&gt;=L45),MAX(R45+(-1),0)*M45,1000000000),IF(AND(MAX(R45+(0),0)*M45&gt;0,Q45*INT(MAX(R45+(0),0)*M45/M45)+0*INT(MAX(R45+(0),0)*M45/N45)&gt;=L45),MAX(R45+(0),0)*M45,1000000000),IF(AND(MAX(R45+(1),0)*M45&gt;0,Q45*INT(MAX(R45+(1),0)*M45/M45)+0*INT(MAX(R45+(1),0)*M45/N45)&gt;=L45),MAX(R45+(1),0)*M45,1000000000),IF(AND(MAX(R45+(2),0)*M45&gt;0,Q45*INT(MAX(R45+(2),0)*M45/M45)+0*INT(MAX(R45+(2),0)*M45/N45)&gt;=L45),MAX(R45+(2),0)*M45,1000000000),IF(AND(MAX(S45+(-1),0)*N45&gt;0,Q45*INT(MAX(S45+(-1),0)*N45/M45)+0*INT(MAX(S45+(-1),0)*N45/N45)&gt;=L45),MAX(S45+(-1),0)*N45,1000000000),IF(AND(MAX(S45+(0),0)*N45&gt;0,Q45*INT(MAX(S45+(0),0)*N45/M45)+0*INT(MAX(S45+(0),0)*N45/N45)&gt;=L45),MAX(S45+(0),0)*N45,1000000000),IF(AND(MAX(S45+(1),0)*N45&gt;0,Q45*INT(MAX(S45+(1),0)*N45/M45)+0*INT(MAX(S45+(1),0)*N45/N45)&gt;=L45),MAX(S45+(1),0)*N45,1000000000),IF(AND(MAX(S45+(2),0)*N45&gt;0,Q45*INT(MAX(S45+(2),0)*N45/M45)+0*INT(MAX(S45+(2),0)*N45/N45)&gt;=L45),MAX(S45+(2),0)*N45,1000000000)))</f>
        <v>3360</v>
      </c>
      <c r="U45" s="10" t="n">
        <f aca="false">IF(O45-1*M45&gt;=0,INT((O45-1*M45)/N45),-1)</f>
        <v>3</v>
      </c>
      <c r="V45" s="10" t="n">
        <f aca="false">IF(AND(U45&gt;=0,U45+1&gt;0),ROUNDUP(L45/(U45+1*M45/N45),0),0)</f>
        <v>4</v>
      </c>
      <c r="W45" s="10" t="n">
        <f aca="false">IF(AND(U45&gt;=0,U45+1&gt;0),ROUNDUP(L45/(U45*N45/M45+1),0),0)</f>
        <v>7</v>
      </c>
      <c r="X45" s="10" t="n">
        <f aca="false">IF(OR(U45&lt;0,U45+1=0),1000000000,MIN(IF(AND(MAX(V45+(-1),0)*M45&gt;0,U45*INT(MAX(V45+(-1),0)*M45/M45)+1*INT(MAX(V45+(-1),0)*M45/N45)&gt;=L45),MAX(V45+(-1),0)*M45,1000000000),IF(AND(MAX(V45+(0),0)*M45&gt;0,U45*INT(MAX(V45+(0),0)*M45/M45)+1*INT(MAX(V45+(0),0)*M45/N45)&gt;=L45),MAX(V45+(0),0)*M45,1000000000),IF(AND(MAX(V45+(1),0)*M45&gt;0,U45*INT(MAX(V45+(1),0)*M45/M45)+1*INT(MAX(V45+(1),0)*M45/N45)&gt;=L45),MAX(V45+(1),0)*M45,1000000000),IF(AND(MAX(V45+(2),0)*M45&gt;0,U45*INT(MAX(V45+(2),0)*M45/M45)+1*INT(MAX(V45+(2),0)*M45/N45)&gt;=L45),MAX(V45+(2),0)*M45,1000000000),IF(AND(MAX(W45+(-1),0)*N45&gt;0,U45*INT(MAX(W45+(-1),0)*N45/M45)+1*INT(MAX(W45+(-1),0)*N45/N45)&gt;=L45),MAX(W45+(-1),0)*N45,1000000000),IF(AND(MAX(W45+(0),0)*N45&gt;0,U45*INT(MAX(W45+(0),0)*N45/M45)+1*INT(MAX(W45+(0),0)*N45/N45)&gt;=L45),MAX(W45+(0),0)*N45,1000000000),IF(AND(MAX(W45+(1),0)*N45&gt;0,U45*INT(MAX(W45+(1),0)*N45/M45)+1*INT(MAX(W45+(1),0)*N45/N45)&gt;=L45),MAX(W45+(1),0)*N45,1000000000),IF(AND(MAX(W45+(2),0)*N45&gt;0,U45*INT(MAX(W45+(2),0)*N45/M45)+1*INT(MAX(W45+(2),0)*N45/N45)&gt;=L45),MAX(W45+(2),0)*N45,1000000000)))</f>
        <v>2961</v>
      </c>
      <c r="Y45" s="10" t="n">
        <f aca="false">IF(O45-2*M45&gt;=0,INT((O45-2*M45)/N45),-1)</f>
        <v>1</v>
      </c>
      <c r="Z45" s="10" t="n">
        <f aca="false">IF(AND(Y45&gt;=0,Y45+2&gt;0),ROUNDUP(L45/(Y45+2*M45/N45),0),0)</f>
        <v>4</v>
      </c>
      <c r="AA45" s="10" t="n">
        <f aca="false">IF(AND(Y45&gt;=0,Y45+2&gt;0),ROUNDUP(L45/(Y45*N45/M45+2),0),0)</f>
        <v>7</v>
      </c>
      <c r="AB45" s="10" t="n">
        <f aca="false">IF(OR(Y45&lt;0,Y45+2=0),1000000000,MIN(IF(AND(MAX(Z45+(-1),0)*M45&gt;0,Y45*INT(MAX(Z45+(-1),0)*M45/M45)+2*INT(MAX(Z45+(-1),0)*M45/N45)&gt;=L45),MAX(Z45+(-1),0)*M45,1000000000),IF(AND(MAX(Z45+(0),0)*M45&gt;0,Y45*INT(MAX(Z45+(0),0)*M45/M45)+2*INT(MAX(Z45+(0),0)*M45/N45)&gt;=L45),MAX(Z45+(0),0)*M45,1000000000),IF(AND(MAX(Z45+(1),0)*M45&gt;0,Y45*INT(MAX(Z45+(1),0)*M45/M45)+2*INT(MAX(Z45+(1),0)*M45/N45)&gt;=L45),MAX(Z45+(1),0)*M45,1000000000),IF(AND(MAX(Z45+(2),0)*M45&gt;0,Y45*INT(MAX(Z45+(2),0)*M45/M45)+2*INT(MAX(Z45+(2),0)*M45/N45)&gt;=L45),MAX(Z45+(2),0)*M45,1000000000),IF(AND(MAX(AA45+(-1),0)*N45&gt;0,Y45*INT(MAX(AA45+(-1),0)*N45/M45)+2*INT(MAX(AA45+(-1),0)*N45/N45)&gt;=L45),MAX(AA45+(-1),0)*N45,1000000000),IF(AND(MAX(AA45+(0),0)*N45&gt;0,Y45*INT(MAX(AA45+(0),0)*N45/M45)+2*INT(MAX(AA45+(0),0)*N45/N45)&gt;=L45),MAX(AA45+(0),0)*N45,1000000000),IF(AND(MAX(AA45+(1),0)*N45&gt;0,Y45*INT(MAX(AA45+(1),0)*N45/M45)+2*INT(MAX(AA45+(1),0)*N45/N45)&gt;=L45),MAX(AA45+(1),0)*N45,1000000000),IF(AND(MAX(AA45+(2),0)*N45&gt;0,Y45*INT(MAX(AA45+(2),0)*N45/M45)+2*INT(MAX(AA45+(2),0)*N45/N45)&gt;=L45),MAX(AA45+(2),0)*N45,1000000000)))</f>
        <v>2961</v>
      </c>
      <c r="AC45" s="42" t="n">
        <f aca="false">IF(L45=0,0,MIN(T45,X45,AB45))</f>
        <v>2961</v>
      </c>
      <c r="AD45" s="15" t="n">
        <f aca="false">I45*INDEX(lg_bkg_3460,B45)</f>
        <v>2737.30384</v>
      </c>
      <c r="AE45" s="33" t="n">
        <f aca="false">I45*INDEX(lg_bvol_3460,B45)</f>
        <v>11.37024</v>
      </c>
    </row>
    <row r="46" customFormat="false" ht="15" hidden="false" customHeight="false" outlineLevel="0" collapsed="false">
      <c r="A46" s="9" t="n">
        <v>2</v>
      </c>
      <c r="B46" s="9" t="n">
        <v>3</v>
      </c>
      <c r="C46" s="9" t="s">
        <v>15</v>
      </c>
      <c r="D46" s="10" t="n">
        <f aca="false">INDEX(cfg_ct,A46)</f>
        <v>2</v>
      </c>
      <c r="E46" s="10" t="n">
        <f aca="false">INDEX(cfg_n,A46)</f>
        <v>1</v>
      </c>
      <c r="F46" s="15" t="n">
        <f aca="false">INDEX(cfg_u_3464,A46,B46)</f>
        <v>20000</v>
      </c>
      <c r="G46" s="15" t="n">
        <f aca="false">F46/E46</f>
        <v>20000</v>
      </c>
      <c r="H46" s="10" t="n">
        <f aca="false">INDEX(lg_n_3464,B46)</f>
        <v>50</v>
      </c>
      <c r="I46" s="15" t="n">
        <f aca="false">ROUNDUP(G46/H46,0)</f>
        <v>400</v>
      </c>
      <c r="J46" s="10" t="n">
        <f aca="false">INDEX(lg_layers_3464_40GP,B46)</f>
        <v>25</v>
      </c>
      <c r="K46" s="26" t="n">
        <f aca="false">INDEX(in_use_efficiency,1,B46)</f>
        <v>0.9</v>
      </c>
      <c r="L46" s="10" t="n">
        <f aca="false">IF(I46=0,0,ROUNDUP(I46/(K46*J46)-0.000000001,0))</f>
        <v>18</v>
      </c>
      <c r="M46" s="10" t="n">
        <f aca="false">INDEX(lg_a_3464,B46)</f>
        <v>940</v>
      </c>
      <c r="N46" s="10" t="n">
        <f aca="false">INDEX(lg_b_3464,B46)</f>
        <v>473</v>
      </c>
      <c r="O46" s="10" t="n">
        <f aca="false">INDEX(lg_Wu_40GP,B46)</f>
        <v>2330</v>
      </c>
      <c r="P46" s="10" t="n">
        <f aca="false">INDEX(lg_Lu_40GP,B46)</f>
        <v>11930</v>
      </c>
      <c r="Q46" s="10" t="n">
        <f aca="false">IF(O46-0*M46&gt;=0,INT((O46-0*M46)/N46),-1)</f>
        <v>4</v>
      </c>
      <c r="R46" s="10" t="n">
        <f aca="false">IF(AND(Q46&gt;=0,Q46+0&gt;0),ROUNDUP(L46/(Q46+0*M46/N46),0),0)</f>
        <v>5</v>
      </c>
      <c r="S46" s="10" t="n">
        <f aca="false">IF(AND(Q46&gt;=0,Q46+0&gt;0),ROUNDUP(L46/(Q46*N46/M46+0),0),0)</f>
        <v>9</v>
      </c>
      <c r="T46" s="10" t="n">
        <f aca="false">IF(OR(Q46&lt;0,Q46+0=0),1000000000,MIN(IF(AND(MAX(R46+(-1),0)*M46&gt;0,Q46*INT(MAX(R46+(-1),0)*M46/M46)+0*INT(MAX(R46+(-1),0)*M46/N46)&gt;=L46),MAX(R46+(-1),0)*M46,1000000000),IF(AND(MAX(R46+(0),0)*M46&gt;0,Q46*INT(MAX(R46+(0),0)*M46/M46)+0*INT(MAX(R46+(0),0)*M46/N46)&gt;=L46),MAX(R46+(0),0)*M46,1000000000),IF(AND(MAX(R46+(1),0)*M46&gt;0,Q46*INT(MAX(R46+(1),0)*M46/M46)+0*INT(MAX(R46+(1),0)*M46/N46)&gt;=L46),MAX(R46+(1),0)*M46,1000000000),IF(AND(MAX(R46+(2),0)*M46&gt;0,Q46*INT(MAX(R46+(2),0)*M46/M46)+0*INT(MAX(R46+(2),0)*M46/N46)&gt;=L46),MAX(R46+(2),0)*M46,1000000000),IF(AND(MAX(S46+(-1),0)*N46&gt;0,Q46*INT(MAX(S46+(-1),0)*N46/M46)+0*INT(MAX(S46+(-1),0)*N46/N46)&gt;=L46),MAX(S46+(-1),0)*N46,1000000000),IF(AND(MAX(S46+(0),0)*N46&gt;0,Q46*INT(MAX(S46+(0),0)*N46/M46)+0*INT(MAX(S46+(0),0)*N46/N46)&gt;=L46),MAX(S46+(0),0)*N46,1000000000),IF(AND(MAX(S46+(1),0)*N46&gt;0,Q46*INT(MAX(S46+(1),0)*N46/M46)+0*INT(MAX(S46+(1),0)*N46/N46)&gt;=L46),MAX(S46+(1),0)*N46,1000000000),IF(AND(MAX(S46+(2),0)*N46&gt;0,Q46*INT(MAX(S46+(2),0)*N46/M46)+0*INT(MAX(S46+(2),0)*N46/N46)&gt;=L46),MAX(S46+(2),0)*N46,1000000000)))</f>
        <v>4700</v>
      </c>
      <c r="U46" s="10" t="n">
        <f aca="false">IF(O46-1*M46&gt;=0,INT((O46-1*M46)/N46),-1)</f>
        <v>2</v>
      </c>
      <c r="V46" s="10" t="n">
        <f aca="false">IF(AND(U46&gt;=0,U46+1&gt;0),ROUNDUP(L46/(U46+1*M46/N46),0),0)</f>
        <v>5</v>
      </c>
      <c r="W46" s="10" t="n">
        <f aca="false">IF(AND(U46&gt;=0,U46+1&gt;0),ROUNDUP(L46/(U46*N46/M46+1),0),0)</f>
        <v>9</v>
      </c>
      <c r="X46" s="10" t="n">
        <f aca="false">IF(OR(U46&lt;0,U46+1=0),1000000000,MIN(IF(AND(MAX(V46+(-1),0)*M46&gt;0,U46*INT(MAX(V46+(-1),0)*M46/M46)+1*INT(MAX(V46+(-1),0)*M46/N46)&gt;=L46),MAX(V46+(-1),0)*M46,1000000000),IF(AND(MAX(V46+(0),0)*M46&gt;0,U46*INT(MAX(V46+(0),0)*M46/M46)+1*INT(MAX(V46+(0),0)*M46/N46)&gt;=L46),MAX(V46+(0),0)*M46,1000000000),IF(AND(MAX(V46+(1),0)*M46&gt;0,U46*INT(MAX(V46+(1),0)*M46/M46)+1*INT(MAX(V46+(1),0)*M46/N46)&gt;=L46),MAX(V46+(1),0)*M46,1000000000),IF(AND(MAX(V46+(2),0)*M46&gt;0,U46*INT(MAX(V46+(2),0)*M46/M46)+1*INT(MAX(V46+(2),0)*M46/N46)&gt;=L46),MAX(V46+(2),0)*M46,1000000000),IF(AND(MAX(W46+(-1),0)*N46&gt;0,U46*INT(MAX(W46+(-1),0)*N46/M46)+1*INT(MAX(W46+(-1),0)*N46/N46)&gt;=L46),MAX(W46+(-1),0)*N46,1000000000),IF(AND(MAX(W46+(0),0)*N46&gt;0,U46*INT(MAX(W46+(0),0)*N46/M46)+1*INT(MAX(W46+(0),0)*N46/N46)&gt;=L46),MAX(W46+(0),0)*N46,1000000000),IF(AND(MAX(W46+(1),0)*N46&gt;0,U46*INT(MAX(W46+(1),0)*N46/M46)+1*INT(MAX(W46+(1),0)*N46/N46)&gt;=L46),MAX(W46+(1),0)*N46,1000000000),IF(AND(MAX(W46+(2),0)*N46&gt;0,U46*INT(MAX(W46+(2),0)*N46/M46)+1*INT(MAX(W46+(2),0)*N46/N46)&gt;=L46),MAX(W46+(2),0)*N46,1000000000)))</f>
        <v>4700</v>
      </c>
      <c r="Y46" s="10" t="n">
        <f aca="false">IF(O46-2*M46&gt;=0,INT((O46-2*M46)/N46),-1)</f>
        <v>0</v>
      </c>
      <c r="Z46" s="10" t="n">
        <f aca="false">IF(AND(Y46&gt;=0,Y46+2&gt;0),ROUNDUP(L46/(Y46+2*M46/N46),0),0)</f>
        <v>5</v>
      </c>
      <c r="AA46" s="10" t="n">
        <f aca="false">IF(AND(Y46&gt;=0,Y46+2&gt;0),ROUNDUP(L46/(Y46*N46/M46+2),0),0)</f>
        <v>9</v>
      </c>
      <c r="AB46" s="10" t="n">
        <f aca="false">IF(OR(Y46&lt;0,Y46+2=0),1000000000,MIN(IF(AND(MAX(Z46+(-1),0)*M46&gt;0,Y46*INT(MAX(Z46+(-1),0)*M46/M46)+2*INT(MAX(Z46+(-1),0)*M46/N46)&gt;=L46),MAX(Z46+(-1),0)*M46,1000000000),IF(AND(MAX(Z46+(0),0)*M46&gt;0,Y46*INT(MAX(Z46+(0),0)*M46/M46)+2*INT(MAX(Z46+(0),0)*M46/N46)&gt;=L46),MAX(Z46+(0),0)*M46,1000000000),IF(AND(MAX(Z46+(1),0)*M46&gt;0,Y46*INT(MAX(Z46+(1),0)*M46/M46)+2*INT(MAX(Z46+(1),0)*M46/N46)&gt;=L46),MAX(Z46+(1),0)*M46,1000000000),IF(AND(MAX(Z46+(2),0)*M46&gt;0,Y46*INT(MAX(Z46+(2),0)*M46/M46)+2*INT(MAX(Z46+(2),0)*M46/N46)&gt;=L46),MAX(Z46+(2),0)*M46,1000000000),IF(AND(MAX(AA46+(-1),0)*N46&gt;0,Y46*INT(MAX(AA46+(-1),0)*N46/M46)+2*INT(MAX(AA46+(-1),0)*N46/N46)&gt;=L46),MAX(AA46+(-1),0)*N46,1000000000),IF(AND(MAX(AA46+(0),0)*N46&gt;0,Y46*INT(MAX(AA46+(0),0)*N46/M46)+2*INT(MAX(AA46+(0),0)*N46/N46)&gt;=L46),MAX(AA46+(0),0)*N46,1000000000),IF(AND(MAX(AA46+(1),0)*N46&gt;0,Y46*INT(MAX(AA46+(1),0)*N46/M46)+2*INT(MAX(AA46+(1),0)*N46/N46)&gt;=L46),MAX(AA46+(1),0)*N46,1000000000),IF(AND(MAX(AA46+(2),0)*N46&gt;0,Y46*INT(MAX(AA46+(2),0)*N46/M46)+2*INT(MAX(AA46+(2),0)*N46/N46)&gt;=L46),MAX(AA46+(2),0)*N46,1000000000)))</f>
        <v>4257</v>
      </c>
      <c r="AC46" s="42" t="n">
        <f aca="false">IF(L46=0,0,MIN(T46,X46,AB46))</f>
        <v>4257</v>
      </c>
      <c r="AD46" s="15" t="n">
        <f aca="false">I46*INDEX(lg_bkg_3464,B46)</f>
        <v>3904.70656</v>
      </c>
      <c r="AE46" s="33" t="n">
        <f aca="false">I46*INDEX(lg_bvol_3464,B46)</f>
        <v>16.00632</v>
      </c>
    </row>
    <row r="47" customFormat="false" ht="15" hidden="false" customHeight="false" outlineLevel="0" collapsed="false">
      <c r="A47" s="9" t="n">
        <v>2</v>
      </c>
      <c r="B47" s="9" t="n">
        <v>3</v>
      </c>
      <c r="C47" s="9" t="s">
        <v>16</v>
      </c>
      <c r="D47" s="10" t="n">
        <f aca="false">INDEX(cfg_ct,A47)</f>
        <v>2</v>
      </c>
      <c r="E47" s="10" t="n">
        <f aca="false">INDEX(cfg_n,A47)</f>
        <v>1</v>
      </c>
      <c r="F47" s="15" t="n">
        <f aca="false">INDEX(cfg_u_3463,A47,B47)</f>
        <v>20000</v>
      </c>
      <c r="G47" s="15" t="n">
        <f aca="false">F47/E47</f>
        <v>20000</v>
      </c>
      <c r="H47" s="10" t="n">
        <f aca="false">INDEX(lg_n_3463,B47)</f>
        <v>50</v>
      </c>
      <c r="I47" s="15" t="n">
        <f aca="false">ROUNDUP(G47/H47,0)</f>
        <v>400</v>
      </c>
      <c r="J47" s="10" t="n">
        <f aca="false">INDEX(lg_layers_3463_40GP,B47)</f>
        <v>25</v>
      </c>
      <c r="K47" s="26" t="n">
        <f aca="false">INDEX(in_use_efficiency,1,B47)</f>
        <v>0.9</v>
      </c>
      <c r="L47" s="10" t="n">
        <f aca="false">IF(I47=0,0,ROUNDUP(I47/(K47*J47)-0.000000001,0))</f>
        <v>18</v>
      </c>
      <c r="M47" s="10" t="n">
        <f aca="false">INDEX(lg_a_3463,B47)</f>
        <v>1040</v>
      </c>
      <c r="N47" s="10" t="n">
        <f aca="false">INDEX(lg_b_3463,B47)</f>
        <v>523</v>
      </c>
      <c r="O47" s="10" t="n">
        <f aca="false">INDEX(lg_Wu_40GP,B47)</f>
        <v>2330</v>
      </c>
      <c r="P47" s="10" t="n">
        <f aca="false">INDEX(lg_Lu_40GP,B47)</f>
        <v>11930</v>
      </c>
      <c r="Q47" s="10" t="n">
        <f aca="false">IF(O47-0*M47&gt;=0,INT((O47-0*M47)/N47),-1)</f>
        <v>4</v>
      </c>
      <c r="R47" s="10" t="n">
        <f aca="false">IF(AND(Q47&gt;=0,Q47+0&gt;0),ROUNDUP(L47/(Q47+0*M47/N47),0),0)</f>
        <v>5</v>
      </c>
      <c r="S47" s="10" t="n">
        <f aca="false">IF(AND(Q47&gt;=0,Q47+0&gt;0),ROUNDUP(L47/(Q47*N47/M47+0),0),0)</f>
        <v>9</v>
      </c>
      <c r="T47" s="10" t="n">
        <f aca="false">IF(OR(Q47&lt;0,Q47+0=0),1000000000,MIN(IF(AND(MAX(R47+(-1),0)*M47&gt;0,Q47*INT(MAX(R47+(-1),0)*M47/M47)+0*INT(MAX(R47+(-1),0)*M47/N47)&gt;=L47),MAX(R47+(-1),0)*M47,1000000000),IF(AND(MAX(R47+(0),0)*M47&gt;0,Q47*INT(MAX(R47+(0),0)*M47/M47)+0*INT(MAX(R47+(0),0)*M47/N47)&gt;=L47),MAX(R47+(0),0)*M47,1000000000),IF(AND(MAX(R47+(1),0)*M47&gt;0,Q47*INT(MAX(R47+(1),0)*M47/M47)+0*INT(MAX(R47+(1),0)*M47/N47)&gt;=L47),MAX(R47+(1),0)*M47,1000000000),IF(AND(MAX(R47+(2),0)*M47&gt;0,Q47*INT(MAX(R47+(2),0)*M47/M47)+0*INT(MAX(R47+(2),0)*M47/N47)&gt;=L47),MAX(R47+(2),0)*M47,1000000000),IF(AND(MAX(S47+(-1),0)*N47&gt;0,Q47*INT(MAX(S47+(-1),0)*N47/M47)+0*INT(MAX(S47+(-1),0)*N47/N47)&gt;=L47),MAX(S47+(-1),0)*N47,1000000000),IF(AND(MAX(S47+(0),0)*N47&gt;0,Q47*INT(MAX(S47+(0),0)*N47/M47)+0*INT(MAX(S47+(0),0)*N47/N47)&gt;=L47),MAX(S47+(0),0)*N47,1000000000),IF(AND(MAX(S47+(1),0)*N47&gt;0,Q47*INT(MAX(S47+(1),0)*N47/M47)+0*INT(MAX(S47+(1),0)*N47/N47)&gt;=L47),MAX(S47+(1),0)*N47,1000000000),IF(AND(MAX(S47+(2),0)*N47&gt;0,Q47*INT(MAX(S47+(2),0)*N47/M47)+0*INT(MAX(S47+(2),0)*N47/N47)&gt;=L47),MAX(S47+(2),0)*N47,1000000000)))</f>
        <v>5200</v>
      </c>
      <c r="U47" s="10" t="n">
        <f aca="false">IF(O47-1*M47&gt;=0,INT((O47-1*M47)/N47),-1)</f>
        <v>2</v>
      </c>
      <c r="V47" s="10" t="n">
        <f aca="false">IF(AND(U47&gt;=0,U47+1&gt;0),ROUNDUP(L47/(U47+1*M47/N47),0),0)</f>
        <v>5</v>
      </c>
      <c r="W47" s="10" t="n">
        <f aca="false">IF(AND(U47&gt;=0,U47+1&gt;0),ROUNDUP(L47/(U47*N47/M47+1),0),0)</f>
        <v>9</v>
      </c>
      <c r="X47" s="10" t="n">
        <f aca="false">IF(OR(U47&lt;0,U47+1=0),1000000000,MIN(IF(AND(MAX(V47+(-1),0)*M47&gt;0,U47*INT(MAX(V47+(-1),0)*M47/M47)+1*INT(MAX(V47+(-1),0)*M47/N47)&gt;=L47),MAX(V47+(-1),0)*M47,1000000000),IF(AND(MAX(V47+(0),0)*M47&gt;0,U47*INT(MAX(V47+(0),0)*M47/M47)+1*INT(MAX(V47+(0),0)*M47/N47)&gt;=L47),MAX(V47+(0),0)*M47,1000000000),IF(AND(MAX(V47+(1),0)*M47&gt;0,U47*INT(MAX(V47+(1),0)*M47/M47)+1*INT(MAX(V47+(1),0)*M47/N47)&gt;=L47),MAX(V47+(1),0)*M47,1000000000),IF(AND(MAX(V47+(2),0)*M47&gt;0,U47*INT(MAX(V47+(2),0)*M47/M47)+1*INT(MAX(V47+(2),0)*M47/N47)&gt;=L47),MAX(V47+(2),0)*M47,1000000000),IF(AND(MAX(W47+(-1),0)*N47&gt;0,U47*INT(MAX(W47+(-1),0)*N47/M47)+1*INT(MAX(W47+(-1),0)*N47/N47)&gt;=L47),MAX(W47+(-1),0)*N47,1000000000),IF(AND(MAX(W47+(0),0)*N47&gt;0,U47*INT(MAX(W47+(0),0)*N47/M47)+1*INT(MAX(W47+(0),0)*N47/N47)&gt;=L47),MAX(W47+(0),0)*N47,1000000000),IF(AND(MAX(W47+(1),0)*N47&gt;0,U47*INT(MAX(W47+(1),0)*N47/M47)+1*INT(MAX(W47+(1),0)*N47/N47)&gt;=L47),MAX(W47+(1),0)*N47,1000000000),IF(AND(MAX(W47+(2),0)*N47&gt;0,U47*INT(MAX(W47+(2),0)*N47/M47)+1*INT(MAX(W47+(2),0)*N47/N47)&gt;=L47),MAX(W47+(2),0)*N47,1000000000)))</f>
        <v>5200</v>
      </c>
      <c r="Y47" s="10" t="n">
        <f aca="false">IF(O47-2*M47&gt;=0,INT((O47-2*M47)/N47),-1)</f>
        <v>0</v>
      </c>
      <c r="Z47" s="10" t="n">
        <f aca="false">IF(AND(Y47&gt;=0,Y47+2&gt;0),ROUNDUP(L47/(Y47+2*M47/N47),0),0)</f>
        <v>5</v>
      </c>
      <c r="AA47" s="10" t="n">
        <f aca="false">IF(AND(Y47&gt;=0,Y47+2&gt;0),ROUNDUP(L47/(Y47*N47/M47+2),0),0)</f>
        <v>9</v>
      </c>
      <c r="AB47" s="10" t="n">
        <f aca="false">IF(OR(Y47&lt;0,Y47+2=0),1000000000,MIN(IF(AND(MAX(Z47+(-1),0)*M47&gt;0,Y47*INT(MAX(Z47+(-1),0)*M47/M47)+2*INT(MAX(Z47+(-1),0)*M47/N47)&gt;=L47),MAX(Z47+(-1),0)*M47,1000000000),IF(AND(MAX(Z47+(0),0)*M47&gt;0,Y47*INT(MAX(Z47+(0),0)*M47/M47)+2*INT(MAX(Z47+(0),0)*M47/N47)&gt;=L47),MAX(Z47+(0),0)*M47,1000000000),IF(AND(MAX(Z47+(1),0)*M47&gt;0,Y47*INT(MAX(Z47+(1),0)*M47/M47)+2*INT(MAX(Z47+(1),0)*M47/N47)&gt;=L47),MAX(Z47+(1),0)*M47,1000000000),IF(AND(MAX(Z47+(2),0)*M47&gt;0,Y47*INT(MAX(Z47+(2),0)*M47/M47)+2*INT(MAX(Z47+(2),0)*M47/N47)&gt;=L47),MAX(Z47+(2),0)*M47,1000000000),IF(AND(MAX(AA47+(-1),0)*N47&gt;0,Y47*INT(MAX(AA47+(-1),0)*N47/M47)+2*INT(MAX(AA47+(-1),0)*N47/N47)&gt;=L47),MAX(AA47+(-1),0)*N47,1000000000),IF(AND(MAX(AA47+(0),0)*N47&gt;0,Y47*INT(MAX(AA47+(0),0)*N47/M47)+2*INT(MAX(AA47+(0),0)*N47/N47)&gt;=L47),MAX(AA47+(0),0)*N47,1000000000),IF(AND(MAX(AA47+(1),0)*N47&gt;0,Y47*INT(MAX(AA47+(1),0)*N47/M47)+2*INT(MAX(AA47+(1),0)*N47/N47)&gt;=L47),MAX(AA47+(1),0)*N47,1000000000),IF(AND(MAX(AA47+(2),0)*N47&gt;0,Y47*INT(MAX(AA47+(2),0)*N47/M47)+2*INT(MAX(AA47+(2),0)*N47/N47)&gt;=L47),MAX(AA47+(2),0)*N47,1000000000)))</f>
        <v>4707</v>
      </c>
      <c r="AC47" s="42" t="n">
        <f aca="false">IF(L47=0,0,MIN(T47,X47,AB47))</f>
        <v>4707</v>
      </c>
      <c r="AD47" s="15" t="n">
        <f aca="false">I47*INDEX(lg_bkg_3463,B47)</f>
        <v>4775.10016</v>
      </c>
      <c r="AE47" s="33" t="n">
        <f aca="false">I47*INDEX(lg_bvol_3463,B47)</f>
        <v>19.58112</v>
      </c>
    </row>
    <row r="48" customFormat="false" ht="15" hidden="false" customHeight="false" outlineLevel="0" collapsed="false">
      <c r="A48" s="9" t="n">
        <v>2</v>
      </c>
      <c r="B48" s="9" t="n">
        <v>3</v>
      </c>
      <c r="C48" s="9" t="s">
        <v>17</v>
      </c>
      <c r="D48" s="10" t="n">
        <f aca="false">INDEX(cfg_ct,A48)</f>
        <v>2</v>
      </c>
      <c r="E48" s="10" t="n">
        <f aca="false">INDEX(cfg_n,A48)</f>
        <v>1</v>
      </c>
      <c r="F48" s="15" t="n">
        <f aca="false">INDEX(cfg_u_3460,A48,B48)</f>
        <v>20000</v>
      </c>
      <c r="G48" s="15" t="n">
        <f aca="false">F48/E48</f>
        <v>20000</v>
      </c>
      <c r="H48" s="10" t="n">
        <f aca="false">INDEX(lg_n_3460,B48)</f>
        <v>50</v>
      </c>
      <c r="I48" s="15" t="n">
        <f aca="false">ROUNDUP(G48/H48,0)</f>
        <v>400</v>
      </c>
      <c r="J48" s="10" t="n">
        <f aca="false">INDEX(lg_layers_3460_40GP,B48)</f>
        <v>25</v>
      </c>
      <c r="K48" s="26" t="n">
        <f aca="false">INDEX(in_use_efficiency,1,B48)</f>
        <v>0.9</v>
      </c>
      <c r="L48" s="10" t="n">
        <f aca="false">IF(I48=0,0,ROUNDUP(I48/(K48*J48)-0.000000001,0))</f>
        <v>18</v>
      </c>
      <c r="M48" s="10" t="n">
        <f aca="false">INDEX(lg_a_3460,B48)</f>
        <v>840</v>
      </c>
      <c r="N48" s="10" t="n">
        <f aca="false">INDEX(lg_b_3460,B48)</f>
        <v>423</v>
      </c>
      <c r="O48" s="10" t="n">
        <f aca="false">INDEX(lg_Wu_40GP,B48)</f>
        <v>2330</v>
      </c>
      <c r="P48" s="10" t="n">
        <f aca="false">INDEX(lg_Lu_40GP,B48)</f>
        <v>11930</v>
      </c>
      <c r="Q48" s="10" t="n">
        <f aca="false">IF(O48-0*M48&gt;=0,INT((O48-0*M48)/N48),-1)</f>
        <v>5</v>
      </c>
      <c r="R48" s="10" t="n">
        <f aca="false">IF(AND(Q48&gt;=0,Q48+0&gt;0),ROUNDUP(L48/(Q48+0*M48/N48),0),0)</f>
        <v>4</v>
      </c>
      <c r="S48" s="10" t="n">
        <f aca="false">IF(AND(Q48&gt;=0,Q48+0&gt;0),ROUNDUP(L48/(Q48*N48/M48+0),0),0)</f>
        <v>8</v>
      </c>
      <c r="T48" s="10" t="n">
        <f aca="false">IF(OR(Q48&lt;0,Q48+0=0),1000000000,MIN(IF(AND(MAX(R48+(-1),0)*M48&gt;0,Q48*INT(MAX(R48+(-1),0)*M48/M48)+0*INT(MAX(R48+(-1),0)*M48/N48)&gt;=L48),MAX(R48+(-1),0)*M48,1000000000),IF(AND(MAX(R48+(0),0)*M48&gt;0,Q48*INT(MAX(R48+(0),0)*M48/M48)+0*INT(MAX(R48+(0),0)*M48/N48)&gt;=L48),MAX(R48+(0),0)*M48,1000000000),IF(AND(MAX(R48+(1),0)*M48&gt;0,Q48*INT(MAX(R48+(1),0)*M48/M48)+0*INT(MAX(R48+(1),0)*M48/N48)&gt;=L48),MAX(R48+(1),0)*M48,1000000000),IF(AND(MAX(R48+(2),0)*M48&gt;0,Q48*INT(MAX(R48+(2),0)*M48/M48)+0*INT(MAX(R48+(2),0)*M48/N48)&gt;=L48),MAX(R48+(2),0)*M48,1000000000),IF(AND(MAX(S48+(-1),0)*N48&gt;0,Q48*INT(MAX(S48+(-1),0)*N48/M48)+0*INT(MAX(S48+(-1),0)*N48/N48)&gt;=L48),MAX(S48+(-1),0)*N48,1000000000),IF(AND(MAX(S48+(0),0)*N48&gt;0,Q48*INT(MAX(S48+(0),0)*N48/M48)+0*INT(MAX(S48+(0),0)*N48/N48)&gt;=L48),MAX(S48+(0),0)*N48,1000000000),IF(AND(MAX(S48+(1),0)*N48&gt;0,Q48*INT(MAX(S48+(1),0)*N48/M48)+0*INT(MAX(S48+(1),0)*N48/N48)&gt;=L48),MAX(S48+(1),0)*N48,1000000000),IF(AND(MAX(S48+(2),0)*N48&gt;0,Q48*INT(MAX(S48+(2),0)*N48/M48)+0*INT(MAX(S48+(2),0)*N48/N48)&gt;=L48),MAX(S48+(2),0)*N48,1000000000)))</f>
        <v>3360</v>
      </c>
      <c r="U48" s="10" t="n">
        <f aca="false">IF(O48-1*M48&gt;=0,INT((O48-1*M48)/N48),-1)</f>
        <v>3</v>
      </c>
      <c r="V48" s="10" t="n">
        <f aca="false">IF(AND(U48&gt;=0,U48+1&gt;0),ROUNDUP(L48/(U48+1*M48/N48),0),0)</f>
        <v>4</v>
      </c>
      <c r="W48" s="10" t="n">
        <f aca="false">IF(AND(U48&gt;=0,U48+1&gt;0),ROUNDUP(L48/(U48*N48/M48+1),0),0)</f>
        <v>8</v>
      </c>
      <c r="X48" s="10" t="n">
        <f aca="false">IF(OR(U48&lt;0,U48+1=0),1000000000,MIN(IF(AND(MAX(V48+(-1),0)*M48&gt;0,U48*INT(MAX(V48+(-1),0)*M48/M48)+1*INT(MAX(V48+(-1),0)*M48/N48)&gt;=L48),MAX(V48+(-1),0)*M48,1000000000),IF(AND(MAX(V48+(0),0)*M48&gt;0,U48*INT(MAX(V48+(0),0)*M48/M48)+1*INT(MAX(V48+(0),0)*M48/N48)&gt;=L48),MAX(V48+(0),0)*M48,1000000000),IF(AND(MAX(V48+(1),0)*M48&gt;0,U48*INT(MAX(V48+(1),0)*M48/M48)+1*INT(MAX(V48+(1),0)*M48/N48)&gt;=L48),MAX(V48+(1),0)*M48,1000000000),IF(AND(MAX(V48+(2),0)*M48&gt;0,U48*INT(MAX(V48+(2),0)*M48/M48)+1*INT(MAX(V48+(2),0)*M48/N48)&gt;=L48),MAX(V48+(2),0)*M48,1000000000),IF(AND(MAX(W48+(-1),0)*N48&gt;0,U48*INT(MAX(W48+(-1),0)*N48/M48)+1*INT(MAX(W48+(-1),0)*N48/N48)&gt;=L48),MAX(W48+(-1),0)*N48,1000000000),IF(AND(MAX(W48+(0),0)*N48&gt;0,U48*INT(MAX(W48+(0),0)*N48/M48)+1*INT(MAX(W48+(0),0)*N48/N48)&gt;=L48),MAX(W48+(0),0)*N48,1000000000),IF(AND(MAX(W48+(1),0)*N48&gt;0,U48*INT(MAX(W48+(1),0)*N48/M48)+1*INT(MAX(W48+(1),0)*N48/N48)&gt;=L48),MAX(W48+(1),0)*N48,1000000000),IF(AND(MAX(W48+(2),0)*N48&gt;0,U48*INT(MAX(W48+(2),0)*N48/M48)+1*INT(MAX(W48+(2),0)*N48/N48)&gt;=L48),MAX(W48+(2),0)*N48,1000000000)))</f>
        <v>3360</v>
      </c>
      <c r="Y48" s="10" t="n">
        <f aca="false">IF(O48-2*M48&gt;=0,INT((O48-2*M48)/N48),-1)</f>
        <v>1</v>
      </c>
      <c r="Z48" s="10" t="n">
        <f aca="false">IF(AND(Y48&gt;=0,Y48+2&gt;0),ROUNDUP(L48/(Y48+2*M48/N48),0),0)</f>
        <v>4</v>
      </c>
      <c r="AA48" s="10" t="n">
        <f aca="false">IF(AND(Y48&gt;=0,Y48+2&gt;0),ROUNDUP(L48/(Y48*N48/M48+2),0),0)</f>
        <v>8</v>
      </c>
      <c r="AB48" s="10" t="n">
        <f aca="false">IF(OR(Y48&lt;0,Y48+2=0),1000000000,MIN(IF(AND(MAX(Z48+(-1),0)*M48&gt;0,Y48*INT(MAX(Z48+(-1),0)*M48/M48)+2*INT(MAX(Z48+(-1),0)*M48/N48)&gt;=L48),MAX(Z48+(-1),0)*M48,1000000000),IF(AND(MAX(Z48+(0),0)*M48&gt;0,Y48*INT(MAX(Z48+(0),0)*M48/M48)+2*INT(MAX(Z48+(0),0)*M48/N48)&gt;=L48),MAX(Z48+(0),0)*M48,1000000000),IF(AND(MAX(Z48+(1),0)*M48&gt;0,Y48*INT(MAX(Z48+(1),0)*M48/M48)+2*INT(MAX(Z48+(1),0)*M48/N48)&gt;=L48),MAX(Z48+(1),0)*M48,1000000000),IF(AND(MAX(Z48+(2),0)*M48&gt;0,Y48*INT(MAX(Z48+(2),0)*M48/M48)+2*INT(MAX(Z48+(2),0)*M48/N48)&gt;=L48),MAX(Z48+(2),0)*M48,1000000000),IF(AND(MAX(AA48+(-1),0)*N48&gt;0,Y48*INT(MAX(AA48+(-1),0)*N48/M48)+2*INT(MAX(AA48+(-1),0)*N48/N48)&gt;=L48),MAX(AA48+(-1),0)*N48,1000000000),IF(AND(MAX(AA48+(0),0)*N48&gt;0,Y48*INT(MAX(AA48+(0),0)*N48/M48)+2*INT(MAX(AA48+(0),0)*N48/N48)&gt;=L48),MAX(AA48+(0),0)*N48,1000000000),IF(AND(MAX(AA48+(1),0)*N48&gt;0,Y48*INT(MAX(AA48+(1),0)*N48/M48)+2*INT(MAX(AA48+(1),0)*N48/N48)&gt;=L48),MAX(AA48+(1),0)*N48,1000000000),IF(AND(MAX(AA48+(2),0)*N48&gt;0,Y48*INT(MAX(AA48+(2),0)*N48/M48)+2*INT(MAX(AA48+(2),0)*N48/N48)&gt;=L48),MAX(AA48+(2),0)*N48,1000000000)))</f>
        <v>3360</v>
      </c>
      <c r="AC48" s="42" t="n">
        <f aca="false">IF(L48=0,0,MIN(T48,X48,AB48))</f>
        <v>3360</v>
      </c>
      <c r="AD48" s="15" t="n">
        <f aca="false">I48*INDEX(lg_bkg_3460,B48)</f>
        <v>3122.63296</v>
      </c>
      <c r="AE48" s="33" t="n">
        <f aca="false">I48*INDEX(lg_bvol_3460,B48)</f>
        <v>12.79152</v>
      </c>
    </row>
    <row r="49" customFormat="false" ht="15" hidden="false" customHeight="false" outlineLevel="0" collapsed="false">
      <c r="A49" s="9" t="n">
        <v>3</v>
      </c>
      <c r="B49" s="9" t="n">
        <v>1</v>
      </c>
      <c r="C49" s="9" t="s">
        <v>15</v>
      </c>
      <c r="D49" s="10" t="n">
        <f aca="false">INDEX(cfg_ct,A49)</f>
        <v>1</v>
      </c>
      <c r="E49" s="10" t="n">
        <f aca="false">INDEX(cfg_n,A49)</f>
        <v>2</v>
      </c>
      <c r="F49" s="15" t="n">
        <f aca="false">INDEX(cfg_u_3464,A49,B49)</f>
        <v>20000</v>
      </c>
      <c r="G49" s="15" t="n">
        <f aca="false">F49/E49</f>
        <v>10000</v>
      </c>
      <c r="H49" s="10" t="n">
        <f aca="false">INDEX(lg_n_3464,B49)</f>
        <v>50</v>
      </c>
      <c r="I49" s="15" t="n">
        <f aca="false">ROUNDUP(G49/H49,0)</f>
        <v>200</v>
      </c>
      <c r="J49" s="10" t="n">
        <f aca="false">INDEX(lg_layers_3464_20GP,B49)</f>
        <v>30</v>
      </c>
      <c r="K49" s="26" t="n">
        <f aca="false">INDEX(in_use_efficiency,1,B49)</f>
        <v>0.97</v>
      </c>
      <c r="L49" s="10" t="n">
        <f aca="false">IF(I49=0,0,ROUNDUP(I49/(K49*J49)-0.000000001,0))</f>
        <v>7</v>
      </c>
      <c r="M49" s="10" t="n">
        <f aca="false">INDEX(lg_a_3464,B49)</f>
        <v>940</v>
      </c>
      <c r="N49" s="10" t="n">
        <f aca="false">INDEX(lg_b_3464,B49)</f>
        <v>473</v>
      </c>
      <c r="O49" s="10" t="n">
        <f aca="false">INDEX(lg_Wu_20GP,B49)</f>
        <v>2330</v>
      </c>
      <c r="P49" s="10" t="n">
        <f aca="false">INDEX(lg_Lu_20GP,B49)</f>
        <v>5800</v>
      </c>
      <c r="Q49" s="10" t="n">
        <f aca="false">IF(O49-0*M49&gt;=0,INT((O49-0*M49)/N49),-1)</f>
        <v>4</v>
      </c>
      <c r="R49" s="10" t="n">
        <f aca="false">IF(AND(Q49&gt;=0,Q49+0&gt;0),ROUNDUP(L49/(Q49+0*M49/N49),0),0)</f>
        <v>2</v>
      </c>
      <c r="S49" s="10" t="n">
        <f aca="false">IF(AND(Q49&gt;=0,Q49+0&gt;0),ROUNDUP(L49/(Q49*N49/M49+0),0),0)</f>
        <v>4</v>
      </c>
      <c r="T49" s="10" t="n">
        <f aca="false">IF(OR(Q49&lt;0,Q49+0=0),1000000000,MIN(IF(AND(MAX(R49+(-1),0)*M49&gt;0,Q49*INT(MAX(R49+(-1),0)*M49/M49)+0*INT(MAX(R49+(-1),0)*M49/N49)&gt;=L49),MAX(R49+(-1),0)*M49,1000000000),IF(AND(MAX(R49+(0),0)*M49&gt;0,Q49*INT(MAX(R49+(0),0)*M49/M49)+0*INT(MAX(R49+(0),0)*M49/N49)&gt;=L49),MAX(R49+(0),0)*M49,1000000000),IF(AND(MAX(R49+(1),0)*M49&gt;0,Q49*INT(MAX(R49+(1),0)*M49/M49)+0*INT(MAX(R49+(1),0)*M49/N49)&gt;=L49),MAX(R49+(1),0)*M49,1000000000),IF(AND(MAX(R49+(2),0)*M49&gt;0,Q49*INT(MAX(R49+(2),0)*M49/M49)+0*INT(MAX(R49+(2),0)*M49/N49)&gt;=L49),MAX(R49+(2),0)*M49,1000000000),IF(AND(MAX(S49+(-1),0)*N49&gt;0,Q49*INT(MAX(S49+(-1),0)*N49/M49)+0*INT(MAX(S49+(-1),0)*N49/N49)&gt;=L49),MAX(S49+(-1),0)*N49,1000000000),IF(AND(MAX(S49+(0),0)*N49&gt;0,Q49*INT(MAX(S49+(0),0)*N49/M49)+0*INT(MAX(S49+(0),0)*N49/N49)&gt;=L49),MAX(S49+(0),0)*N49,1000000000),IF(AND(MAX(S49+(1),0)*N49&gt;0,Q49*INT(MAX(S49+(1),0)*N49/M49)+0*INT(MAX(S49+(1),0)*N49/N49)&gt;=L49),MAX(S49+(1),0)*N49,1000000000),IF(AND(MAX(S49+(2),0)*N49&gt;0,Q49*INT(MAX(S49+(2),0)*N49/M49)+0*INT(MAX(S49+(2),0)*N49/N49)&gt;=L49),MAX(S49+(2),0)*N49,1000000000)))</f>
        <v>1880</v>
      </c>
      <c r="U49" s="10" t="n">
        <f aca="false">IF(O49-1*M49&gt;=0,INT((O49-1*M49)/N49),-1)</f>
        <v>2</v>
      </c>
      <c r="V49" s="10" t="n">
        <f aca="false">IF(AND(U49&gt;=0,U49+1&gt;0),ROUNDUP(L49/(U49+1*M49/N49),0),0)</f>
        <v>2</v>
      </c>
      <c r="W49" s="10" t="n">
        <f aca="false">IF(AND(U49&gt;=0,U49+1&gt;0),ROUNDUP(L49/(U49*N49/M49+1),0),0)</f>
        <v>4</v>
      </c>
      <c r="X49" s="10" t="n">
        <f aca="false">IF(OR(U49&lt;0,U49+1=0),1000000000,MIN(IF(AND(MAX(V49+(-1),0)*M49&gt;0,U49*INT(MAX(V49+(-1),0)*M49/M49)+1*INT(MAX(V49+(-1),0)*M49/N49)&gt;=L49),MAX(V49+(-1),0)*M49,1000000000),IF(AND(MAX(V49+(0),0)*M49&gt;0,U49*INT(MAX(V49+(0),0)*M49/M49)+1*INT(MAX(V49+(0),0)*M49/N49)&gt;=L49),MAX(V49+(0),0)*M49,1000000000),IF(AND(MAX(V49+(1),0)*M49&gt;0,U49*INT(MAX(V49+(1),0)*M49/M49)+1*INT(MAX(V49+(1),0)*M49/N49)&gt;=L49),MAX(V49+(1),0)*M49,1000000000),IF(AND(MAX(V49+(2),0)*M49&gt;0,U49*INT(MAX(V49+(2),0)*M49/M49)+1*INT(MAX(V49+(2),0)*M49/N49)&gt;=L49),MAX(V49+(2),0)*M49,1000000000),IF(AND(MAX(W49+(-1),0)*N49&gt;0,U49*INT(MAX(W49+(-1),0)*N49/M49)+1*INT(MAX(W49+(-1),0)*N49/N49)&gt;=L49),MAX(W49+(-1),0)*N49,1000000000),IF(AND(MAX(W49+(0),0)*N49&gt;0,U49*INT(MAX(W49+(0),0)*N49/M49)+1*INT(MAX(W49+(0),0)*N49/N49)&gt;=L49),MAX(W49+(0),0)*N49,1000000000),IF(AND(MAX(W49+(1),0)*N49&gt;0,U49*INT(MAX(W49+(1),0)*N49/M49)+1*INT(MAX(W49+(1),0)*N49/N49)&gt;=L49),MAX(W49+(1),0)*N49,1000000000),IF(AND(MAX(W49+(2),0)*N49&gt;0,U49*INT(MAX(W49+(2),0)*N49/M49)+1*INT(MAX(W49+(2),0)*N49/N49)&gt;=L49),MAX(W49+(2),0)*N49,1000000000)))</f>
        <v>1880</v>
      </c>
      <c r="Y49" s="10" t="n">
        <f aca="false">IF(O49-2*M49&gt;=0,INT((O49-2*M49)/N49),-1)</f>
        <v>0</v>
      </c>
      <c r="Z49" s="10" t="n">
        <f aca="false">IF(AND(Y49&gt;=0,Y49+2&gt;0),ROUNDUP(L49/(Y49+2*M49/N49),0),0)</f>
        <v>2</v>
      </c>
      <c r="AA49" s="10" t="n">
        <f aca="false">IF(AND(Y49&gt;=0,Y49+2&gt;0),ROUNDUP(L49/(Y49*N49/M49+2),0),0)</f>
        <v>4</v>
      </c>
      <c r="AB49" s="10" t="n">
        <f aca="false">IF(OR(Y49&lt;0,Y49+2=0),1000000000,MIN(IF(AND(MAX(Z49+(-1),0)*M49&gt;0,Y49*INT(MAX(Z49+(-1),0)*M49/M49)+2*INT(MAX(Z49+(-1),0)*M49/N49)&gt;=L49),MAX(Z49+(-1),0)*M49,1000000000),IF(AND(MAX(Z49+(0),0)*M49&gt;0,Y49*INT(MAX(Z49+(0),0)*M49/M49)+2*INT(MAX(Z49+(0),0)*M49/N49)&gt;=L49),MAX(Z49+(0),0)*M49,1000000000),IF(AND(MAX(Z49+(1),0)*M49&gt;0,Y49*INT(MAX(Z49+(1),0)*M49/M49)+2*INT(MAX(Z49+(1),0)*M49/N49)&gt;=L49),MAX(Z49+(1),0)*M49,1000000000),IF(AND(MAX(Z49+(2),0)*M49&gt;0,Y49*INT(MAX(Z49+(2),0)*M49/M49)+2*INT(MAX(Z49+(2),0)*M49/N49)&gt;=L49),MAX(Z49+(2),0)*M49,1000000000),IF(AND(MAX(AA49+(-1),0)*N49&gt;0,Y49*INT(MAX(AA49+(-1),0)*N49/M49)+2*INT(MAX(AA49+(-1),0)*N49/N49)&gt;=L49),MAX(AA49+(-1),0)*N49,1000000000),IF(AND(MAX(AA49+(0),0)*N49&gt;0,Y49*INT(MAX(AA49+(0),0)*N49/M49)+2*INT(MAX(AA49+(0),0)*N49/N49)&gt;=L49),MAX(AA49+(0),0)*N49,1000000000),IF(AND(MAX(AA49+(1),0)*N49&gt;0,Y49*INT(MAX(AA49+(1),0)*N49/M49)+2*INT(MAX(AA49+(1),0)*N49/N49)&gt;=L49),MAX(AA49+(1),0)*N49,1000000000),IF(AND(MAX(AA49+(2),0)*N49&gt;0,Y49*INT(MAX(AA49+(2),0)*N49/M49)+2*INT(MAX(AA49+(2),0)*N49/N49)&gt;=L49),MAX(AA49+(2),0)*N49,1000000000)))</f>
        <v>1892</v>
      </c>
      <c r="AC49" s="42" t="n">
        <f aca="false">IF(L49=0,0,MIN(T49,X49,AB49))</f>
        <v>1880</v>
      </c>
      <c r="AD49" s="15" t="n">
        <f aca="false">I49*INDEX(lg_bkg_3464,B49)</f>
        <v>1630.2944</v>
      </c>
      <c r="AE49" s="33" t="n">
        <f aca="false">I49*INDEX(lg_bvol_3464,B49)</f>
        <v>6.6693</v>
      </c>
    </row>
    <row r="50" customFormat="false" ht="15" hidden="false" customHeight="false" outlineLevel="0" collapsed="false">
      <c r="A50" s="9" t="n">
        <v>3</v>
      </c>
      <c r="B50" s="9" t="n">
        <v>1</v>
      </c>
      <c r="C50" s="9" t="s">
        <v>16</v>
      </c>
      <c r="D50" s="10" t="n">
        <f aca="false">INDEX(cfg_ct,A50)</f>
        <v>1</v>
      </c>
      <c r="E50" s="10" t="n">
        <f aca="false">INDEX(cfg_n,A50)</f>
        <v>2</v>
      </c>
      <c r="F50" s="15" t="n">
        <f aca="false">INDEX(cfg_u_3463,A50,B50)</f>
        <v>20000</v>
      </c>
      <c r="G50" s="15" t="n">
        <f aca="false">F50/E50</f>
        <v>10000</v>
      </c>
      <c r="H50" s="10" t="n">
        <f aca="false">INDEX(lg_n_3463,B50)</f>
        <v>50</v>
      </c>
      <c r="I50" s="15" t="n">
        <f aca="false">ROUNDUP(G50/H50,0)</f>
        <v>200</v>
      </c>
      <c r="J50" s="10" t="n">
        <f aca="false">INDEX(lg_layers_3463_20GP,B50)</f>
        <v>30</v>
      </c>
      <c r="K50" s="26" t="n">
        <f aca="false">INDEX(in_use_efficiency,1,B50)</f>
        <v>0.97</v>
      </c>
      <c r="L50" s="10" t="n">
        <f aca="false">IF(I50=0,0,ROUNDUP(I50/(K50*J50)-0.000000001,0))</f>
        <v>7</v>
      </c>
      <c r="M50" s="10" t="n">
        <f aca="false">INDEX(lg_a_3463,B50)</f>
        <v>1040</v>
      </c>
      <c r="N50" s="10" t="n">
        <f aca="false">INDEX(lg_b_3463,B50)</f>
        <v>523</v>
      </c>
      <c r="O50" s="10" t="n">
        <f aca="false">INDEX(lg_Wu_20GP,B50)</f>
        <v>2330</v>
      </c>
      <c r="P50" s="10" t="n">
        <f aca="false">INDEX(lg_Lu_20GP,B50)</f>
        <v>5800</v>
      </c>
      <c r="Q50" s="10" t="n">
        <f aca="false">IF(O50-0*M50&gt;=0,INT((O50-0*M50)/N50),-1)</f>
        <v>4</v>
      </c>
      <c r="R50" s="10" t="n">
        <f aca="false">IF(AND(Q50&gt;=0,Q50+0&gt;0),ROUNDUP(L50/(Q50+0*M50/N50),0),0)</f>
        <v>2</v>
      </c>
      <c r="S50" s="10" t="n">
        <f aca="false">IF(AND(Q50&gt;=0,Q50+0&gt;0),ROUNDUP(L50/(Q50*N50/M50+0),0),0)</f>
        <v>4</v>
      </c>
      <c r="T50" s="10" t="n">
        <f aca="false">IF(OR(Q50&lt;0,Q50+0=0),1000000000,MIN(IF(AND(MAX(R50+(-1),0)*M50&gt;0,Q50*INT(MAX(R50+(-1),0)*M50/M50)+0*INT(MAX(R50+(-1),0)*M50/N50)&gt;=L50),MAX(R50+(-1),0)*M50,1000000000),IF(AND(MAX(R50+(0),0)*M50&gt;0,Q50*INT(MAX(R50+(0),0)*M50/M50)+0*INT(MAX(R50+(0),0)*M50/N50)&gt;=L50),MAX(R50+(0),0)*M50,1000000000),IF(AND(MAX(R50+(1),0)*M50&gt;0,Q50*INT(MAX(R50+(1),0)*M50/M50)+0*INT(MAX(R50+(1),0)*M50/N50)&gt;=L50),MAX(R50+(1),0)*M50,1000000000),IF(AND(MAX(R50+(2),0)*M50&gt;0,Q50*INT(MAX(R50+(2),0)*M50/M50)+0*INT(MAX(R50+(2),0)*M50/N50)&gt;=L50),MAX(R50+(2),0)*M50,1000000000),IF(AND(MAX(S50+(-1),0)*N50&gt;0,Q50*INT(MAX(S50+(-1),0)*N50/M50)+0*INT(MAX(S50+(-1),0)*N50/N50)&gt;=L50),MAX(S50+(-1),0)*N50,1000000000),IF(AND(MAX(S50+(0),0)*N50&gt;0,Q50*INT(MAX(S50+(0),0)*N50/M50)+0*INT(MAX(S50+(0),0)*N50/N50)&gt;=L50),MAX(S50+(0),0)*N50,1000000000),IF(AND(MAX(S50+(1),0)*N50&gt;0,Q50*INT(MAX(S50+(1),0)*N50/M50)+0*INT(MAX(S50+(1),0)*N50/N50)&gt;=L50),MAX(S50+(1),0)*N50,1000000000),IF(AND(MAX(S50+(2),0)*N50&gt;0,Q50*INT(MAX(S50+(2),0)*N50/M50)+0*INT(MAX(S50+(2),0)*N50/N50)&gt;=L50),MAX(S50+(2),0)*N50,1000000000)))</f>
        <v>2080</v>
      </c>
      <c r="U50" s="10" t="n">
        <f aca="false">IF(O50-1*M50&gt;=0,INT((O50-1*M50)/N50),-1)</f>
        <v>2</v>
      </c>
      <c r="V50" s="10" t="n">
        <f aca="false">IF(AND(U50&gt;=0,U50+1&gt;0),ROUNDUP(L50/(U50+1*M50/N50),0),0)</f>
        <v>2</v>
      </c>
      <c r="W50" s="10" t="n">
        <f aca="false">IF(AND(U50&gt;=0,U50+1&gt;0),ROUNDUP(L50/(U50*N50/M50+1),0),0)</f>
        <v>4</v>
      </c>
      <c r="X50" s="10" t="n">
        <f aca="false">IF(OR(U50&lt;0,U50+1=0),1000000000,MIN(IF(AND(MAX(V50+(-1),0)*M50&gt;0,U50*INT(MAX(V50+(-1),0)*M50/M50)+1*INT(MAX(V50+(-1),0)*M50/N50)&gt;=L50),MAX(V50+(-1),0)*M50,1000000000),IF(AND(MAX(V50+(0),0)*M50&gt;0,U50*INT(MAX(V50+(0),0)*M50/M50)+1*INT(MAX(V50+(0),0)*M50/N50)&gt;=L50),MAX(V50+(0),0)*M50,1000000000),IF(AND(MAX(V50+(1),0)*M50&gt;0,U50*INT(MAX(V50+(1),0)*M50/M50)+1*INT(MAX(V50+(1),0)*M50/N50)&gt;=L50),MAX(V50+(1),0)*M50,1000000000),IF(AND(MAX(V50+(2),0)*M50&gt;0,U50*INT(MAX(V50+(2),0)*M50/M50)+1*INT(MAX(V50+(2),0)*M50/N50)&gt;=L50),MAX(V50+(2),0)*M50,1000000000),IF(AND(MAX(W50+(-1),0)*N50&gt;0,U50*INT(MAX(W50+(-1),0)*N50/M50)+1*INT(MAX(W50+(-1),0)*N50/N50)&gt;=L50),MAX(W50+(-1),0)*N50,1000000000),IF(AND(MAX(W50+(0),0)*N50&gt;0,U50*INT(MAX(W50+(0),0)*N50/M50)+1*INT(MAX(W50+(0),0)*N50/N50)&gt;=L50),MAX(W50+(0),0)*N50,1000000000),IF(AND(MAX(W50+(1),0)*N50&gt;0,U50*INT(MAX(W50+(1),0)*N50/M50)+1*INT(MAX(W50+(1),0)*N50/N50)&gt;=L50),MAX(W50+(1),0)*N50,1000000000),IF(AND(MAX(W50+(2),0)*N50&gt;0,U50*INT(MAX(W50+(2),0)*N50/M50)+1*INT(MAX(W50+(2),0)*N50/N50)&gt;=L50),MAX(W50+(2),0)*N50,1000000000)))</f>
        <v>2080</v>
      </c>
      <c r="Y50" s="10" t="n">
        <f aca="false">IF(O50-2*M50&gt;=0,INT((O50-2*M50)/N50),-1)</f>
        <v>0</v>
      </c>
      <c r="Z50" s="10" t="n">
        <f aca="false">IF(AND(Y50&gt;=0,Y50+2&gt;0),ROUNDUP(L50/(Y50+2*M50/N50),0),0)</f>
        <v>2</v>
      </c>
      <c r="AA50" s="10" t="n">
        <f aca="false">IF(AND(Y50&gt;=0,Y50+2&gt;0),ROUNDUP(L50/(Y50*N50/M50+2),0),0)</f>
        <v>4</v>
      </c>
      <c r="AB50" s="10" t="n">
        <f aca="false">IF(OR(Y50&lt;0,Y50+2=0),1000000000,MIN(IF(AND(MAX(Z50+(-1),0)*M50&gt;0,Y50*INT(MAX(Z50+(-1),0)*M50/M50)+2*INT(MAX(Z50+(-1),0)*M50/N50)&gt;=L50),MAX(Z50+(-1),0)*M50,1000000000),IF(AND(MAX(Z50+(0),0)*M50&gt;0,Y50*INT(MAX(Z50+(0),0)*M50/M50)+2*INT(MAX(Z50+(0),0)*M50/N50)&gt;=L50),MAX(Z50+(0),0)*M50,1000000000),IF(AND(MAX(Z50+(1),0)*M50&gt;0,Y50*INT(MAX(Z50+(1),0)*M50/M50)+2*INT(MAX(Z50+(1),0)*M50/N50)&gt;=L50),MAX(Z50+(1),0)*M50,1000000000),IF(AND(MAX(Z50+(2),0)*M50&gt;0,Y50*INT(MAX(Z50+(2),0)*M50/M50)+2*INT(MAX(Z50+(2),0)*M50/N50)&gt;=L50),MAX(Z50+(2),0)*M50,1000000000),IF(AND(MAX(AA50+(-1),0)*N50&gt;0,Y50*INT(MAX(AA50+(-1),0)*N50/M50)+2*INT(MAX(AA50+(-1),0)*N50/N50)&gt;=L50),MAX(AA50+(-1),0)*N50,1000000000),IF(AND(MAX(AA50+(0),0)*N50&gt;0,Y50*INT(MAX(AA50+(0),0)*N50/M50)+2*INT(MAX(AA50+(0),0)*N50/N50)&gt;=L50),MAX(AA50+(0),0)*N50,1000000000),IF(AND(MAX(AA50+(1),0)*N50&gt;0,Y50*INT(MAX(AA50+(1),0)*N50/M50)+2*INT(MAX(AA50+(1),0)*N50/N50)&gt;=L50),MAX(AA50+(1),0)*N50,1000000000),IF(AND(MAX(AA50+(2),0)*N50&gt;0,Y50*INT(MAX(AA50+(2),0)*N50/M50)+2*INT(MAX(AA50+(2),0)*N50/N50)&gt;=L50),MAX(AA50+(2),0)*N50,1000000000)))</f>
        <v>2092</v>
      </c>
      <c r="AC50" s="42" t="n">
        <f aca="false">IF(L50=0,0,MIN(T50,X50,AB50))</f>
        <v>2080</v>
      </c>
      <c r="AD50" s="15" t="n">
        <f aca="false">I50*INDEX(lg_bkg_3463,B50)</f>
        <v>1992.9584</v>
      </c>
      <c r="AE50" s="33" t="n">
        <f aca="false">I50*INDEX(lg_bvol_3463,B50)</f>
        <v>8.1588</v>
      </c>
    </row>
    <row r="51" customFormat="false" ht="15" hidden="false" customHeight="false" outlineLevel="0" collapsed="false">
      <c r="A51" s="9" t="n">
        <v>3</v>
      </c>
      <c r="B51" s="9" t="n">
        <v>1</v>
      </c>
      <c r="C51" s="9" t="s">
        <v>17</v>
      </c>
      <c r="D51" s="10" t="n">
        <f aca="false">INDEX(cfg_ct,A51)</f>
        <v>1</v>
      </c>
      <c r="E51" s="10" t="n">
        <f aca="false">INDEX(cfg_n,A51)</f>
        <v>2</v>
      </c>
      <c r="F51" s="15" t="n">
        <f aca="false">INDEX(cfg_u_3460,A51,B51)</f>
        <v>20000</v>
      </c>
      <c r="G51" s="15" t="n">
        <f aca="false">F51/E51</f>
        <v>10000</v>
      </c>
      <c r="H51" s="10" t="n">
        <f aca="false">INDEX(lg_n_3460,B51)</f>
        <v>50</v>
      </c>
      <c r="I51" s="15" t="n">
        <f aca="false">ROUNDUP(G51/H51,0)</f>
        <v>200</v>
      </c>
      <c r="J51" s="10" t="n">
        <f aca="false">INDEX(lg_layers_3460_20GP,B51)</f>
        <v>30</v>
      </c>
      <c r="K51" s="26" t="n">
        <f aca="false">INDEX(in_use_efficiency,1,B51)</f>
        <v>0.97</v>
      </c>
      <c r="L51" s="10" t="n">
        <f aca="false">IF(I51=0,0,ROUNDUP(I51/(K51*J51)-0.000000001,0))</f>
        <v>7</v>
      </c>
      <c r="M51" s="10" t="n">
        <f aca="false">INDEX(lg_a_3460,B51)</f>
        <v>840</v>
      </c>
      <c r="N51" s="10" t="n">
        <f aca="false">INDEX(lg_b_3460,B51)</f>
        <v>423</v>
      </c>
      <c r="O51" s="10" t="n">
        <f aca="false">INDEX(lg_Wu_20GP,B51)</f>
        <v>2330</v>
      </c>
      <c r="P51" s="10" t="n">
        <f aca="false">INDEX(lg_Lu_20GP,B51)</f>
        <v>5800</v>
      </c>
      <c r="Q51" s="10" t="n">
        <f aca="false">IF(O51-0*M51&gt;=0,INT((O51-0*M51)/N51),-1)</f>
        <v>5</v>
      </c>
      <c r="R51" s="10" t="n">
        <f aca="false">IF(AND(Q51&gt;=0,Q51+0&gt;0),ROUNDUP(L51/(Q51+0*M51/N51),0),0)</f>
        <v>2</v>
      </c>
      <c r="S51" s="10" t="n">
        <f aca="false">IF(AND(Q51&gt;=0,Q51+0&gt;0),ROUNDUP(L51/(Q51*N51/M51+0),0),0)</f>
        <v>3</v>
      </c>
      <c r="T51" s="10" t="n">
        <f aca="false">IF(OR(Q51&lt;0,Q51+0=0),1000000000,MIN(IF(AND(MAX(R51+(-1),0)*M51&gt;0,Q51*INT(MAX(R51+(-1),0)*M51/M51)+0*INT(MAX(R51+(-1),0)*M51/N51)&gt;=L51),MAX(R51+(-1),0)*M51,1000000000),IF(AND(MAX(R51+(0),0)*M51&gt;0,Q51*INT(MAX(R51+(0),0)*M51/M51)+0*INT(MAX(R51+(0),0)*M51/N51)&gt;=L51),MAX(R51+(0),0)*M51,1000000000),IF(AND(MAX(R51+(1),0)*M51&gt;0,Q51*INT(MAX(R51+(1),0)*M51/M51)+0*INT(MAX(R51+(1),0)*M51/N51)&gt;=L51),MAX(R51+(1),0)*M51,1000000000),IF(AND(MAX(R51+(2),0)*M51&gt;0,Q51*INT(MAX(R51+(2),0)*M51/M51)+0*INT(MAX(R51+(2),0)*M51/N51)&gt;=L51),MAX(R51+(2),0)*M51,1000000000),IF(AND(MAX(S51+(-1),0)*N51&gt;0,Q51*INT(MAX(S51+(-1),0)*N51/M51)+0*INT(MAX(S51+(-1),0)*N51/N51)&gt;=L51),MAX(S51+(-1),0)*N51,1000000000),IF(AND(MAX(S51+(0),0)*N51&gt;0,Q51*INT(MAX(S51+(0),0)*N51/M51)+0*INT(MAX(S51+(0),0)*N51/N51)&gt;=L51),MAX(S51+(0),0)*N51,1000000000),IF(AND(MAX(S51+(1),0)*N51&gt;0,Q51*INT(MAX(S51+(1),0)*N51/M51)+0*INT(MAX(S51+(1),0)*N51/N51)&gt;=L51),MAX(S51+(1),0)*N51,1000000000),IF(AND(MAX(S51+(2),0)*N51&gt;0,Q51*INT(MAX(S51+(2),0)*N51/M51)+0*INT(MAX(S51+(2),0)*N51/N51)&gt;=L51),MAX(S51+(2),0)*N51,1000000000)))</f>
        <v>1680</v>
      </c>
      <c r="U51" s="10" t="n">
        <f aca="false">IF(O51-1*M51&gt;=0,INT((O51-1*M51)/N51),-1)</f>
        <v>3</v>
      </c>
      <c r="V51" s="10" t="n">
        <f aca="false">IF(AND(U51&gt;=0,U51+1&gt;0),ROUNDUP(L51/(U51+1*M51/N51),0),0)</f>
        <v>2</v>
      </c>
      <c r="W51" s="10" t="n">
        <f aca="false">IF(AND(U51&gt;=0,U51+1&gt;0),ROUNDUP(L51/(U51*N51/M51+1),0),0)</f>
        <v>3</v>
      </c>
      <c r="X51" s="10" t="n">
        <f aca="false">IF(OR(U51&lt;0,U51+1=0),1000000000,MIN(IF(AND(MAX(V51+(-1),0)*M51&gt;0,U51*INT(MAX(V51+(-1),0)*M51/M51)+1*INT(MAX(V51+(-1),0)*M51/N51)&gt;=L51),MAX(V51+(-1),0)*M51,1000000000),IF(AND(MAX(V51+(0),0)*M51&gt;0,U51*INT(MAX(V51+(0),0)*M51/M51)+1*INT(MAX(V51+(0),0)*M51/N51)&gt;=L51),MAX(V51+(0),0)*M51,1000000000),IF(AND(MAX(V51+(1),0)*M51&gt;0,U51*INT(MAX(V51+(1),0)*M51/M51)+1*INT(MAX(V51+(1),0)*M51/N51)&gt;=L51),MAX(V51+(1),0)*M51,1000000000),IF(AND(MAX(V51+(2),0)*M51&gt;0,U51*INT(MAX(V51+(2),0)*M51/M51)+1*INT(MAX(V51+(2),0)*M51/N51)&gt;=L51),MAX(V51+(2),0)*M51,1000000000),IF(AND(MAX(W51+(-1),0)*N51&gt;0,U51*INT(MAX(W51+(-1),0)*N51/M51)+1*INT(MAX(W51+(-1),0)*N51/N51)&gt;=L51),MAX(W51+(-1),0)*N51,1000000000),IF(AND(MAX(W51+(0),0)*N51&gt;0,U51*INT(MAX(W51+(0),0)*N51/M51)+1*INT(MAX(W51+(0),0)*N51/N51)&gt;=L51),MAX(W51+(0),0)*N51,1000000000),IF(AND(MAX(W51+(1),0)*N51&gt;0,U51*INT(MAX(W51+(1),0)*N51/M51)+1*INT(MAX(W51+(1),0)*N51/N51)&gt;=L51),MAX(W51+(1),0)*N51,1000000000),IF(AND(MAX(W51+(2),0)*N51&gt;0,U51*INT(MAX(W51+(2),0)*N51/M51)+1*INT(MAX(W51+(2),0)*N51/N51)&gt;=L51),MAX(W51+(2),0)*N51,1000000000)))</f>
        <v>1680</v>
      </c>
      <c r="Y51" s="10" t="n">
        <f aca="false">IF(O51-2*M51&gt;=0,INT((O51-2*M51)/N51),-1)</f>
        <v>1</v>
      </c>
      <c r="Z51" s="10" t="n">
        <f aca="false">IF(AND(Y51&gt;=0,Y51+2&gt;0),ROUNDUP(L51/(Y51+2*M51/N51),0),0)</f>
        <v>2</v>
      </c>
      <c r="AA51" s="10" t="n">
        <f aca="false">IF(AND(Y51&gt;=0,Y51+2&gt;0),ROUNDUP(L51/(Y51*N51/M51+2),0),0)</f>
        <v>3</v>
      </c>
      <c r="AB51" s="10" t="n">
        <f aca="false">IF(OR(Y51&lt;0,Y51+2=0),1000000000,MIN(IF(AND(MAX(Z51+(-1),0)*M51&gt;0,Y51*INT(MAX(Z51+(-1),0)*M51/M51)+2*INT(MAX(Z51+(-1),0)*M51/N51)&gt;=L51),MAX(Z51+(-1),0)*M51,1000000000),IF(AND(MAX(Z51+(0),0)*M51&gt;0,Y51*INT(MAX(Z51+(0),0)*M51/M51)+2*INT(MAX(Z51+(0),0)*M51/N51)&gt;=L51),MAX(Z51+(0),0)*M51,1000000000),IF(AND(MAX(Z51+(1),0)*M51&gt;0,Y51*INT(MAX(Z51+(1),0)*M51/M51)+2*INT(MAX(Z51+(1),0)*M51/N51)&gt;=L51),MAX(Z51+(1),0)*M51,1000000000),IF(AND(MAX(Z51+(2),0)*M51&gt;0,Y51*INT(MAX(Z51+(2),0)*M51/M51)+2*INT(MAX(Z51+(2),0)*M51/N51)&gt;=L51),MAX(Z51+(2),0)*M51,1000000000),IF(AND(MAX(AA51+(-1),0)*N51&gt;0,Y51*INT(MAX(AA51+(-1),0)*N51/M51)+2*INT(MAX(AA51+(-1),0)*N51/N51)&gt;=L51),MAX(AA51+(-1),0)*N51,1000000000),IF(AND(MAX(AA51+(0),0)*N51&gt;0,Y51*INT(MAX(AA51+(0),0)*N51/M51)+2*INT(MAX(AA51+(0),0)*N51/N51)&gt;=L51),MAX(AA51+(0),0)*N51,1000000000),IF(AND(MAX(AA51+(1),0)*N51&gt;0,Y51*INT(MAX(AA51+(1),0)*N51/M51)+2*INT(MAX(AA51+(1),0)*N51/N51)&gt;=L51),MAX(AA51+(1),0)*N51,1000000000),IF(AND(MAX(AA51+(2),0)*N51&gt;0,Y51*INT(MAX(AA51+(2),0)*N51/M51)+2*INT(MAX(AA51+(2),0)*N51/N51)&gt;=L51),MAX(AA51+(2),0)*N51,1000000000)))</f>
        <v>1269</v>
      </c>
      <c r="AC51" s="42" t="n">
        <f aca="false">IF(L51=0,0,MIN(T51,X51,AB51))</f>
        <v>1269</v>
      </c>
      <c r="AD51" s="15" t="n">
        <f aca="false">I51*INDEX(lg_bkg_3460,B51)</f>
        <v>1304.4304</v>
      </c>
      <c r="AE51" s="33" t="n">
        <f aca="false">I51*INDEX(lg_bvol_3460,B51)</f>
        <v>5.3298</v>
      </c>
    </row>
    <row r="52" customFormat="false" ht="15" hidden="false" customHeight="false" outlineLevel="0" collapsed="false">
      <c r="A52" s="9" t="n">
        <v>3</v>
      </c>
      <c r="B52" s="9" t="n">
        <v>2</v>
      </c>
      <c r="C52" s="9" t="s">
        <v>15</v>
      </c>
      <c r="D52" s="10" t="n">
        <f aca="false">INDEX(cfg_ct,A52)</f>
        <v>1</v>
      </c>
      <c r="E52" s="10" t="n">
        <f aca="false">INDEX(cfg_n,A52)</f>
        <v>2</v>
      </c>
      <c r="F52" s="15" t="n">
        <f aca="false">INDEX(cfg_u_3464,A52,B52)</f>
        <v>20000</v>
      </c>
      <c r="G52" s="15" t="n">
        <f aca="false">F52/E52</f>
        <v>10000</v>
      </c>
      <c r="H52" s="10" t="n">
        <f aca="false">INDEX(lg_n_3464,B52)</f>
        <v>50</v>
      </c>
      <c r="I52" s="15" t="n">
        <f aca="false">ROUNDUP(G52/H52,0)</f>
        <v>200</v>
      </c>
      <c r="J52" s="10" t="n">
        <f aca="false">INDEX(lg_layers_3464_20GP,B52)</f>
        <v>28</v>
      </c>
      <c r="K52" s="26" t="n">
        <f aca="false">INDEX(in_use_efficiency,1,B52)</f>
        <v>0.95</v>
      </c>
      <c r="L52" s="10" t="n">
        <f aca="false">IF(I52=0,0,ROUNDUP(I52/(K52*J52)-0.000000001,0))</f>
        <v>8</v>
      </c>
      <c r="M52" s="10" t="n">
        <f aca="false">INDEX(lg_a_3464,B52)</f>
        <v>940</v>
      </c>
      <c r="N52" s="10" t="n">
        <f aca="false">INDEX(lg_b_3464,B52)</f>
        <v>473</v>
      </c>
      <c r="O52" s="10" t="n">
        <f aca="false">INDEX(lg_Wu_20GP,B52)</f>
        <v>2330</v>
      </c>
      <c r="P52" s="10" t="n">
        <f aca="false">INDEX(lg_Lu_20GP,B52)</f>
        <v>5800</v>
      </c>
      <c r="Q52" s="10" t="n">
        <f aca="false">IF(O52-0*M52&gt;=0,INT((O52-0*M52)/N52),-1)</f>
        <v>4</v>
      </c>
      <c r="R52" s="10" t="n">
        <f aca="false">IF(AND(Q52&gt;=0,Q52+0&gt;0),ROUNDUP(L52/(Q52+0*M52/N52),0),0)</f>
        <v>2</v>
      </c>
      <c r="S52" s="10" t="n">
        <f aca="false">IF(AND(Q52&gt;=0,Q52+0&gt;0),ROUNDUP(L52/(Q52*N52/M52+0),0),0)</f>
        <v>4</v>
      </c>
      <c r="T52" s="10" t="n">
        <f aca="false">IF(OR(Q52&lt;0,Q52+0=0),1000000000,MIN(IF(AND(MAX(R52+(-1),0)*M52&gt;0,Q52*INT(MAX(R52+(-1),0)*M52/M52)+0*INT(MAX(R52+(-1),0)*M52/N52)&gt;=L52),MAX(R52+(-1),0)*M52,1000000000),IF(AND(MAX(R52+(0),0)*M52&gt;0,Q52*INT(MAX(R52+(0),0)*M52/M52)+0*INT(MAX(R52+(0),0)*M52/N52)&gt;=L52),MAX(R52+(0),0)*M52,1000000000),IF(AND(MAX(R52+(1),0)*M52&gt;0,Q52*INT(MAX(R52+(1),0)*M52/M52)+0*INT(MAX(R52+(1),0)*M52/N52)&gt;=L52),MAX(R52+(1),0)*M52,1000000000),IF(AND(MAX(R52+(2),0)*M52&gt;0,Q52*INT(MAX(R52+(2),0)*M52/M52)+0*INT(MAX(R52+(2),0)*M52/N52)&gt;=L52),MAX(R52+(2),0)*M52,1000000000),IF(AND(MAX(S52+(-1),0)*N52&gt;0,Q52*INT(MAX(S52+(-1),0)*N52/M52)+0*INT(MAX(S52+(-1),0)*N52/N52)&gt;=L52),MAX(S52+(-1),0)*N52,1000000000),IF(AND(MAX(S52+(0),0)*N52&gt;0,Q52*INT(MAX(S52+(0),0)*N52/M52)+0*INT(MAX(S52+(0),0)*N52/N52)&gt;=L52),MAX(S52+(0),0)*N52,1000000000),IF(AND(MAX(S52+(1),0)*N52&gt;0,Q52*INT(MAX(S52+(1),0)*N52/M52)+0*INT(MAX(S52+(1),0)*N52/N52)&gt;=L52),MAX(S52+(1),0)*N52,1000000000),IF(AND(MAX(S52+(2),0)*N52&gt;0,Q52*INT(MAX(S52+(2),0)*N52/M52)+0*INT(MAX(S52+(2),0)*N52/N52)&gt;=L52),MAX(S52+(2),0)*N52,1000000000)))</f>
        <v>1880</v>
      </c>
      <c r="U52" s="10" t="n">
        <f aca="false">IF(O52-1*M52&gt;=0,INT((O52-1*M52)/N52),-1)</f>
        <v>2</v>
      </c>
      <c r="V52" s="10" t="n">
        <f aca="false">IF(AND(U52&gt;=0,U52+1&gt;0),ROUNDUP(L52/(U52+1*M52/N52),0),0)</f>
        <v>3</v>
      </c>
      <c r="W52" s="10" t="n">
        <f aca="false">IF(AND(U52&gt;=0,U52+1&gt;0),ROUNDUP(L52/(U52*N52/M52+1),0),0)</f>
        <v>4</v>
      </c>
      <c r="X52" s="10" t="n">
        <f aca="false">IF(OR(U52&lt;0,U52+1=0),1000000000,MIN(IF(AND(MAX(V52+(-1),0)*M52&gt;0,U52*INT(MAX(V52+(-1),0)*M52/M52)+1*INT(MAX(V52+(-1),0)*M52/N52)&gt;=L52),MAX(V52+(-1),0)*M52,1000000000),IF(AND(MAX(V52+(0),0)*M52&gt;0,U52*INT(MAX(V52+(0),0)*M52/M52)+1*INT(MAX(V52+(0),0)*M52/N52)&gt;=L52),MAX(V52+(0),0)*M52,1000000000),IF(AND(MAX(V52+(1),0)*M52&gt;0,U52*INT(MAX(V52+(1),0)*M52/M52)+1*INT(MAX(V52+(1),0)*M52/N52)&gt;=L52),MAX(V52+(1),0)*M52,1000000000),IF(AND(MAX(V52+(2),0)*M52&gt;0,U52*INT(MAX(V52+(2),0)*M52/M52)+1*INT(MAX(V52+(2),0)*M52/N52)&gt;=L52),MAX(V52+(2),0)*M52,1000000000),IF(AND(MAX(W52+(-1),0)*N52&gt;0,U52*INT(MAX(W52+(-1),0)*N52/M52)+1*INT(MAX(W52+(-1),0)*N52/N52)&gt;=L52),MAX(W52+(-1),0)*N52,1000000000),IF(AND(MAX(W52+(0),0)*N52&gt;0,U52*INT(MAX(W52+(0),0)*N52/M52)+1*INT(MAX(W52+(0),0)*N52/N52)&gt;=L52),MAX(W52+(0),0)*N52,1000000000),IF(AND(MAX(W52+(1),0)*N52&gt;0,U52*INT(MAX(W52+(1),0)*N52/M52)+1*INT(MAX(W52+(1),0)*N52/N52)&gt;=L52),MAX(W52+(1),0)*N52,1000000000),IF(AND(MAX(W52+(2),0)*N52&gt;0,U52*INT(MAX(W52+(2),0)*N52/M52)+1*INT(MAX(W52+(2),0)*N52/N52)&gt;=L52),MAX(W52+(2),0)*N52,1000000000)))</f>
        <v>1892</v>
      </c>
      <c r="Y52" s="10" t="n">
        <f aca="false">IF(O52-2*M52&gt;=0,INT((O52-2*M52)/N52),-1)</f>
        <v>0</v>
      </c>
      <c r="Z52" s="10" t="n">
        <f aca="false">IF(AND(Y52&gt;=0,Y52+2&gt;0),ROUNDUP(L52/(Y52+2*M52/N52),0),0)</f>
        <v>3</v>
      </c>
      <c r="AA52" s="10" t="n">
        <f aca="false">IF(AND(Y52&gt;=0,Y52+2&gt;0),ROUNDUP(L52/(Y52*N52/M52+2),0),0)</f>
        <v>4</v>
      </c>
      <c r="AB52" s="10" t="n">
        <f aca="false">IF(OR(Y52&lt;0,Y52+2=0),1000000000,MIN(IF(AND(MAX(Z52+(-1),0)*M52&gt;0,Y52*INT(MAX(Z52+(-1),0)*M52/M52)+2*INT(MAX(Z52+(-1),0)*M52/N52)&gt;=L52),MAX(Z52+(-1),0)*M52,1000000000),IF(AND(MAX(Z52+(0),0)*M52&gt;0,Y52*INT(MAX(Z52+(0),0)*M52/M52)+2*INT(MAX(Z52+(0),0)*M52/N52)&gt;=L52),MAX(Z52+(0),0)*M52,1000000000),IF(AND(MAX(Z52+(1),0)*M52&gt;0,Y52*INT(MAX(Z52+(1),0)*M52/M52)+2*INT(MAX(Z52+(1),0)*M52/N52)&gt;=L52),MAX(Z52+(1),0)*M52,1000000000),IF(AND(MAX(Z52+(2),0)*M52&gt;0,Y52*INT(MAX(Z52+(2),0)*M52/M52)+2*INT(MAX(Z52+(2),0)*M52/N52)&gt;=L52),MAX(Z52+(2),0)*M52,1000000000),IF(AND(MAX(AA52+(-1),0)*N52&gt;0,Y52*INT(MAX(AA52+(-1),0)*N52/M52)+2*INT(MAX(AA52+(-1),0)*N52/N52)&gt;=L52),MAX(AA52+(-1),0)*N52,1000000000),IF(AND(MAX(AA52+(0),0)*N52&gt;0,Y52*INT(MAX(AA52+(0),0)*N52/M52)+2*INT(MAX(AA52+(0),0)*N52/N52)&gt;=L52),MAX(AA52+(0),0)*N52,1000000000),IF(AND(MAX(AA52+(1),0)*N52&gt;0,Y52*INT(MAX(AA52+(1),0)*N52/M52)+2*INT(MAX(AA52+(1),0)*N52/N52)&gt;=L52),MAX(AA52+(1),0)*N52,1000000000),IF(AND(MAX(AA52+(2),0)*N52&gt;0,Y52*INT(MAX(AA52+(2),0)*N52/M52)+2*INT(MAX(AA52+(2),0)*N52/N52)&gt;=L52),MAX(AA52+(2),0)*N52,1000000000)))</f>
        <v>1892</v>
      </c>
      <c r="AC52" s="42" t="n">
        <f aca="false">IF(L52=0,0,MIN(T52,X52,AB52))</f>
        <v>1880</v>
      </c>
      <c r="AD52" s="15" t="n">
        <f aca="false">I52*INDEX(lg_bkg_3464,B52)</f>
        <v>1710.80912</v>
      </c>
      <c r="AE52" s="33" t="n">
        <f aca="false">I52*INDEX(lg_bvol_3464,B52)</f>
        <v>7.11392</v>
      </c>
    </row>
    <row r="53" customFormat="false" ht="15" hidden="false" customHeight="false" outlineLevel="0" collapsed="false">
      <c r="A53" s="9" t="n">
        <v>3</v>
      </c>
      <c r="B53" s="9" t="n">
        <v>2</v>
      </c>
      <c r="C53" s="9" t="s">
        <v>16</v>
      </c>
      <c r="D53" s="10" t="n">
        <f aca="false">INDEX(cfg_ct,A53)</f>
        <v>1</v>
      </c>
      <c r="E53" s="10" t="n">
        <f aca="false">INDEX(cfg_n,A53)</f>
        <v>2</v>
      </c>
      <c r="F53" s="15" t="n">
        <f aca="false">INDEX(cfg_u_3463,A53,B53)</f>
        <v>20000</v>
      </c>
      <c r="G53" s="15" t="n">
        <f aca="false">F53/E53</f>
        <v>10000</v>
      </c>
      <c r="H53" s="10" t="n">
        <f aca="false">INDEX(lg_n_3463,B53)</f>
        <v>50</v>
      </c>
      <c r="I53" s="15" t="n">
        <f aca="false">ROUNDUP(G53/H53,0)</f>
        <v>200</v>
      </c>
      <c r="J53" s="10" t="n">
        <f aca="false">INDEX(lg_layers_3463_20GP,B53)</f>
        <v>28</v>
      </c>
      <c r="K53" s="26" t="n">
        <f aca="false">INDEX(in_use_efficiency,1,B53)</f>
        <v>0.95</v>
      </c>
      <c r="L53" s="10" t="n">
        <f aca="false">IF(I53=0,0,ROUNDUP(I53/(K53*J53)-0.000000001,0))</f>
        <v>8</v>
      </c>
      <c r="M53" s="10" t="n">
        <f aca="false">INDEX(lg_a_3463,B53)</f>
        <v>1040</v>
      </c>
      <c r="N53" s="10" t="n">
        <f aca="false">INDEX(lg_b_3463,B53)</f>
        <v>523</v>
      </c>
      <c r="O53" s="10" t="n">
        <f aca="false">INDEX(lg_Wu_20GP,B53)</f>
        <v>2330</v>
      </c>
      <c r="P53" s="10" t="n">
        <f aca="false">INDEX(lg_Lu_20GP,B53)</f>
        <v>5800</v>
      </c>
      <c r="Q53" s="10" t="n">
        <f aca="false">IF(O53-0*M53&gt;=0,INT((O53-0*M53)/N53),-1)</f>
        <v>4</v>
      </c>
      <c r="R53" s="10" t="n">
        <f aca="false">IF(AND(Q53&gt;=0,Q53+0&gt;0),ROUNDUP(L53/(Q53+0*M53/N53),0),0)</f>
        <v>2</v>
      </c>
      <c r="S53" s="10" t="n">
        <f aca="false">IF(AND(Q53&gt;=0,Q53+0&gt;0),ROUNDUP(L53/(Q53*N53/M53+0),0),0)</f>
        <v>4</v>
      </c>
      <c r="T53" s="10" t="n">
        <f aca="false">IF(OR(Q53&lt;0,Q53+0=0),1000000000,MIN(IF(AND(MAX(R53+(-1),0)*M53&gt;0,Q53*INT(MAX(R53+(-1),0)*M53/M53)+0*INT(MAX(R53+(-1),0)*M53/N53)&gt;=L53),MAX(R53+(-1),0)*M53,1000000000),IF(AND(MAX(R53+(0),0)*M53&gt;0,Q53*INT(MAX(R53+(0),0)*M53/M53)+0*INT(MAX(R53+(0),0)*M53/N53)&gt;=L53),MAX(R53+(0),0)*M53,1000000000),IF(AND(MAX(R53+(1),0)*M53&gt;0,Q53*INT(MAX(R53+(1),0)*M53/M53)+0*INT(MAX(R53+(1),0)*M53/N53)&gt;=L53),MAX(R53+(1),0)*M53,1000000000),IF(AND(MAX(R53+(2),0)*M53&gt;0,Q53*INT(MAX(R53+(2),0)*M53/M53)+0*INT(MAX(R53+(2),0)*M53/N53)&gt;=L53),MAX(R53+(2),0)*M53,1000000000),IF(AND(MAX(S53+(-1),0)*N53&gt;0,Q53*INT(MAX(S53+(-1),0)*N53/M53)+0*INT(MAX(S53+(-1),0)*N53/N53)&gt;=L53),MAX(S53+(-1),0)*N53,1000000000),IF(AND(MAX(S53+(0),0)*N53&gt;0,Q53*INT(MAX(S53+(0),0)*N53/M53)+0*INT(MAX(S53+(0),0)*N53/N53)&gt;=L53),MAX(S53+(0),0)*N53,1000000000),IF(AND(MAX(S53+(1),0)*N53&gt;0,Q53*INT(MAX(S53+(1),0)*N53/M53)+0*INT(MAX(S53+(1),0)*N53/N53)&gt;=L53),MAX(S53+(1),0)*N53,1000000000),IF(AND(MAX(S53+(2),0)*N53&gt;0,Q53*INT(MAX(S53+(2),0)*N53/M53)+0*INT(MAX(S53+(2),0)*N53/N53)&gt;=L53),MAX(S53+(2),0)*N53,1000000000)))</f>
        <v>2080</v>
      </c>
      <c r="U53" s="10" t="n">
        <f aca="false">IF(O53-1*M53&gt;=0,INT((O53-1*M53)/N53),-1)</f>
        <v>2</v>
      </c>
      <c r="V53" s="10" t="n">
        <f aca="false">IF(AND(U53&gt;=0,U53+1&gt;0),ROUNDUP(L53/(U53+1*M53/N53),0),0)</f>
        <v>3</v>
      </c>
      <c r="W53" s="10" t="n">
        <f aca="false">IF(AND(U53&gt;=0,U53+1&gt;0),ROUNDUP(L53/(U53*N53/M53+1),0),0)</f>
        <v>4</v>
      </c>
      <c r="X53" s="10" t="n">
        <f aca="false">IF(OR(U53&lt;0,U53+1=0),1000000000,MIN(IF(AND(MAX(V53+(-1),0)*M53&gt;0,U53*INT(MAX(V53+(-1),0)*M53/M53)+1*INT(MAX(V53+(-1),0)*M53/N53)&gt;=L53),MAX(V53+(-1),0)*M53,1000000000),IF(AND(MAX(V53+(0),0)*M53&gt;0,U53*INT(MAX(V53+(0),0)*M53/M53)+1*INT(MAX(V53+(0),0)*M53/N53)&gt;=L53),MAX(V53+(0),0)*M53,1000000000),IF(AND(MAX(V53+(1),0)*M53&gt;0,U53*INT(MAX(V53+(1),0)*M53/M53)+1*INT(MAX(V53+(1),0)*M53/N53)&gt;=L53),MAX(V53+(1),0)*M53,1000000000),IF(AND(MAX(V53+(2),0)*M53&gt;0,U53*INT(MAX(V53+(2),0)*M53/M53)+1*INT(MAX(V53+(2),0)*M53/N53)&gt;=L53),MAX(V53+(2),0)*M53,1000000000),IF(AND(MAX(W53+(-1),0)*N53&gt;0,U53*INT(MAX(W53+(-1),0)*N53/M53)+1*INT(MAX(W53+(-1),0)*N53/N53)&gt;=L53),MAX(W53+(-1),0)*N53,1000000000),IF(AND(MAX(W53+(0),0)*N53&gt;0,U53*INT(MAX(W53+(0),0)*N53/M53)+1*INT(MAX(W53+(0),0)*N53/N53)&gt;=L53),MAX(W53+(0),0)*N53,1000000000),IF(AND(MAX(W53+(1),0)*N53&gt;0,U53*INT(MAX(W53+(1),0)*N53/M53)+1*INT(MAX(W53+(1),0)*N53/N53)&gt;=L53),MAX(W53+(1),0)*N53,1000000000),IF(AND(MAX(W53+(2),0)*N53&gt;0,U53*INT(MAX(W53+(2),0)*N53/M53)+1*INT(MAX(W53+(2),0)*N53/N53)&gt;=L53),MAX(W53+(2),0)*N53,1000000000)))</f>
        <v>2092</v>
      </c>
      <c r="Y53" s="10" t="n">
        <f aca="false">IF(O53-2*M53&gt;=0,INT((O53-2*M53)/N53),-1)</f>
        <v>0</v>
      </c>
      <c r="Z53" s="10" t="n">
        <f aca="false">IF(AND(Y53&gt;=0,Y53+2&gt;0),ROUNDUP(L53/(Y53+2*M53/N53),0),0)</f>
        <v>3</v>
      </c>
      <c r="AA53" s="10" t="n">
        <f aca="false">IF(AND(Y53&gt;=0,Y53+2&gt;0),ROUNDUP(L53/(Y53*N53/M53+2),0),0)</f>
        <v>4</v>
      </c>
      <c r="AB53" s="10" t="n">
        <f aca="false">IF(OR(Y53&lt;0,Y53+2=0),1000000000,MIN(IF(AND(MAX(Z53+(-1),0)*M53&gt;0,Y53*INT(MAX(Z53+(-1),0)*M53/M53)+2*INT(MAX(Z53+(-1),0)*M53/N53)&gt;=L53),MAX(Z53+(-1),0)*M53,1000000000),IF(AND(MAX(Z53+(0),0)*M53&gt;0,Y53*INT(MAX(Z53+(0),0)*M53/M53)+2*INT(MAX(Z53+(0),0)*M53/N53)&gt;=L53),MAX(Z53+(0),0)*M53,1000000000),IF(AND(MAX(Z53+(1),0)*M53&gt;0,Y53*INT(MAX(Z53+(1),0)*M53/M53)+2*INT(MAX(Z53+(1),0)*M53/N53)&gt;=L53),MAX(Z53+(1),0)*M53,1000000000),IF(AND(MAX(Z53+(2),0)*M53&gt;0,Y53*INT(MAX(Z53+(2),0)*M53/M53)+2*INT(MAX(Z53+(2),0)*M53/N53)&gt;=L53),MAX(Z53+(2),0)*M53,1000000000),IF(AND(MAX(AA53+(-1),0)*N53&gt;0,Y53*INT(MAX(AA53+(-1),0)*N53/M53)+2*INT(MAX(AA53+(-1),0)*N53/N53)&gt;=L53),MAX(AA53+(-1),0)*N53,1000000000),IF(AND(MAX(AA53+(0),0)*N53&gt;0,Y53*INT(MAX(AA53+(0),0)*N53/M53)+2*INT(MAX(AA53+(0),0)*N53/N53)&gt;=L53),MAX(AA53+(0),0)*N53,1000000000),IF(AND(MAX(AA53+(1),0)*N53&gt;0,Y53*INT(MAX(AA53+(1),0)*N53/M53)+2*INT(MAX(AA53+(1),0)*N53/N53)&gt;=L53),MAX(AA53+(1),0)*N53,1000000000),IF(AND(MAX(AA53+(2),0)*N53&gt;0,Y53*INT(MAX(AA53+(2),0)*N53/M53)+2*INT(MAX(AA53+(2),0)*N53/N53)&gt;=L53),MAX(AA53+(2),0)*N53,1000000000)))</f>
        <v>2092</v>
      </c>
      <c r="AC53" s="42" t="n">
        <f aca="false">IF(L53=0,0,MIN(T53,X53,AB53))</f>
        <v>2080</v>
      </c>
      <c r="AD53" s="15" t="n">
        <f aca="false">I53*INDEX(lg_bkg_3463,B53)</f>
        <v>2091.60632</v>
      </c>
      <c r="AE53" s="33" t="n">
        <f aca="false">I53*INDEX(lg_bvol_3463,B53)</f>
        <v>8.70272</v>
      </c>
    </row>
    <row r="54" customFormat="false" ht="15" hidden="false" customHeight="false" outlineLevel="0" collapsed="false">
      <c r="A54" s="9" t="n">
        <v>3</v>
      </c>
      <c r="B54" s="9" t="n">
        <v>2</v>
      </c>
      <c r="C54" s="9" t="s">
        <v>17</v>
      </c>
      <c r="D54" s="10" t="n">
        <f aca="false">INDEX(cfg_ct,A54)</f>
        <v>1</v>
      </c>
      <c r="E54" s="10" t="n">
        <f aca="false">INDEX(cfg_n,A54)</f>
        <v>2</v>
      </c>
      <c r="F54" s="15" t="n">
        <f aca="false">INDEX(cfg_u_3460,A54,B54)</f>
        <v>20000</v>
      </c>
      <c r="G54" s="15" t="n">
        <f aca="false">F54/E54</f>
        <v>10000</v>
      </c>
      <c r="H54" s="10" t="n">
        <f aca="false">INDEX(lg_n_3460,B54)</f>
        <v>50</v>
      </c>
      <c r="I54" s="15" t="n">
        <f aca="false">ROUNDUP(G54/H54,0)</f>
        <v>200</v>
      </c>
      <c r="J54" s="10" t="n">
        <f aca="false">INDEX(lg_layers_3460_20GP,B54)</f>
        <v>28</v>
      </c>
      <c r="K54" s="26" t="n">
        <f aca="false">INDEX(in_use_efficiency,1,B54)</f>
        <v>0.95</v>
      </c>
      <c r="L54" s="10" t="n">
        <f aca="false">IF(I54=0,0,ROUNDUP(I54/(K54*J54)-0.000000001,0))</f>
        <v>8</v>
      </c>
      <c r="M54" s="10" t="n">
        <f aca="false">INDEX(lg_a_3460,B54)</f>
        <v>840</v>
      </c>
      <c r="N54" s="10" t="n">
        <f aca="false">INDEX(lg_b_3460,B54)</f>
        <v>423</v>
      </c>
      <c r="O54" s="10" t="n">
        <f aca="false">INDEX(lg_Wu_20GP,B54)</f>
        <v>2330</v>
      </c>
      <c r="P54" s="10" t="n">
        <f aca="false">INDEX(lg_Lu_20GP,B54)</f>
        <v>5800</v>
      </c>
      <c r="Q54" s="10" t="n">
        <f aca="false">IF(O54-0*M54&gt;=0,INT((O54-0*M54)/N54),-1)</f>
        <v>5</v>
      </c>
      <c r="R54" s="10" t="n">
        <f aca="false">IF(AND(Q54&gt;=0,Q54+0&gt;0),ROUNDUP(L54/(Q54+0*M54/N54),0),0)</f>
        <v>2</v>
      </c>
      <c r="S54" s="10" t="n">
        <f aca="false">IF(AND(Q54&gt;=0,Q54+0&gt;0),ROUNDUP(L54/(Q54*N54/M54+0),0),0)</f>
        <v>4</v>
      </c>
      <c r="T54" s="10" t="n">
        <f aca="false">IF(OR(Q54&lt;0,Q54+0=0),1000000000,MIN(IF(AND(MAX(R54+(-1),0)*M54&gt;0,Q54*INT(MAX(R54+(-1),0)*M54/M54)+0*INT(MAX(R54+(-1),0)*M54/N54)&gt;=L54),MAX(R54+(-1),0)*M54,1000000000),IF(AND(MAX(R54+(0),0)*M54&gt;0,Q54*INT(MAX(R54+(0),0)*M54/M54)+0*INT(MAX(R54+(0),0)*M54/N54)&gt;=L54),MAX(R54+(0),0)*M54,1000000000),IF(AND(MAX(R54+(1),0)*M54&gt;0,Q54*INT(MAX(R54+(1),0)*M54/M54)+0*INT(MAX(R54+(1),0)*M54/N54)&gt;=L54),MAX(R54+(1),0)*M54,1000000000),IF(AND(MAX(R54+(2),0)*M54&gt;0,Q54*INT(MAX(R54+(2),0)*M54/M54)+0*INT(MAX(R54+(2),0)*M54/N54)&gt;=L54),MAX(R54+(2),0)*M54,1000000000),IF(AND(MAX(S54+(-1),0)*N54&gt;0,Q54*INT(MAX(S54+(-1),0)*N54/M54)+0*INT(MAX(S54+(-1),0)*N54/N54)&gt;=L54),MAX(S54+(-1),0)*N54,1000000000),IF(AND(MAX(S54+(0),0)*N54&gt;0,Q54*INT(MAX(S54+(0),0)*N54/M54)+0*INT(MAX(S54+(0),0)*N54/N54)&gt;=L54),MAX(S54+(0),0)*N54,1000000000),IF(AND(MAX(S54+(1),0)*N54&gt;0,Q54*INT(MAX(S54+(1),0)*N54/M54)+0*INT(MAX(S54+(1),0)*N54/N54)&gt;=L54),MAX(S54+(1),0)*N54,1000000000),IF(AND(MAX(S54+(2),0)*N54&gt;0,Q54*INT(MAX(S54+(2),0)*N54/M54)+0*INT(MAX(S54+(2),0)*N54/N54)&gt;=L54),MAX(S54+(2),0)*N54,1000000000)))</f>
        <v>1680</v>
      </c>
      <c r="U54" s="10" t="n">
        <f aca="false">IF(O54-1*M54&gt;=0,INT((O54-1*M54)/N54),-1)</f>
        <v>3</v>
      </c>
      <c r="V54" s="10" t="n">
        <f aca="false">IF(AND(U54&gt;=0,U54+1&gt;0),ROUNDUP(L54/(U54+1*M54/N54),0),0)</f>
        <v>2</v>
      </c>
      <c r="W54" s="10" t="n">
        <f aca="false">IF(AND(U54&gt;=0,U54+1&gt;0),ROUNDUP(L54/(U54*N54/M54+1),0),0)</f>
        <v>4</v>
      </c>
      <c r="X54" s="10" t="n">
        <f aca="false">IF(OR(U54&lt;0,U54+1=0),1000000000,MIN(IF(AND(MAX(V54+(-1),0)*M54&gt;0,U54*INT(MAX(V54+(-1),0)*M54/M54)+1*INT(MAX(V54+(-1),0)*M54/N54)&gt;=L54),MAX(V54+(-1),0)*M54,1000000000),IF(AND(MAX(V54+(0),0)*M54&gt;0,U54*INT(MAX(V54+(0),0)*M54/M54)+1*INT(MAX(V54+(0),0)*M54/N54)&gt;=L54),MAX(V54+(0),0)*M54,1000000000),IF(AND(MAX(V54+(1),0)*M54&gt;0,U54*INT(MAX(V54+(1),0)*M54/M54)+1*INT(MAX(V54+(1),0)*M54/N54)&gt;=L54),MAX(V54+(1),0)*M54,1000000000),IF(AND(MAX(V54+(2),0)*M54&gt;0,U54*INT(MAX(V54+(2),0)*M54/M54)+1*INT(MAX(V54+(2),0)*M54/N54)&gt;=L54),MAX(V54+(2),0)*M54,1000000000),IF(AND(MAX(W54+(-1),0)*N54&gt;0,U54*INT(MAX(W54+(-1),0)*N54/M54)+1*INT(MAX(W54+(-1),0)*N54/N54)&gt;=L54),MAX(W54+(-1),0)*N54,1000000000),IF(AND(MAX(W54+(0),0)*N54&gt;0,U54*INT(MAX(W54+(0),0)*N54/M54)+1*INT(MAX(W54+(0),0)*N54/N54)&gt;=L54),MAX(W54+(0),0)*N54,1000000000),IF(AND(MAX(W54+(1),0)*N54&gt;0,U54*INT(MAX(W54+(1),0)*N54/M54)+1*INT(MAX(W54+(1),0)*N54/N54)&gt;=L54),MAX(W54+(1),0)*N54,1000000000),IF(AND(MAX(W54+(2),0)*N54&gt;0,U54*INT(MAX(W54+(2),0)*N54/M54)+1*INT(MAX(W54+(2),0)*N54/N54)&gt;=L54),MAX(W54+(2),0)*N54,1000000000)))</f>
        <v>1680</v>
      </c>
      <c r="Y54" s="10" t="n">
        <f aca="false">IF(O54-2*M54&gt;=0,INT((O54-2*M54)/N54),-1)</f>
        <v>1</v>
      </c>
      <c r="Z54" s="10" t="n">
        <f aca="false">IF(AND(Y54&gt;=0,Y54+2&gt;0),ROUNDUP(L54/(Y54+2*M54/N54),0),0)</f>
        <v>2</v>
      </c>
      <c r="AA54" s="10" t="n">
        <f aca="false">IF(AND(Y54&gt;=0,Y54+2&gt;0),ROUNDUP(L54/(Y54*N54/M54+2),0),0)</f>
        <v>4</v>
      </c>
      <c r="AB54" s="10" t="n">
        <f aca="false">IF(OR(Y54&lt;0,Y54+2=0),1000000000,MIN(IF(AND(MAX(Z54+(-1),0)*M54&gt;0,Y54*INT(MAX(Z54+(-1),0)*M54/M54)+2*INT(MAX(Z54+(-1),0)*M54/N54)&gt;=L54),MAX(Z54+(-1),0)*M54,1000000000),IF(AND(MAX(Z54+(0),0)*M54&gt;0,Y54*INT(MAX(Z54+(0),0)*M54/M54)+2*INT(MAX(Z54+(0),0)*M54/N54)&gt;=L54),MAX(Z54+(0),0)*M54,1000000000),IF(AND(MAX(Z54+(1),0)*M54&gt;0,Y54*INT(MAX(Z54+(1),0)*M54/M54)+2*INT(MAX(Z54+(1),0)*M54/N54)&gt;=L54),MAX(Z54+(1),0)*M54,1000000000),IF(AND(MAX(Z54+(2),0)*M54&gt;0,Y54*INT(MAX(Z54+(2),0)*M54/M54)+2*INT(MAX(Z54+(2),0)*M54/N54)&gt;=L54),MAX(Z54+(2),0)*M54,1000000000),IF(AND(MAX(AA54+(-1),0)*N54&gt;0,Y54*INT(MAX(AA54+(-1),0)*N54/M54)+2*INT(MAX(AA54+(-1),0)*N54/N54)&gt;=L54),MAX(AA54+(-1),0)*N54,1000000000),IF(AND(MAX(AA54+(0),0)*N54&gt;0,Y54*INT(MAX(AA54+(0),0)*N54/M54)+2*INT(MAX(AA54+(0),0)*N54/N54)&gt;=L54),MAX(AA54+(0),0)*N54,1000000000),IF(AND(MAX(AA54+(1),0)*N54&gt;0,Y54*INT(MAX(AA54+(1),0)*N54/M54)+2*INT(MAX(AA54+(1),0)*N54/N54)&gt;=L54),MAX(AA54+(1),0)*N54,1000000000),IF(AND(MAX(AA54+(2),0)*N54&gt;0,Y54*INT(MAX(AA54+(2),0)*N54/M54)+2*INT(MAX(AA54+(2),0)*N54/N54)&gt;=L54),MAX(AA54+(2),0)*N54,1000000000)))</f>
        <v>1680</v>
      </c>
      <c r="AC54" s="42" t="n">
        <f aca="false">IF(L54=0,0,MIN(T54,X54,AB54))</f>
        <v>1680</v>
      </c>
      <c r="AD54" s="15" t="n">
        <f aca="false">I54*INDEX(lg_bkg_3460,B54)</f>
        <v>1368.65192</v>
      </c>
      <c r="AE54" s="33" t="n">
        <f aca="false">I54*INDEX(lg_bvol_3460,B54)</f>
        <v>5.68512</v>
      </c>
    </row>
    <row r="55" customFormat="false" ht="15" hidden="false" customHeight="false" outlineLevel="0" collapsed="false">
      <c r="A55" s="9" t="n">
        <v>3</v>
      </c>
      <c r="B55" s="9" t="n">
        <v>3</v>
      </c>
      <c r="C55" s="9" t="s">
        <v>15</v>
      </c>
      <c r="D55" s="10" t="n">
        <f aca="false">INDEX(cfg_ct,A55)</f>
        <v>1</v>
      </c>
      <c r="E55" s="10" t="n">
        <f aca="false">INDEX(cfg_n,A55)</f>
        <v>2</v>
      </c>
      <c r="F55" s="15" t="n">
        <f aca="false">INDEX(cfg_u_3464,A55,B55)</f>
        <v>20000</v>
      </c>
      <c r="G55" s="15" t="n">
        <f aca="false">F55/E55</f>
        <v>10000</v>
      </c>
      <c r="H55" s="10" t="n">
        <f aca="false">INDEX(lg_n_3464,B55)</f>
        <v>50</v>
      </c>
      <c r="I55" s="15" t="n">
        <f aca="false">ROUNDUP(G55/H55,0)</f>
        <v>200</v>
      </c>
      <c r="J55" s="10" t="n">
        <f aca="false">INDEX(lg_layers_3464_20GP,B55)</f>
        <v>25</v>
      </c>
      <c r="K55" s="26" t="n">
        <f aca="false">INDEX(in_use_efficiency,1,B55)</f>
        <v>0.9</v>
      </c>
      <c r="L55" s="10" t="n">
        <f aca="false">IF(I55=0,0,ROUNDUP(I55/(K55*J55)-0.000000001,0))</f>
        <v>9</v>
      </c>
      <c r="M55" s="10" t="n">
        <f aca="false">INDEX(lg_a_3464,B55)</f>
        <v>940</v>
      </c>
      <c r="N55" s="10" t="n">
        <f aca="false">INDEX(lg_b_3464,B55)</f>
        <v>473</v>
      </c>
      <c r="O55" s="10" t="n">
        <f aca="false">INDEX(lg_Wu_20GP,B55)</f>
        <v>2330</v>
      </c>
      <c r="P55" s="10" t="n">
        <f aca="false">INDEX(lg_Lu_20GP,B55)</f>
        <v>5800</v>
      </c>
      <c r="Q55" s="10" t="n">
        <f aca="false">IF(O55-0*M55&gt;=0,INT((O55-0*M55)/N55),-1)</f>
        <v>4</v>
      </c>
      <c r="R55" s="10" t="n">
        <f aca="false">IF(AND(Q55&gt;=0,Q55+0&gt;0),ROUNDUP(L55/(Q55+0*M55/N55),0),0)</f>
        <v>3</v>
      </c>
      <c r="S55" s="10" t="n">
        <f aca="false">IF(AND(Q55&gt;=0,Q55+0&gt;0),ROUNDUP(L55/(Q55*N55/M55+0),0),0)</f>
        <v>5</v>
      </c>
      <c r="T55" s="10" t="n">
        <f aca="false">IF(OR(Q55&lt;0,Q55+0=0),1000000000,MIN(IF(AND(MAX(R55+(-1),0)*M55&gt;0,Q55*INT(MAX(R55+(-1),0)*M55/M55)+0*INT(MAX(R55+(-1),0)*M55/N55)&gt;=L55),MAX(R55+(-1),0)*M55,1000000000),IF(AND(MAX(R55+(0),0)*M55&gt;0,Q55*INT(MAX(R55+(0),0)*M55/M55)+0*INT(MAX(R55+(0),0)*M55/N55)&gt;=L55),MAX(R55+(0),0)*M55,1000000000),IF(AND(MAX(R55+(1),0)*M55&gt;0,Q55*INT(MAX(R55+(1),0)*M55/M55)+0*INT(MAX(R55+(1),0)*M55/N55)&gt;=L55),MAX(R55+(1),0)*M55,1000000000),IF(AND(MAX(R55+(2),0)*M55&gt;0,Q55*INT(MAX(R55+(2),0)*M55/M55)+0*INT(MAX(R55+(2),0)*M55/N55)&gt;=L55),MAX(R55+(2),0)*M55,1000000000),IF(AND(MAX(S55+(-1),0)*N55&gt;0,Q55*INT(MAX(S55+(-1),0)*N55/M55)+0*INT(MAX(S55+(-1),0)*N55/N55)&gt;=L55),MAX(S55+(-1),0)*N55,1000000000),IF(AND(MAX(S55+(0),0)*N55&gt;0,Q55*INT(MAX(S55+(0),0)*N55/M55)+0*INT(MAX(S55+(0),0)*N55/N55)&gt;=L55),MAX(S55+(0),0)*N55,1000000000),IF(AND(MAX(S55+(1),0)*N55&gt;0,Q55*INT(MAX(S55+(1),0)*N55/M55)+0*INT(MAX(S55+(1),0)*N55/N55)&gt;=L55),MAX(S55+(1),0)*N55,1000000000),IF(AND(MAX(S55+(2),0)*N55&gt;0,Q55*INT(MAX(S55+(2),0)*N55/M55)+0*INT(MAX(S55+(2),0)*N55/N55)&gt;=L55),MAX(S55+(2),0)*N55,1000000000)))</f>
        <v>2820</v>
      </c>
      <c r="U55" s="10" t="n">
        <f aca="false">IF(O55-1*M55&gt;=0,INT((O55-1*M55)/N55),-1)</f>
        <v>2</v>
      </c>
      <c r="V55" s="10" t="n">
        <f aca="false">IF(AND(U55&gt;=0,U55+1&gt;0),ROUNDUP(L55/(U55+1*M55/N55),0),0)</f>
        <v>3</v>
      </c>
      <c r="W55" s="10" t="n">
        <f aca="false">IF(AND(U55&gt;=0,U55+1&gt;0),ROUNDUP(L55/(U55*N55/M55+1),0),0)</f>
        <v>5</v>
      </c>
      <c r="X55" s="10" t="n">
        <f aca="false">IF(OR(U55&lt;0,U55+1=0),1000000000,MIN(IF(AND(MAX(V55+(-1),0)*M55&gt;0,U55*INT(MAX(V55+(-1),0)*M55/M55)+1*INT(MAX(V55+(-1),0)*M55/N55)&gt;=L55),MAX(V55+(-1),0)*M55,1000000000),IF(AND(MAX(V55+(0),0)*M55&gt;0,U55*INT(MAX(V55+(0),0)*M55/M55)+1*INT(MAX(V55+(0),0)*M55/N55)&gt;=L55),MAX(V55+(0),0)*M55,1000000000),IF(AND(MAX(V55+(1),0)*M55&gt;0,U55*INT(MAX(V55+(1),0)*M55/M55)+1*INT(MAX(V55+(1),0)*M55/N55)&gt;=L55),MAX(V55+(1),0)*M55,1000000000),IF(AND(MAX(V55+(2),0)*M55&gt;0,U55*INT(MAX(V55+(2),0)*M55/M55)+1*INT(MAX(V55+(2),0)*M55/N55)&gt;=L55),MAX(V55+(2),0)*M55,1000000000),IF(AND(MAX(W55+(-1),0)*N55&gt;0,U55*INT(MAX(W55+(-1),0)*N55/M55)+1*INT(MAX(W55+(-1),0)*N55/N55)&gt;=L55),MAX(W55+(-1),0)*N55,1000000000),IF(AND(MAX(W55+(0),0)*N55&gt;0,U55*INT(MAX(W55+(0),0)*N55/M55)+1*INT(MAX(W55+(0),0)*N55/N55)&gt;=L55),MAX(W55+(0),0)*N55,1000000000),IF(AND(MAX(W55+(1),0)*N55&gt;0,U55*INT(MAX(W55+(1),0)*N55/M55)+1*INT(MAX(W55+(1),0)*N55/N55)&gt;=L55),MAX(W55+(1),0)*N55,1000000000),IF(AND(MAX(W55+(2),0)*N55&gt;0,U55*INT(MAX(W55+(2),0)*N55/M55)+1*INT(MAX(W55+(2),0)*N55/N55)&gt;=L55),MAX(W55+(2),0)*N55,1000000000)))</f>
        <v>2365</v>
      </c>
      <c r="Y55" s="10" t="n">
        <f aca="false">IF(O55-2*M55&gt;=0,INT((O55-2*M55)/N55),-1)</f>
        <v>0</v>
      </c>
      <c r="Z55" s="10" t="n">
        <f aca="false">IF(AND(Y55&gt;=0,Y55+2&gt;0),ROUNDUP(L55/(Y55+2*M55/N55),0),0)</f>
        <v>3</v>
      </c>
      <c r="AA55" s="10" t="n">
        <f aca="false">IF(AND(Y55&gt;=0,Y55+2&gt;0),ROUNDUP(L55/(Y55*N55/M55+2),0),0)</f>
        <v>5</v>
      </c>
      <c r="AB55" s="10" t="n">
        <f aca="false">IF(OR(Y55&lt;0,Y55+2=0),1000000000,MIN(IF(AND(MAX(Z55+(-1),0)*M55&gt;0,Y55*INT(MAX(Z55+(-1),0)*M55/M55)+2*INT(MAX(Z55+(-1),0)*M55/N55)&gt;=L55),MAX(Z55+(-1),0)*M55,1000000000),IF(AND(MAX(Z55+(0),0)*M55&gt;0,Y55*INT(MAX(Z55+(0),0)*M55/M55)+2*INT(MAX(Z55+(0),0)*M55/N55)&gt;=L55),MAX(Z55+(0),0)*M55,1000000000),IF(AND(MAX(Z55+(1),0)*M55&gt;0,Y55*INT(MAX(Z55+(1),0)*M55/M55)+2*INT(MAX(Z55+(1),0)*M55/N55)&gt;=L55),MAX(Z55+(1),0)*M55,1000000000),IF(AND(MAX(Z55+(2),0)*M55&gt;0,Y55*INT(MAX(Z55+(2),0)*M55/M55)+2*INT(MAX(Z55+(2),0)*M55/N55)&gt;=L55),MAX(Z55+(2),0)*M55,1000000000),IF(AND(MAX(AA55+(-1),0)*N55&gt;0,Y55*INT(MAX(AA55+(-1),0)*N55/M55)+2*INT(MAX(AA55+(-1),0)*N55/N55)&gt;=L55),MAX(AA55+(-1),0)*N55,1000000000),IF(AND(MAX(AA55+(0),0)*N55&gt;0,Y55*INT(MAX(AA55+(0),0)*N55/M55)+2*INT(MAX(AA55+(0),0)*N55/N55)&gt;=L55),MAX(AA55+(0),0)*N55,1000000000),IF(AND(MAX(AA55+(1),0)*N55&gt;0,Y55*INT(MAX(AA55+(1),0)*N55/M55)+2*INT(MAX(AA55+(1),0)*N55/N55)&gt;=L55),MAX(AA55+(1),0)*N55,1000000000),IF(AND(MAX(AA55+(2),0)*N55&gt;0,Y55*INT(MAX(AA55+(2),0)*N55/M55)+2*INT(MAX(AA55+(2),0)*N55/N55)&gt;=L55),MAX(AA55+(2),0)*N55,1000000000)))</f>
        <v>2365</v>
      </c>
      <c r="AC55" s="42" t="n">
        <f aca="false">IF(L55=0,0,MIN(T55,X55,AB55))</f>
        <v>2365</v>
      </c>
      <c r="AD55" s="15" t="n">
        <f aca="false">I55*INDEX(lg_bkg_3464,B55)</f>
        <v>1952.35328</v>
      </c>
      <c r="AE55" s="33" t="n">
        <f aca="false">I55*INDEX(lg_bvol_3464,B55)</f>
        <v>8.00316</v>
      </c>
    </row>
    <row r="56" customFormat="false" ht="15" hidden="false" customHeight="false" outlineLevel="0" collapsed="false">
      <c r="A56" s="9" t="n">
        <v>3</v>
      </c>
      <c r="B56" s="9" t="n">
        <v>3</v>
      </c>
      <c r="C56" s="9" t="s">
        <v>16</v>
      </c>
      <c r="D56" s="10" t="n">
        <f aca="false">INDEX(cfg_ct,A56)</f>
        <v>1</v>
      </c>
      <c r="E56" s="10" t="n">
        <f aca="false">INDEX(cfg_n,A56)</f>
        <v>2</v>
      </c>
      <c r="F56" s="15" t="n">
        <f aca="false">INDEX(cfg_u_3463,A56,B56)</f>
        <v>20000</v>
      </c>
      <c r="G56" s="15" t="n">
        <f aca="false">F56/E56</f>
        <v>10000</v>
      </c>
      <c r="H56" s="10" t="n">
        <f aca="false">INDEX(lg_n_3463,B56)</f>
        <v>50</v>
      </c>
      <c r="I56" s="15" t="n">
        <f aca="false">ROUNDUP(G56/H56,0)</f>
        <v>200</v>
      </c>
      <c r="J56" s="10" t="n">
        <f aca="false">INDEX(lg_layers_3463_20GP,B56)</f>
        <v>25</v>
      </c>
      <c r="K56" s="26" t="n">
        <f aca="false">INDEX(in_use_efficiency,1,B56)</f>
        <v>0.9</v>
      </c>
      <c r="L56" s="10" t="n">
        <f aca="false">IF(I56=0,0,ROUNDUP(I56/(K56*J56)-0.000000001,0))</f>
        <v>9</v>
      </c>
      <c r="M56" s="10" t="n">
        <f aca="false">INDEX(lg_a_3463,B56)</f>
        <v>1040</v>
      </c>
      <c r="N56" s="10" t="n">
        <f aca="false">INDEX(lg_b_3463,B56)</f>
        <v>523</v>
      </c>
      <c r="O56" s="10" t="n">
        <f aca="false">INDEX(lg_Wu_20GP,B56)</f>
        <v>2330</v>
      </c>
      <c r="P56" s="10" t="n">
        <f aca="false">INDEX(lg_Lu_20GP,B56)</f>
        <v>5800</v>
      </c>
      <c r="Q56" s="10" t="n">
        <f aca="false">IF(O56-0*M56&gt;=0,INT((O56-0*M56)/N56),-1)</f>
        <v>4</v>
      </c>
      <c r="R56" s="10" t="n">
        <f aca="false">IF(AND(Q56&gt;=0,Q56+0&gt;0),ROUNDUP(L56/(Q56+0*M56/N56),0),0)</f>
        <v>3</v>
      </c>
      <c r="S56" s="10" t="n">
        <f aca="false">IF(AND(Q56&gt;=0,Q56+0&gt;0),ROUNDUP(L56/(Q56*N56/M56+0),0),0)</f>
        <v>5</v>
      </c>
      <c r="T56" s="10" t="n">
        <f aca="false">IF(OR(Q56&lt;0,Q56+0=0),1000000000,MIN(IF(AND(MAX(R56+(-1),0)*M56&gt;0,Q56*INT(MAX(R56+(-1),0)*M56/M56)+0*INT(MAX(R56+(-1),0)*M56/N56)&gt;=L56),MAX(R56+(-1),0)*M56,1000000000),IF(AND(MAX(R56+(0),0)*M56&gt;0,Q56*INT(MAX(R56+(0),0)*M56/M56)+0*INT(MAX(R56+(0),0)*M56/N56)&gt;=L56),MAX(R56+(0),0)*M56,1000000000),IF(AND(MAX(R56+(1),0)*M56&gt;0,Q56*INT(MAX(R56+(1),0)*M56/M56)+0*INT(MAX(R56+(1),0)*M56/N56)&gt;=L56),MAX(R56+(1),0)*M56,1000000000),IF(AND(MAX(R56+(2),0)*M56&gt;0,Q56*INT(MAX(R56+(2),0)*M56/M56)+0*INT(MAX(R56+(2),0)*M56/N56)&gt;=L56),MAX(R56+(2),0)*M56,1000000000),IF(AND(MAX(S56+(-1),0)*N56&gt;0,Q56*INT(MAX(S56+(-1),0)*N56/M56)+0*INT(MAX(S56+(-1),0)*N56/N56)&gt;=L56),MAX(S56+(-1),0)*N56,1000000000),IF(AND(MAX(S56+(0),0)*N56&gt;0,Q56*INT(MAX(S56+(0),0)*N56/M56)+0*INT(MAX(S56+(0),0)*N56/N56)&gt;=L56),MAX(S56+(0),0)*N56,1000000000),IF(AND(MAX(S56+(1),0)*N56&gt;0,Q56*INT(MAX(S56+(1),0)*N56/M56)+0*INT(MAX(S56+(1),0)*N56/N56)&gt;=L56),MAX(S56+(1),0)*N56,1000000000),IF(AND(MAX(S56+(2),0)*N56&gt;0,Q56*INT(MAX(S56+(2),0)*N56/M56)+0*INT(MAX(S56+(2),0)*N56/N56)&gt;=L56),MAX(S56+(2),0)*N56,1000000000)))</f>
        <v>3120</v>
      </c>
      <c r="U56" s="10" t="n">
        <f aca="false">IF(O56-1*M56&gt;=0,INT((O56-1*M56)/N56),-1)</f>
        <v>2</v>
      </c>
      <c r="V56" s="10" t="n">
        <f aca="false">IF(AND(U56&gt;=0,U56+1&gt;0),ROUNDUP(L56/(U56+1*M56/N56),0),0)</f>
        <v>3</v>
      </c>
      <c r="W56" s="10" t="n">
        <f aca="false">IF(AND(U56&gt;=0,U56+1&gt;0),ROUNDUP(L56/(U56*N56/M56+1),0),0)</f>
        <v>5</v>
      </c>
      <c r="X56" s="10" t="n">
        <f aca="false">IF(OR(U56&lt;0,U56+1=0),1000000000,MIN(IF(AND(MAX(V56+(-1),0)*M56&gt;0,U56*INT(MAX(V56+(-1),0)*M56/M56)+1*INT(MAX(V56+(-1),0)*M56/N56)&gt;=L56),MAX(V56+(-1),0)*M56,1000000000),IF(AND(MAX(V56+(0),0)*M56&gt;0,U56*INT(MAX(V56+(0),0)*M56/M56)+1*INT(MAX(V56+(0),0)*M56/N56)&gt;=L56),MAX(V56+(0),0)*M56,1000000000),IF(AND(MAX(V56+(1),0)*M56&gt;0,U56*INT(MAX(V56+(1),0)*M56/M56)+1*INT(MAX(V56+(1),0)*M56/N56)&gt;=L56),MAX(V56+(1),0)*M56,1000000000),IF(AND(MAX(V56+(2),0)*M56&gt;0,U56*INT(MAX(V56+(2),0)*M56/M56)+1*INT(MAX(V56+(2),0)*M56/N56)&gt;=L56),MAX(V56+(2),0)*M56,1000000000),IF(AND(MAX(W56+(-1),0)*N56&gt;0,U56*INT(MAX(W56+(-1),0)*N56/M56)+1*INT(MAX(W56+(-1),0)*N56/N56)&gt;=L56),MAX(W56+(-1),0)*N56,1000000000),IF(AND(MAX(W56+(0),0)*N56&gt;0,U56*INT(MAX(W56+(0),0)*N56/M56)+1*INT(MAX(W56+(0),0)*N56/N56)&gt;=L56),MAX(W56+(0),0)*N56,1000000000),IF(AND(MAX(W56+(1),0)*N56&gt;0,U56*INT(MAX(W56+(1),0)*N56/M56)+1*INT(MAX(W56+(1),0)*N56/N56)&gt;=L56),MAX(W56+(1),0)*N56,1000000000),IF(AND(MAX(W56+(2),0)*N56&gt;0,U56*INT(MAX(W56+(2),0)*N56/M56)+1*INT(MAX(W56+(2),0)*N56/N56)&gt;=L56),MAX(W56+(2),0)*N56,1000000000)))</f>
        <v>2615</v>
      </c>
      <c r="Y56" s="10" t="n">
        <f aca="false">IF(O56-2*M56&gt;=0,INT((O56-2*M56)/N56),-1)</f>
        <v>0</v>
      </c>
      <c r="Z56" s="10" t="n">
        <f aca="false">IF(AND(Y56&gt;=0,Y56+2&gt;0),ROUNDUP(L56/(Y56+2*M56/N56),0),0)</f>
        <v>3</v>
      </c>
      <c r="AA56" s="10" t="n">
        <f aca="false">IF(AND(Y56&gt;=0,Y56+2&gt;0),ROUNDUP(L56/(Y56*N56/M56+2),0),0)</f>
        <v>5</v>
      </c>
      <c r="AB56" s="10" t="n">
        <f aca="false">IF(OR(Y56&lt;0,Y56+2=0),1000000000,MIN(IF(AND(MAX(Z56+(-1),0)*M56&gt;0,Y56*INT(MAX(Z56+(-1),0)*M56/M56)+2*INT(MAX(Z56+(-1),0)*M56/N56)&gt;=L56),MAX(Z56+(-1),0)*M56,1000000000),IF(AND(MAX(Z56+(0),0)*M56&gt;0,Y56*INT(MAX(Z56+(0),0)*M56/M56)+2*INT(MAX(Z56+(0),0)*M56/N56)&gt;=L56),MAX(Z56+(0),0)*M56,1000000000),IF(AND(MAX(Z56+(1),0)*M56&gt;0,Y56*INT(MAX(Z56+(1),0)*M56/M56)+2*INT(MAX(Z56+(1),0)*M56/N56)&gt;=L56),MAX(Z56+(1),0)*M56,1000000000),IF(AND(MAX(Z56+(2),0)*M56&gt;0,Y56*INT(MAX(Z56+(2),0)*M56/M56)+2*INT(MAX(Z56+(2),0)*M56/N56)&gt;=L56),MAX(Z56+(2),0)*M56,1000000000),IF(AND(MAX(AA56+(-1),0)*N56&gt;0,Y56*INT(MAX(AA56+(-1),0)*N56/M56)+2*INT(MAX(AA56+(-1),0)*N56/N56)&gt;=L56),MAX(AA56+(-1),0)*N56,1000000000),IF(AND(MAX(AA56+(0),0)*N56&gt;0,Y56*INT(MAX(AA56+(0),0)*N56/M56)+2*INT(MAX(AA56+(0),0)*N56/N56)&gt;=L56),MAX(AA56+(0),0)*N56,1000000000),IF(AND(MAX(AA56+(1),0)*N56&gt;0,Y56*INT(MAX(AA56+(1),0)*N56/M56)+2*INT(MAX(AA56+(1),0)*N56/N56)&gt;=L56),MAX(AA56+(1),0)*N56,1000000000),IF(AND(MAX(AA56+(2),0)*N56&gt;0,Y56*INT(MAX(AA56+(2),0)*N56/M56)+2*INT(MAX(AA56+(2),0)*N56/N56)&gt;=L56),MAX(AA56+(2),0)*N56,1000000000)))</f>
        <v>2615</v>
      </c>
      <c r="AC56" s="42" t="n">
        <f aca="false">IF(L56=0,0,MIN(T56,X56,AB56))</f>
        <v>2615</v>
      </c>
      <c r="AD56" s="15" t="n">
        <f aca="false">I56*INDEX(lg_bkg_3463,B56)</f>
        <v>2387.55008</v>
      </c>
      <c r="AE56" s="33" t="n">
        <f aca="false">I56*INDEX(lg_bvol_3463,B56)</f>
        <v>9.79056</v>
      </c>
    </row>
    <row r="57" customFormat="false" ht="15" hidden="false" customHeight="false" outlineLevel="0" collapsed="false">
      <c r="A57" s="9" t="n">
        <v>3</v>
      </c>
      <c r="B57" s="9" t="n">
        <v>3</v>
      </c>
      <c r="C57" s="9" t="s">
        <v>17</v>
      </c>
      <c r="D57" s="10" t="n">
        <f aca="false">INDEX(cfg_ct,A57)</f>
        <v>1</v>
      </c>
      <c r="E57" s="10" t="n">
        <f aca="false">INDEX(cfg_n,A57)</f>
        <v>2</v>
      </c>
      <c r="F57" s="15" t="n">
        <f aca="false">INDEX(cfg_u_3460,A57,B57)</f>
        <v>20000</v>
      </c>
      <c r="G57" s="15" t="n">
        <f aca="false">F57/E57</f>
        <v>10000</v>
      </c>
      <c r="H57" s="10" t="n">
        <f aca="false">INDEX(lg_n_3460,B57)</f>
        <v>50</v>
      </c>
      <c r="I57" s="15" t="n">
        <f aca="false">ROUNDUP(G57/H57,0)</f>
        <v>200</v>
      </c>
      <c r="J57" s="10" t="n">
        <f aca="false">INDEX(lg_layers_3460_20GP,B57)</f>
        <v>25</v>
      </c>
      <c r="K57" s="26" t="n">
        <f aca="false">INDEX(in_use_efficiency,1,B57)</f>
        <v>0.9</v>
      </c>
      <c r="L57" s="10" t="n">
        <f aca="false">IF(I57=0,0,ROUNDUP(I57/(K57*J57)-0.000000001,0))</f>
        <v>9</v>
      </c>
      <c r="M57" s="10" t="n">
        <f aca="false">INDEX(lg_a_3460,B57)</f>
        <v>840</v>
      </c>
      <c r="N57" s="10" t="n">
        <f aca="false">INDEX(lg_b_3460,B57)</f>
        <v>423</v>
      </c>
      <c r="O57" s="10" t="n">
        <f aca="false">INDEX(lg_Wu_20GP,B57)</f>
        <v>2330</v>
      </c>
      <c r="P57" s="10" t="n">
        <f aca="false">INDEX(lg_Lu_20GP,B57)</f>
        <v>5800</v>
      </c>
      <c r="Q57" s="10" t="n">
        <f aca="false">IF(O57-0*M57&gt;=0,INT((O57-0*M57)/N57),-1)</f>
        <v>5</v>
      </c>
      <c r="R57" s="10" t="n">
        <f aca="false">IF(AND(Q57&gt;=0,Q57+0&gt;0),ROUNDUP(L57/(Q57+0*M57/N57),0),0)</f>
        <v>2</v>
      </c>
      <c r="S57" s="10" t="n">
        <f aca="false">IF(AND(Q57&gt;=0,Q57+0&gt;0),ROUNDUP(L57/(Q57*N57/M57+0),0),0)</f>
        <v>4</v>
      </c>
      <c r="T57" s="10" t="n">
        <f aca="false">IF(OR(Q57&lt;0,Q57+0=0),1000000000,MIN(IF(AND(MAX(R57+(-1),0)*M57&gt;0,Q57*INT(MAX(R57+(-1),0)*M57/M57)+0*INT(MAX(R57+(-1),0)*M57/N57)&gt;=L57),MAX(R57+(-1),0)*M57,1000000000),IF(AND(MAX(R57+(0),0)*M57&gt;0,Q57*INT(MAX(R57+(0),0)*M57/M57)+0*INT(MAX(R57+(0),0)*M57/N57)&gt;=L57),MAX(R57+(0),0)*M57,1000000000),IF(AND(MAX(R57+(1),0)*M57&gt;0,Q57*INT(MAX(R57+(1),0)*M57/M57)+0*INT(MAX(R57+(1),0)*M57/N57)&gt;=L57),MAX(R57+(1),0)*M57,1000000000),IF(AND(MAX(R57+(2),0)*M57&gt;0,Q57*INT(MAX(R57+(2),0)*M57/M57)+0*INT(MAX(R57+(2),0)*M57/N57)&gt;=L57),MAX(R57+(2),0)*M57,1000000000),IF(AND(MAX(S57+(-1),0)*N57&gt;0,Q57*INT(MAX(S57+(-1),0)*N57/M57)+0*INT(MAX(S57+(-1),0)*N57/N57)&gt;=L57),MAX(S57+(-1),0)*N57,1000000000),IF(AND(MAX(S57+(0),0)*N57&gt;0,Q57*INT(MAX(S57+(0),0)*N57/M57)+0*INT(MAX(S57+(0),0)*N57/N57)&gt;=L57),MAX(S57+(0),0)*N57,1000000000),IF(AND(MAX(S57+(1),0)*N57&gt;0,Q57*INT(MAX(S57+(1),0)*N57/M57)+0*INT(MAX(S57+(1),0)*N57/N57)&gt;=L57),MAX(S57+(1),0)*N57,1000000000),IF(AND(MAX(S57+(2),0)*N57&gt;0,Q57*INT(MAX(S57+(2),0)*N57/M57)+0*INT(MAX(S57+(2),0)*N57/N57)&gt;=L57),MAX(S57+(2),0)*N57,1000000000)))</f>
        <v>1680</v>
      </c>
      <c r="U57" s="10" t="n">
        <f aca="false">IF(O57-1*M57&gt;=0,INT((O57-1*M57)/N57),-1)</f>
        <v>3</v>
      </c>
      <c r="V57" s="10" t="n">
        <f aca="false">IF(AND(U57&gt;=0,U57+1&gt;0),ROUNDUP(L57/(U57+1*M57/N57),0),0)</f>
        <v>2</v>
      </c>
      <c r="W57" s="10" t="n">
        <f aca="false">IF(AND(U57&gt;=0,U57+1&gt;0),ROUNDUP(L57/(U57*N57/M57+1),0),0)</f>
        <v>4</v>
      </c>
      <c r="X57" s="10" t="n">
        <f aca="false">IF(OR(U57&lt;0,U57+1=0),1000000000,MIN(IF(AND(MAX(V57+(-1),0)*M57&gt;0,U57*INT(MAX(V57+(-1),0)*M57/M57)+1*INT(MAX(V57+(-1),0)*M57/N57)&gt;=L57),MAX(V57+(-1),0)*M57,1000000000),IF(AND(MAX(V57+(0),0)*M57&gt;0,U57*INT(MAX(V57+(0),0)*M57/M57)+1*INT(MAX(V57+(0),0)*M57/N57)&gt;=L57),MAX(V57+(0),0)*M57,1000000000),IF(AND(MAX(V57+(1),0)*M57&gt;0,U57*INT(MAX(V57+(1),0)*M57/M57)+1*INT(MAX(V57+(1),0)*M57/N57)&gt;=L57),MAX(V57+(1),0)*M57,1000000000),IF(AND(MAX(V57+(2),0)*M57&gt;0,U57*INT(MAX(V57+(2),0)*M57/M57)+1*INT(MAX(V57+(2),0)*M57/N57)&gt;=L57),MAX(V57+(2),0)*M57,1000000000),IF(AND(MAX(W57+(-1),0)*N57&gt;0,U57*INT(MAX(W57+(-1),0)*N57/M57)+1*INT(MAX(W57+(-1),0)*N57/N57)&gt;=L57),MAX(W57+(-1),0)*N57,1000000000),IF(AND(MAX(W57+(0),0)*N57&gt;0,U57*INT(MAX(W57+(0),0)*N57/M57)+1*INT(MAX(W57+(0),0)*N57/N57)&gt;=L57),MAX(W57+(0),0)*N57,1000000000),IF(AND(MAX(W57+(1),0)*N57&gt;0,U57*INT(MAX(W57+(1),0)*N57/M57)+1*INT(MAX(W57+(1),0)*N57/N57)&gt;=L57),MAX(W57+(1),0)*N57,1000000000),IF(AND(MAX(W57+(2),0)*N57&gt;0,U57*INT(MAX(W57+(2),0)*N57/M57)+1*INT(MAX(W57+(2),0)*N57/N57)&gt;=L57),MAX(W57+(2),0)*N57,1000000000)))</f>
        <v>1680</v>
      </c>
      <c r="Y57" s="10" t="n">
        <f aca="false">IF(O57-2*M57&gt;=0,INT((O57-2*M57)/N57),-1)</f>
        <v>1</v>
      </c>
      <c r="Z57" s="10" t="n">
        <f aca="false">IF(AND(Y57&gt;=0,Y57+2&gt;0),ROUNDUP(L57/(Y57+2*M57/N57),0),0)</f>
        <v>2</v>
      </c>
      <c r="AA57" s="10" t="n">
        <f aca="false">IF(AND(Y57&gt;=0,Y57+2&gt;0),ROUNDUP(L57/(Y57*N57/M57+2),0),0)</f>
        <v>4</v>
      </c>
      <c r="AB57" s="10" t="n">
        <f aca="false">IF(OR(Y57&lt;0,Y57+2=0),1000000000,MIN(IF(AND(MAX(Z57+(-1),0)*M57&gt;0,Y57*INT(MAX(Z57+(-1),0)*M57/M57)+2*INT(MAX(Z57+(-1),0)*M57/N57)&gt;=L57),MAX(Z57+(-1),0)*M57,1000000000),IF(AND(MAX(Z57+(0),0)*M57&gt;0,Y57*INT(MAX(Z57+(0),0)*M57/M57)+2*INT(MAX(Z57+(0),0)*M57/N57)&gt;=L57),MAX(Z57+(0),0)*M57,1000000000),IF(AND(MAX(Z57+(1),0)*M57&gt;0,Y57*INT(MAX(Z57+(1),0)*M57/M57)+2*INT(MAX(Z57+(1),0)*M57/N57)&gt;=L57),MAX(Z57+(1),0)*M57,1000000000),IF(AND(MAX(Z57+(2),0)*M57&gt;0,Y57*INT(MAX(Z57+(2),0)*M57/M57)+2*INT(MAX(Z57+(2),0)*M57/N57)&gt;=L57),MAX(Z57+(2),0)*M57,1000000000),IF(AND(MAX(AA57+(-1),0)*N57&gt;0,Y57*INT(MAX(AA57+(-1),0)*N57/M57)+2*INT(MAX(AA57+(-1),0)*N57/N57)&gt;=L57),MAX(AA57+(-1),0)*N57,1000000000),IF(AND(MAX(AA57+(0),0)*N57&gt;0,Y57*INT(MAX(AA57+(0),0)*N57/M57)+2*INT(MAX(AA57+(0),0)*N57/N57)&gt;=L57),MAX(AA57+(0),0)*N57,1000000000),IF(AND(MAX(AA57+(1),0)*N57&gt;0,Y57*INT(MAX(AA57+(1),0)*N57/M57)+2*INT(MAX(AA57+(1),0)*N57/N57)&gt;=L57),MAX(AA57+(1),0)*N57,1000000000),IF(AND(MAX(AA57+(2),0)*N57&gt;0,Y57*INT(MAX(AA57+(2),0)*N57/M57)+2*INT(MAX(AA57+(2),0)*N57/N57)&gt;=L57),MAX(AA57+(2),0)*N57,1000000000)))</f>
        <v>1692</v>
      </c>
      <c r="AC57" s="42" t="n">
        <f aca="false">IF(L57=0,0,MIN(T57,X57,AB57))</f>
        <v>1680</v>
      </c>
      <c r="AD57" s="15" t="n">
        <f aca="false">I57*INDEX(lg_bkg_3460,B57)</f>
        <v>1561.31648</v>
      </c>
      <c r="AE57" s="33" t="n">
        <f aca="false">I57*INDEX(lg_bvol_3460,B57)</f>
        <v>6.39576</v>
      </c>
    </row>
    <row r="58" customFormat="false" ht="15" hidden="false" customHeight="false" outlineLevel="0" collapsed="false">
      <c r="A58" s="9" t="n">
        <v>4</v>
      </c>
      <c r="B58" s="9" t="n">
        <v>1</v>
      </c>
      <c r="C58" s="9" t="s">
        <v>15</v>
      </c>
      <c r="D58" s="10" t="n">
        <f aca="false">INDEX(cfg_ct,A58)</f>
        <v>3</v>
      </c>
      <c r="E58" s="10" t="n">
        <f aca="false">INDEX(cfg_n,A58)</f>
        <v>1</v>
      </c>
      <c r="F58" s="15" t="n">
        <f aca="false">INDEX(cfg_u_3464,A58,B58)</f>
        <v>28000</v>
      </c>
      <c r="G58" s="15" t="n">
        <f aca="false">F58/E58</f>
        <v>28000</v>
      </c>
      <c r="H58" s="10" t="n">
        <f aca="false">INDEX(lg_n_3464,B58)</f>
        <v>50</v>
      </c>
      <c r="I58" s="15" t="n">
        <f aca="false">ROUNDUP(G58/H58,0)</f>
        <v>560</v>
      </c>
      <c r="J58" s="10" t="n">
        <f aca="false">INDEX(lg_layers_3464_40HC,B58)</f>
        <v>34</v>
      </c>
      <c r="K58" s="26" t="n">
        <f aca="false">INDEX(in_use_efficiency,1,B58)</f>
        <v>0.97</v>
      </c>
      <c r="L58" s="10" t="n">
        <f aca="false">IF(I58=0,0,ROUNDUP(I58/(K58*J58)-0.000000001,0))</f>
        <v>17</v>
      </c>
      <c r="M58" s="10" t="n">
        <f aca="false">INDEX(lg_a_3464,B58)</f>
        <v>940</v>
      </c>
      <c r="N58" s="10" t="n">
        <f aca="false">INDEX(lg_b_3464,B58)</f>
        <v>473</v>
      </c>
      <c r="O58" s="10" t="n">
        <f aca="false">INDEX(lg_Wu_40HC,B58)</f>
        <v>2330</v>
      </c>
      <c r="P58" s="10" t="n">
        <f aca="false">INDEX(lg_Lu_40HC,B58)</f>
        <v>11930</v>
      </c>
      <c r="Q58" s="10" t="n">
        <f aca="false">IF(O58-0*M58&gt;=0,INT((O58-0*M58)/N58),-1)</f>
        <v>4</v>
      </c>
      <c r="R58" s="10" t="n">
        <f aca="false">IF(AND(Q58&gt;=0,Q58+0&gt;0),ROUNDUP(L58/(Q58+0*M58/N58),0),0)</f>
        <v>5</v>
      </c>
      <c r="S58" s="10" t="n">
        <f aca="false">IF(AND(Q58&gt;=0,Q58+0&gt;0),ROUNDUP(L58/(Q58*N58/M58+0),0),0)</f>
        <v>9</v>
      </c>
      <c r="T58" s="10" t="n">
        <f aca="false">IF(OR(Q58&lt;0,Q58+0=0),1000000000,MIN(IF(AND(MAX(R58+(-1),0)*M58&gt;0,Q58*INT(MAX(R58+(-1),0)*M58/M58)+0*INT(MAX(R58+(-1),0)*M58/N58)&gt;=L58),MAX(R58+(-1),0)*M58,1000000000),IF(AND(MAX(R58+(0),0)*M58&gt;0,Q58*INT(MAX(R58+(0),0)*M58/M58)+0*INT(MAX(R58+(0),0)*M58/N58)&gt;=L58),MAX(R58+(0),0)*M58,1000000000),IF(AND(MAX(R58+(1),0)*M58&gt;0,Q58*INT(MAX(R58+(1),0)*M58/M58)+0*INT(MAX(R58+(1),0)*M58/N58)&gt;=L58),MAX(R58+(1),0)*M58,1000000000),IF(AND(MAX(R58+(2),0)*M58&gt;0,Q58*INT(MAX(R58+(2),0)*M58/M58)+0*INT(MAX(R58+(2),0)*M58/N58)&gt;=L58),MAX(R58+(2),0)*M58,1000000000),IF(AND(MAX(S58+(-1),0)*N58&gt;0,Q58*INT(MAX(S58+(-1),0)*N58/M58)+0*INT(MAX(S58+(-1),0)*N58/N58)&gt;=L58),MAX(S58+(-1),0)*N58,1000000000),IF(AND(MAX(S58+(0),0)*N58&gt;0,Q58*INT(MAX(S58+(0),0)*N58/M58)+0*INT(MAX(S58+(0),0)*N58/N58)&gt;=L58),MAX(S58+(0),0)*N58,1000000000),IF(AND(MAX(S58+(1),0)*N58&gt;0,Q58*INT(MAX(S58+(1),0)*N58/M58)+0*INT(MAX(S58+(1),0)*N58/N58)&gt;=L58),MAX(S58+(1),0)*N58,1000000000),IF(AND(MAX(S58+(2),0)*N58&gt;0,Q58*INT(MAX(S58+(2),0)*N58/M58)+0*INT(MAX(S58+(2),0)*N58/N58)&gt;=L58),MAX(S58+(2),0)*N58,1000000000)))</f>
        <v>4700</v>
      </c>
      <c r="U58" s="10" t="n">
        <f aca="false">IF(O58-1*M58&gt;=0,INT((O58-1*M58)/N58),-1)</f>
        <v>2</v>
      </c>
      <c r="V58" s="10" t="n">
        <f aca="false">IF(AND(U58&gt;=0,U58+1&gt;0),ROUNDUP(L58/(U58+1*M58/N58),0),0)</f>
        <v>5</v>
      </c>
      <c r="W58" s="10" t="n">
        <f aca="false">IF(AND(U58&gt;=0,U58+1&gt;0),ROUNDUP(L58/(U58*N58/M58+1),0),0)</f>
        <v>9</v>
      </c>
      <c r="X58" s="10" t="n">
        <f aca="false">IF(OR(U58&lt;0,U58+1=0),1000000000,MIN(IF(AND(MAX(V58+(-1),0)*M58&gt;0,U58*INT(MAX(V58+(-1),0)*M58/M58)+1*INT(MAX(V58+(-1),0)*M58/N58)&gt;=L58),MAX(V58+(-1),0)*M58,1000000000),IF(AND(MAX(V58+(0),0)*M58&gt;0,U58*INT(MAX(V58+(0),0)*M58/M58)+1*INT(MAX(V58+(0),0)*M58/N58)&gt;=L58),MAX(V58+(0),0)*M58,1000000000),IF(AND(MAX(V58+(1),0)*M58&gt;0,U58*INT(MAX(V58+(1),0)*M58/M58)+1*INT(MAX(V58+(1),0)*M58/N58)&gt;=L58),MAX(V58+(1),0)*M58,1000000000),IF(AND(MAX(V58+(2),0)*M58&gt;0,U58*INT(MAX(V58+(2),0)*M58/M58)+1*INT(MAX(V58+(2),0)*M58/N58)&gt;=L58),MAX(V58+(2),0)*M58,1000000000),IF(AND(MAX(W58+(-1),0)*N58&gt;0,U58*INT(MAX(W58+(-1),0)*N58/M58)+1*INT(MAX(W58+(-1),0)*N58/N58)&gt;=L58),MAX(W58+(-1),0)*N58,1000000000),IF(AND(MAX(W58+(0),0)*N58&gt;0,U58*INT(MAX(W58+(0),0)*N58/M58)+1*INT(MAX(W58+(0),0)*N58/N58)&gt;=L58),MAX(W58+(0),0)*N58,1000000000),IF(AND(MAX(W58+(1),0)*N58&gt;0,U58*INT(MAX(W58+(1),0)*N58/M58)+1*INT(MAX(W58+(1),0)*N58/N58)&gt;=L58),MAX(W58+(1),0)*N58,1000000000),IF(AND(MAX(W58+(2),0)*N58&gt;0,U58*INT(MAX(W58+(2),0)*N58/M58)+1*INT(MAX(W58+(2),0)*N58/N58)&gt;=L58),MAX(W58+(2),0)*N58,1000000000)))</f>
        <v>4257</v>
      </c>
      <c r="Y58" s="10" t="n">
        <f aca="false">IF(O58-2*M58&gt;=0,INT((O58-2*M58)/N58),-1)</f>
        <v>0</v>
      </c>
      <c r="Z58" s="10" t="n">
        <f aca="false">IF(AND(Y58&gt;=0,Y58+2&gt;0),ROUNDUP(L58/(Y58+2*M58/N58),0),0)</f>
        <v>5</v>
      </c>
      <c r="AA58" s="10" t="n">
        <f aca="false">IF(AND(Y58&gt;=0,Y58+2&gt;0),ROUNDUP(L58/(Y58*N58/M58+2),0),0)</f>
        <v>9</v>
      </c>
      <c r="AB58" s="10" t="n">
        <f aca="false">IF(OR(Y58&lt;0,Y58+2=0),1000000000,MIN(IF(AND(MAX(Z58+(-1),0)*M58&gt;0,Y58*INT(MAX(Z58+(-1),0)*M58/M58)+2*INT(MAX(Z58+(-1),0)*M58/N58)&gt;=L58),MAX(Z58+(-1),0)*M58,1000000000),IF(AND(MAX(Z58+(0),0)*M58&gt;0,Y58*INT(MAX(Z58+(0),0)*M58/M58)+2*INT(MAX(Z58+(0),0)*M58/N58)&gt;=L58),MAX(Z58+(0),0)*M58,1000000000),IF(AND(MAX(Z58+(1),0)*M58&gt;0,Y58*INT(MAX(Z58+(1),0)*M58/M58)+2*INT(MAX(Z58+(1),0)*M58/N58)&gt;=L58),MAX(Z58+(1),0)*M58,1000000000),IF(AND(MAX(Z58+(2),0)*M58&gt;0,Y58*INT(MAX(Z58+(2),0)*M58/M58)+2*INT(MAX(Z58+(2),0)*M58/N58)&gt;=L58),MAX(Z58+(2),0)*M58,1000000000),IF(AND(MAX(AA58+(-1),0)*N58&gt;0,Y58*INT(MAX(AA58+(-1),0)*N58/M58)+2*INT(MAX(AA58+(-1),0)*N58/N58)&gt;=L58),MAX(AA58+(-1),0)*N58,1000000000),IF(AND(MAX(AA58+(0),0)*N58&gt;0,Y58*INT(MAX(AA58+(0),0)*N58/M58)+2*INT(MAX(AA58+(0),0)*N58/N58)&gt;=L58),MAX(AA58+(0),0)*N58,1000000000),IF(AND(MAX(AA58+(1),0)*N58&gt;0,Y58*INT(MAX(AA58+(1),0)*N58/M58)+2*INT(MAX(AA58+(1),0)*N58/N58)&gt;=L58),MAX(AA58+(1),0)*N58,1000000000),IF(AND(MAX(AA58+(2),0)*N58&gt;0,Y58*INT(MAX(AA58+(2),0)*N58/M58)+2*INT(MAX(AA58+(2),0)*N58/N58)&gt;=L58),MAX(AA58+(2),0)*N58,1000000000)))</f>
        <v>4257</v>
      </c>
      <c r="AC58" s="42" t="n">
        <f aca="false">IF(L58=0,0,MIN(T58,X58,AB58))</f>
        <v>4257</v>
      </c>
      <c r="AD58" s="15" t="n">
        <f aca="false">I58*INDEX(lg_bkg_3464,B58)</f>
        <v>4564.82432</v>
      </c>
      <c r="AE58" s="33" t="n">
        <f aca="false">I58*INDEX(lg_bvol_3464,B58)</f>
        <v>18.67404</v>
      </c>
    </row>
    <row r="59" customFormat="false" ht="15" hidden="false" customHeight="false" outlineLevel="0" collapsed="false">
      <c r="A59" s="9" t="n">
        <v>4</v>
      </c>
      <c r="B59" s="9" t="n">
        <v>1</v>
      </c>
      <c r="C59" s="9" t="s">
        <v>16</v>
      </c>
      <c r="D59" s="10" t="n">
        <f aca="false">INDEX(cfg_ct,A59)</f>
        <v>3</v>
      </c>
      <c r="E59" s="10" t="n">
        <f aca="false">INDEX(cfg_n,A59)</f>
        <v>1</v>
      </c>
      <c r="F59" s="15" t="n">
        <f aca="false">INDEX(cfg_u_3463,A59,B59)</f>
        <v>28000</v>
      </c>
      <c r="G59" s="15" t="n">
        <f aca="false">F59/E59</f>
        <v>28000</v>
      </c>
      <c r="H59" s="10" t="n">
        <f aca="false">INDEX(lg_n_3463,B59)</f>
        <v>50</v>
      </c>
      <c r="I59" s="15" t="n">
        <f aca="false">ROUNDUP(G59/H59,0)</f>
        <v>560</v>
      </c>
      <c r="J59" s="10" t="n">
        <f aca="false">INDEX(lg_layers_3463_40HC,B59)</f>
        <v>34</v>
      </c>
      <c r="K59" s="26" t="n">
        <f aca="false">INDEX(in_use_efficiency,1,B59)</f>
        <v>0.97</v>
      </c>
      <c r="L59" s="10" t="n">
        <f aca="false">IF(I59=0,0,ROUNDUP(I59/(K59*J59)-0.000000001,0))</f>
        <v>17</v>
      </c>
      <c r="M59" s="10" t="n">
        <f aca="false">INDEX(lg_a_3463,B59)</f>
        <v>1040</v>
      </c>
      <c r="N59" s="10" t="n">
        <f aca="false">INDEX(lg_b_3463,B59)</f>
        <v>523</v>
      </c>
      <c r="O59" s="10" t="n">
        <f aca="false">INDEX(lg_Wu_40HC,B59)</f>
        <v>2330</v>
      </c>
      <c r="P59" s="10" t="n">
        <f aca="false">INDEX(lg_Lu_40HC,B59)</f>
        <v>11930</v>
      </c>
      <c r="Q59" s="10" t="n">
        <f aca="false">IF(O59-0*M59&gt;=0,INT((O59-0*M59)/N59),-1)</f>
        <v>4</v>
      </c>
      <c r="R59" s="10" t="n">
        <f aca="false">IF(AND(Q59&gt;=0,Q59+0&gt;0),ROUNDUP(L59/(Q59+0*M59/N59),0),0)</f>
        <v>5</v>
      </c>
      <c r="S59" s="10" t="n">
        <f aca="false">IF(AND(Q59&gt;=0,Q59+0&gt;0),ROUNDUP(L59/(Q59*N59/M59+0),0),0)</f>
        <v>9</v>
      </c>
      <c r="T59" s="10" t="n">
        <f aca="false">IF(OR(Q59&lt;0,Q59+0=0),1000000000,MIN(IF(AND(MAX(R59+(-1),0)*M59&gt;0,Q59*INT(MAX(R59+(-1),0)*M59/M59)+0*INT(MAX(R59+(-1),0)*M59/N59)&gt;=L59),MAX(R59+(-1),0)*M59,1000000000),IF(AND(MAX(R59+(0),0)*M59&gt;0,Q59*INT(MAX(R59+(0),0)*M59/M59)+0*INT(MAX(R59+(0),0)*M59/N59)&gt;=L59),MAX(R59+(0),0)*M59,1000000000),IF(AND(MAX(R59+(1),0)*M59&gt;0,Q59*INT(MAX(R59+(1),0)*M59/M59)+0*INT(MAX(R59+(1),0)*M59/N59)&gt;=L59),MAX(R59+(1),0)*M59,1000000000),IF(AND(MAX(R59+(2),0)*M59&gt;0,Q59*INT(MAX(R59+(2),0)*M59/M59)+0*INT(MAX(R59+(2),0)*M59/N59)&gt;=L59),MAX(R59+(2),0)*M59,1000000000),IF(AND(MAX(S59+(-1),0)*N59&gt;0,Q59*INT(MAX(S59+(-1),0)*N59/M59)+0*INT(MAX(S59+(-1),0)*N59/N59)&gt;=L59),MAX(S59+(-1),0)*N59,1000000000),IF(AND(MAX(S59+(0),0)*N59&gt;0,Q59*INT(MAX(S59+(0),0)*N59/M59)+0*INT(MAX(S59+(0),0)*N59/N59)&gt;=L59),MAX(S59+(0),0)*N59,1000000000),IF(AND(MAX(S59+(1),0)*N59&gt;0,Q59*INT(MAX(S59+(1),0)*N59/M59)+0*INT(MAX(S59+(1),0)*N59/N59)&gt;=L59),MAX(S59+(1),0)*N59,1000000000),IF(AND(MAX(S59+(2),0)*N59&gt;0,Q59*INT(MAX(S59+(2),0)*N59/M59)+0*INT(MAX(S59+(2),0)*N59/N59)&gt;=L59),MAX(S59+(2),0)*N59,1000000000)))</f>
        <v>5200</v>
      </c>
      <c r="U59" s="10" t="n">
        <f aca="false">IF(O59-1*M59&gt;=0,INT((O59-1*M59)/N59),-1)</f>
        <v>2</v>
      </c>
      <c r="V59" s="10" t="n">
        <f aca="false">IF(AND(U59&gt;=0,U59+1&gt;0),ROUNDUP(L59/(U59+1*M59/N59),0),0)</f>
        <v>5</v>
      </c>
      <c r="W59" s="10" t="n">
        <f aca="false">IF(AND(U59&gt;=0,U59+1&gt;0),ROUNDUP(L59/(U59*N59/M59+1),0),0)</f>
        <v>9</v>
      </c>
      <c r="X59" s="10" t="n">
        <f aca="false">IF(OR(U59&lt;0,U59+1=0),1000000000,MIN(IF(AND(MAX(V59+(-1),0)*M59&gt;0,U59*INT(MAX(V59+(-1),0)*M59/M59)+1*INT(MAX(V59+(-1),0)*M59/N59)&gt;=L59),MAX(V59+(-1),0)*M59,1000000000),IF(AND(MAX(V59+(0),0)*M59&gt;0,U59*INT(MAX(V59+(0),0)*M59/M59)+1*INT(MAX(V59+(0),0)*M59/N59)&gt;=L59),MAX(V59+(0),0)*M59,1000000000),IF(AND(MAX(V59+(1),0)*M59&gt;0,U59*INT(MAX(V59+(1),0)*M59/M59)+1*INT(MAX(V59+(1),0)*M59/N59)&gt;=L59),MAX(V59+(1),0)*M59,1000000000),IF(AND(MAX(V59+(2),0)*M59&gt;0,U59*INT(MAX(V59+(2),0)*M59/M59)+1*INT(MAX(V59+(2),0)*M59/N59)&gt;=L59),MAX(V59+(2),0)*M59,1000000000),IF(AND(MAX(W59+(-1),0)*N59&gt;0,U59*INT(MAX(W59+(-1),0)*N59/M59)+1*INT(MAX(W59+(-1),0)*N59/N59)&gt;=L59),MAX(W59+(-1),0)*N59,1000000000),IF(AND(MAX(W59+(0),0)*N59&gt;0,U59*INT(MAX(W59+(0),0)*N59/M59)+1*INT(MAX(W59+(0),0)*N59/N59)&gt;=L59),MAX(W59+(0),0)*N59,1000000000),IF(AND(MAX(W59+(1),0)*N59&gt;0,U59*INT(MAX(W59+(1),0)*N59/M59)+1*INT(MAX(W59+(1),0)*N59/N59)&gt;=L59),MAX(W59+(1),0)*N59,1000000000),IF(AND(MAX(W59+(2),0)*N59&gt;0,U59*INT(MAX(W59+(2),0)*N59/M59)+1*INT(MAX(W59+(2),0)*N59/N59)&gt;=L59),MAX(W59+(2),0)*N59,1000000000)))</f>
        <v>4707</v>
      </c>
      <c r="Y59" s="10" t="n">
        <f aca="false">IF(O59-2*M59&gt;=0,INT((O59-2*M59)/N59),-1)</f>
        <v>0</v>
      </c>
      <c r="Z59" s="10" t="n">
        <f aca="false">IF(AND(Y59&gt;=0,Y59+2&gt;0),ROUNDUP(L59/(Y59+2*M59/N59),0),0)</f>
        <v>5</v>
      </c>
      <c r="AA59" s="10" t="n">
        <f aca="false">IF(AND(Y59&gt;=0,Y59+2&gt;0),ROUNDUP(L59/(Y59*N59/M59+2),0),0)</f>
        <v>9</v>
      </c>
      <c r="AB59" s="10" t="n">
        <f aca="false">IF(OR(Y59&lt;0,Y59+2=0),1000000000,MIN(IF(AND(MAX(Z59+(-1),0)*M59&gt;0,Y59*INT(MAX(Z59+(-1),0)*M59/M59)+2*INT(MAX(Z59+(-1),0)*M59/N59)&gt;=L59),MAX(Z59+(-1),0)*M59,1000000000),IF(AND(MAX(Z59+(0),0)*M59&gt;0,Y59*INT(MAX(Z59+(0),0)*M59/M59)+2*INT(MAX(Z59+(0),0)*M59/N59)&gt;=L59),MAX(Z59+(0),0)*M59,1000000000),IF(AND(MAX(Z59+(1),0)*M59&gt;0,Y59*INT(MAX(Z59+(1),0)*M59/M59)+2*INT(MAX(Z59+(1),0)*M59/N59)&gt;=L59),MAX(Z59+(1),0)*M59,1000000000),IF(AND(MAX(Z59+(2),0)*M59&gt;0,Y59*INT(MAX(Z59+(2),0)*M59/M59)+2*INT(MAX(Z59+(2),0)*M59/N59)&gt;=L59),MAX(Z59+(2),0)*M59,1000000000),IF(AND(MAX(AA59+(-1),0)*N59&gt;0,Y59*INT(MAX(AA59+(-1),0)*N59/M59)+2*INT(MAX(AA59+(-1),0)*N59/N59)&gt;=L59),MAX(AA59+(-1),0)*N59,1000000000),IF(AND(MAX(AA59+(0),0)*N59&gt;0,Y59*INT(MAX(AA59+(0),0)*N59/M59)+2*INT(MAX(AA59+(0),0)*N59/N59)&gt;=L59),MAX(AA59+(0),0)*N59,1000000000),IF(AND(MAX(AA59+(1),0)*N59&gt;0,Y59*INT(MAX(AA59+(1),0)*N59/M59)+2*INT(MAX(AA59+(1),0)*N59/N59)&gt;=L59),MAX(AA59+(1),0)*N59,1000000000),IF(AND(MAX(AA59+(2),0)*N59&gt;0,Y59*INT(MAX(AA59+(2),0)*N59/M59)+2*INT(MAX(AA59+(2),0)*N59/N59)&gt;=L59),MAX(AA59+(2),0)*N59,1000000000)))</f>
        <v>4707</v>
      </c>
      <c r="AC59" s="42" t="n">
        <f aca="false">IF(L59=0,0,MIN(T59,X59,AB59))</f>
        <v>4707</v>
      </c>
      <c r="AD59" s="15" t="n">
        <f aca="false">I59*INDEX(lg_bkg_3463,B59)</f>
        <v>5580.28352</v>
      </c>
      <c r="AE59" s="33" t="n">
        <f aca="false">I59*INDEX(lg_bvol_3463,B59)</f>
        <v>22.84464</v>
      </c>
    </row>
    <row r="60" customFormat="false" ht="15" hidden="false" customHeight="false" outlineLevel="0" collapsed="false">
      <c r="A60" s="9" t="n">
        <v>4</v>
      </c>
      <c r="B60" s="9" t="n">
        <v>1</v>
      </c>
      <c r="C60" s="9" t="s">
        <v>17</v>
      </c>
      <c r="D60" s="10" t="n">
        <f aca="false">INDEX(cfg_ct,A60)</f>
        <v>3</v>
      </c>
      <c r="E60" s="10" t="n">
        <f aca="false">INDEX(cfg_n,A60)</f>
        <v>1</v>
      </c>
      <c r="F60" s="15" t="n">
        <f aca="false">INDEX(cfg_u_3460,A60,B60)</f>
        <v>28000</v>
      </c>
      <c r="G60" s="15" t="n">
        <f aca="false">F60/E60</f>
        <v>28000</v>
      </c>
      <c r="H60" s="10" t="n">
        <f aca="false">INDEX(lg_n_3460,B60)</f>
        <v>50</v>
      </c>
      <c r="I60" s="15" t="n">
        <f aca="false">ROUNDUP(G60/H60,0)</f>
        <v>560</v>
      </c>
      <c r="J60" s="10" t="n">
        <f aca="false">INDEX(lg_layers_3460_40HC,B60)</f>
        <v>34</v>
      </c>
      <c r="K60" s="26" t="n">
        <f aca="false">INDEX(in_use_efficiency,1,B60)</f>
        <v>0.97</v>
      </c>
      <c r="L60" s="10" t="n">
        <f aca="false">IF(I60=0,0,ROUNDUP(I60/(K60*J60)-0.000000001,0))</f>
        <v>17</v>
      </c>
      <c r="M60" s="10" t="n">
        <f aca="false">INDEX(lg_a_3460,B60)</f>
        <v>840</v>
      </c>
      <c r="N60" s="10" t="n">
        <f aca="false">INDEX(lg_b_3460,B60)</f>
        <v>423</v>
      </c>
      <c r="O60" s="10" t="n">
        <f aca="false">INDEX(lg_Wu_40HC,B60)</f>
        <v>2330</v>
      </c>
      <c r="P60" s="10" t="n">
        <f aca="false">INDEX(lg_Lu_40HC,B60)</f>
        <v>11930</v>
      </c>
      <c r="Q60" s="10" t="n">
        <f aca="false">IF(O60-0*M60&gt;=0,INT((O60-0*M60)/N60),-1)</f>
        <v>5</v>
      </c>
      <c r="R60" s="10" t="n">
        <f aca="false">IF(AND(Q60&gt;=0,Q60+0&gt;0),ROUNDUP(L60/(Q60+0*M60/N60),0),0)</f>
        <v>4</v>
      </c>
      <c r="S60" s="10" t="n">
        <f aca="false">IF(AND(Q60&gt;=0,Q60+0&gt;0),ROUNDUP(L60/(Q60*N60/M60+0),0),0)</f>
        <v>7</v>
      </c>
      <c r="T60" s="10" t="n">
        <f aca="false">IF(OR(Q60&lt;0,Q60+0=0),1000000000,MIN(IF(AND(MAX(R60+(-1),0)*M60&gt;0,Q60*INT(MAX(R60+(-1),0)*M60/M60)+0*INT(MAX(R60+(-1),0)*M60/N60)&gt;=L60),MAX(R60+(-1),0)*M60,1000000000),IF(AND(MAX(R60+(0),0)*M60&gt;0,Q60*INT(MAX(R60+(0),0)*M60/M60)+0*INT(MAX(R60+(0),0)*M60/N60)&gt;=L60),MAX(R60+(0),0)*M60,1000000000),IF(AND(MAX(R60+(1),0)*M60&gt;0,Q60*INT(MAX(R60+(1),0)*M60/M60)+0*INT(MAX(R60+(1),0)*M60/N60)&gt;=L60),MAX(R60+(1),0)*M60,1000000000),IF(AND(MAX(R60+(2),0)*M60&gt;0,Q60*INT(MAX(R60+(2),0)*M60/M60)+0*INT(MAX(R60+(2),0)*M60/N60)&gt;=L60),MAX(R60+(2),0)*M60,1000000000),IF(AND(MAX(S60+(-1),0)*N60&gt;0,Q60*INT(MAX(S60+(-1),0)*N60/M60)+0*INT(MAX(S60+(-1),0)*N60/N60)&gt;=L60),MAX(S60+(-1),0)*N60,1000000000),IF(AND(MAX(S60+(0),0)*N60&gt;0,Q60*INT(MAX(S60+(0),0)*N60/M60)+0*INT(MAX(S60+(0),0)*N60/N60)&gt;=L60),MAX(S60+(0),0)*N60,1000000000),IF(AND(MAX(S60+(1),0)*N60&gt;0,Q60*INT(MAX(S60+(1),0)*N60/M60)+0*INT(MAX(S60+(1),0)*N60/N60)&gt;=L60),MAX(S60+(1),0)*N60,1000000000),IF(AND(MAX(S60+(2),0)*N60&gt;0,Q60*INT(MAX(S60+(2),0)*N60/M60)+0*INT(MAX(S60+(2),0)*N60/N60)&gt;=L60),MAX(S60+(2),0)*N60,1000000000)))</f>
        <v>3360</v>
      </c>
      <c r="U60" s="10" t="n">
        <f aca="false">IF(O60-1*M60&gt;=0,INT((O60-1*M60)/N60),-1)</f>
        <v>3</v>
      </c>
      <c r="V60" s="10" t="n">
        <f aca="false">IF(AND(U60&gt;=0,U60+1&gt;0),ROUNDUP(L60/(U60+1*M60/N60),0),0)</f>
        <v>4</v>
      </c>
      <c r="W60" s="10" t="n">
        <f aca="false">IF(AND(U60&gt;=0,U60+1&gt;0),ROUNDUP(L60/(U60*N60/M60+1),0),0)</f>
        <v>7</v>
      </c>
      <c r="X60" s="10" t="n">
        <f aca="false">IF(OR(U60&lt;0,U60+1=0),1000000000,MIN(IF(AND(MAX(V60+(-1),0)*M60&gt;0,U60*INT(MAX(V60+(-1),0)*M60/M60)+1*INT(MAX(V60+(-1),0)*M60/N60)&gt;=L60),MAX(V60+(-1),0)*M60,1000000000),IF(AND(MAX(V60+(0),0)*M60&gt;0,U60*INT(MAX(V60+(0),0)*M60/M60)+1*INT(MAX(V60+(0),0)*M60/N60)&gt;=L60),MAX(V60+(0),0)*M60,1000000000),IF(AND(MAX(V60+(1),0)*M60&gt;0,U60*INT(MAX(V60+(1),0)*M60/M60)+1*INT(MAX(V60+(1),0)*M60/N60)&gt;=L60),MAX(V60+(1),0)*M60,1000000000),IF(AND(MAX(V60+(2),0)*M60&gt;0,U60*INT(MAX(V60+(2),0)*M60/M60)+1*INT(MAX(V60+(2),0)*M60/N60)&gt;=L60),MAX(V60+(2),0)*M60,1000000000),IF(AND(MAX(W60+(-1),0)*N60&gt;0,U60*INT(MAX(W60+(-1),0)*N60/M60)+1*INT(MAX(W60+(-1),0)*N60/N60)&gt;=L60),MAX(W60+(-1),0)*N60,1000000000),IF(AND(MAX(W60+(0),0)*N60&gt;0,U60*INT(MAX(W60+(0),0)*N60/M60)+1*INT(MAX(W60+(0),0)*N60/N60)&gt;=L60),MAX(W60+(0),0)*N60,1000000000),IF(AND(MAX(W60+(1),0)*N60&gt;0,U60*INT(MAX(W60+(1),0)*N60/M60)+1*INT(MAX(W60+(1),0)*N60/N60)&gt;=L60),MAX(W60+(1),0)*N60,1000000000),IF(AND(MAX(W60+(2),0)*N60&gt;0,U60*INT(MAX(W60+(2),0)*N60/M60)+1*INT(MAX(W60+(2),0)*N60/N60)&gt;=L60),MAX(W60+(2),0)*N60,1000000000)))</f>
        <v>3360</v>
      </c>
      <c r="Y60" s="10" t="n">
        <f aca="false">IF(O60-2*M60&gt;=0,INT((O60-2*M60)/N60),-1)</f>
        <v>1</v>
      </c>
      <c r="Z60" s="10" t="n">
        <f aca="false">IF(AND(Y60&gt;=0,Y60+2&gt;0),ROUNDUP(L60/(Y60+2*M60/N60),0),0)</f>
        <v>4</v>
      </c>
      <c r="AA60" s="10" t="n">
        <f aca="false">IF(AND(Y60&gt;=0,Y60+2&gt;0),ROUNDUP(L60/(Y60*N60/M60+2),0),0)</f>
        <v>7</v>
      </c>
      <c r="AB60" s="10" t="n">
        <f aca="false">IF(OR(Y60&lt;0,Y60+2=0),1000000000,MIN(IF(AND(MAX(Z60+(-1),0)*M60&gt;0,Y60*INT(MAX(Z60+(-1),0)*M60/M60)+2*INT(MAX(Z60+(-1),0)*M60/N60)&gt;=L60),MAX(Z60+(-1),0)*M60,1000000000),IF(AND(MAX(Z60+(0),0)*M60&gt;0,Y60*INT(MAX(Z60+(0),0)*M60/M60)+2*INT(MAX(Z60+(0),0)*M60/N60)&gt;=L60),MAX(Z60+(0),0)*M60,1000000000),IF(AND(MAX(Z60+(1),0)*M60&gt;0,Y60*INT(MAX(Z60+(1),0)*M60/M60)+2*INT(MAX(Z60+(1),0)*M60/N60)&gt;=L60),MAX(Z60+(1),0)*M60,1000000000),IF(AND(MAX(Z60+(2),0)*M60&gt;0,Y60*INT(MAX(Z60+(2),0)*M60/M60)+2*INT(MAX(Z60+(2),0)*M60/N60)&gt;=L60),MAX(Z60+(2),0)*M60,1000000000),IF(AND(MAX(AA60+(-1),0)*N60&gt;0,Y60*INT(MAX(AA60+(-1),0)*N60/M60)+2*INT(MAX(AA60+(-1),0)*N60/N60)&gt;=L60),MAX(AA60+(-1),0)*N60,1000000000),IF(AND(MAX(AA60+(0),0)*N60&gt;0,Y60*INT(MAX(AA60+(0),0)*N60/M60)+2*INT(MAX(AA60+(0),0)*N60/N60)&gt;=L60),MAX(AA60+(0),0)*N60,1000000000),IF(AND(MAX(AA60+(1),0)*N60&gt;0,Y60*INT(MAX(AA60+(1),0)*N60/M60)+2*INT(MAX(AA60+(1),0)*N60/N60)&gt;=L60),MAX(AA60+(1),0)*N60,1000000000),IF(AND(MAX(AA60+(2),0)*N60&gt;0,Y60*INT(MAX(AA60+(2),0)*N60/M60)+2*INT(MAX(AA60+(2),0)*N60/N60)&gt;=L60),MAX(AA60+(2),0)*N60,1000000000)))</f>
        <v>2961</v>
      </c>
      <c r="AC60" s="42" t="n">
        <f aca="false">IF(L60=0,0,MIN(T60,X60,AB60))</f>
        <v>2961</v>
      </c>
      <c r="AD60" s="15" t="n">
        <f aca="false">I60*INDEX(lg_bkg_3460,B60)</f>
        <v>3652.40512</v>
      </c>
      <c r="AE60" s="33" t="n">
        <f aca="false">I60*INDEX(lg_bvol_3460,B60)</f>
        <v>14.92344</v>
      </c>
    </row>
    <row r="61" customFormat="false" ht="15" hidden="false" customHeight="false" outlineLevel="0" collapsed="false">
      <c r="A61" s="9" t="n">
        <v>4</v>
      </c>
      <c r="B61" s="9" t="n">
        <v>2</v>
      </c>
      <c r="C61" s="9" t="s">
        <v>15</v>
      </c>
      <c r="D61" s="10" t="n">
        <f aca="false">INDEX(cfg_ct,A61)</f>
        <v>3</v>
      </c>
      <c r="E61" s="10" t="n">
        <f aca="false">INDEX(cfg_n,A61)</f>
        <v>1</v>
      </c>
      <c r="F61" s="15" t="n">
        <f aca="false">INDEX(cfg_u_3464,A61,B61)</f>
        <v>25800</v>
      </c>
      <c r="G61" s="15" t="n">
        <f aca="false">F61/E61</f>
        <v>25800</v>
      </c>
      <c r="H61" s="10" t="n">
        <f aca="false">INDEX(lg_n_3464,B61)</f>
        <v>50</v>
      </c>
      <c r="I61" s="15" t="n">
        <f aca="false">ROUNDUP(G61/H61,0)</f>
        <v>516</v>
      </c>
      <c r="J61" s="10" t="n">
        <f aca="false">INDEX(lg_layers_3464_40HC,B61)</f>
        <v>32</v>
      </c>
      <c r="K61" s="26" t="n">
        <f aca="false">INDEX(in_use_efficiency,1,B61)</f>
        <v>0.95</v>
      </c>
      <c r="L61" s="10" t="n">
        <f aca="false">IF(I61=0,0,ROUNDUP(I61/(K61*J61)-0.000000001,0))</f>
        <v>17</v>
      </c>
      <c r="M61" s="10" t="n">
        <f aca="false">INDEX(lg_a_3464,B61)</f>
        <v>940</v>
      </c>
      <c r="N61" s="10" t="n">
        <f aca="false">INDEX(lg_b_3464,B61)</f>
        <v>473</v>
      </c>
      <c r="O61" s="10" t="n">
        <f aca="false">INDEX(lg_Wu_40HC,B61)</f>
        <v>2330</v>
      </c>
      <c r="P61" s="10" t="n">
        <f aca="false">INDEX(lg_Lu_40HC,B61)</f>
        <v>11930</v>
      </c>
      <c r="Q61" s="10" t="n">
        <f aca="false">IF(O61-0*M61&gt;=0,INT((O61-0*M61)/N61),-1)</f>
        <v>4</v>
      </c>
      <c r="R61" s="10" t="n">
        <f aca="false">IF(AND(Q61&gt;=0,Q61+0&gt;0),ROUNDUP(L61/(Q61+0*M61/N61),0),0)</f>
        <v>5</v>
      </c>
      <c r="S61" s="10" t="n">
        <f aca="false">IF(AND(Q61&gt;=0,Q61+0&gt;0),ROUNDUP(L61/(Q61*N61/M61+0),0),0)</f>
        <v>9</v>
      </c>
      <c r="T61" s="10" t="n">
        <f aca="false">IF(OR(Q61&lt;0,Q61+0=0),1000000000,MIN(IF(AND(MAX(R61+(-1),0)*M61&gt;0,Q61*INT(MAX(R61+(-1),0)*M61/M61)+0*INT(MAX(R61+(-1),0)*M61/N61)&gt;=L61),MAX(R61+(-1),0)*M61,1000000000),IF(AND(MAX(R61+(0),0)*M61&gt;0,Q61*INT(MAX(R61+(0),0)*M61/M61)+0*INT(MAX(R61+(0),0)*M61/N61)&gt;=L61),MAX(R61+(0),0)*M61,1000000000),IF(AND(MAX(R61+(1),0)*M61&gt;0,Q61*INT(MAX(R61+(1),0)*M61/M61)+0*INT(MAX(R61+(1),0)*M61/N61)&gt;=L61),MAX(R61+(1),0)*M61,1000000000),IF(AND(MAX(R61+(2),0)*M61&gt;0,Q61*INT(MAX(R61+(2),0)*M61/M61)+0*INT(MAX(R61+(2),0)*M61/N61)&gt;=L61),MAX(R61+(2),0)*M61,1000000000),IF(AND(MAX(S61+(-1),0)*N61&gt;0,Q61*INT(MAX(S61+(-1),0)*N61/M61)+0*INT(MAX(S61+(-1),0)*N61/N61)&gt;=L61),MAX(S61+(-1),0)*N61,1000000000),IF(AND(MAX(S61+(0),0)*N61&gt;0,Q61*INT(MAX(S61+(0),0)*N61/M61)+0*INT(MAX(S61+(0),0)*N61/N61)&gt;=L61),MAX(S61+(0),0)*N61,1000000000),IF(AND(MAX(S61+(1),0)*N61&gt;0,Q61*INT(MAX(S61+(1),0)*N61/M61)+0*INT(MAX(S61+(1),0)*N61/N61)&gt;=L61),MAX(S61+(1),0)*N61,1000000000),IF(AND(MAX(S61+(2),0)*N61&gt;0,Q61*INT(MAX(S61+(2),0)*N61/M61)+0*INT(MAX(S61+(2),0)*N61/N61)&gt;=L61),MAX(S61+(2),0)*N61,1000000000)))</f>
        <v>4700</v>
      </c>
      <c r="U61" s="10" t="n">
        <f aca="false">IF(O61-1*M61&gt;=0,INT((O61-1*M61)/N61),-1)</f>
        <v>2</v>
      </c>
      <c r="V61" s="10" t="n">
        <f aca="false">IF(AND(U61&gt;=0,U61+1&gt;0),ROUNDUP(L61/(U61+1*M61/N61),0),0)</f>
        <v>5</v>
      </c>
      <c r="W61" s="10" t="n">
        <f aca="false">IF(AND(U61&gt;=0,U61+1&gt;0),ROUNDUP(L61/(U61*N61/M61+1),0),0)</f>
        <v>9</v>
      </c>
      <c r="X61" s="10" t="n">
        <f aca="false">IF(OR(U61&lt;0,U61+1=0),1000000000,MIN(IF(AND(MAX(V61+(-1),0)*M61&gt;0,U61*INT(MAX(V61+(-1),0)*M61/M61)+1*INT(MAX(V61+(-1),0)*M61/N61)&gt;=L61),MAX(V61+(-1),0)*M61,1000000000),IF(AND(MAX(V61+(0),0)*M61&gt;0,U61*INT(MAX(V61+(0),0)*M61/M61)+1*INT(MAX(V61+(0),0)*M61/N61)&gt;=L61),MAX(V61+(0),0)*M61,1000000000),IF(AND(MAX(V61+(1),0)*M61&gt;0,U61*INT(MAX(V61+(1),0)*M61/M61)+1*INT(MAX(V61+(1),0)*M61/N61)&gt;=L61),MAX(V61+(1),0)*M61,1000000000),IF(AND(MAX(V61+(2),0)*M61&gt;0,U61*INT(MAX(V61+(2),0)*M61/M61)+1*INT(MAX(V61+(2),0)*M61/N61)&gt;=L61),MAX(V61+(2),0)*M61,1000000000),IF(AND(MAX(W61+(-1),0)*N61&gt;0,U61*INT(MAX(W61+(-1),0)*N61/M61)+1*INT(MAX(W61+(-1),0)*N61/N61)&gt;=L61),MAX(W61+(-1),0)*N61,1000000000),IF(AND(MAX(W61+(0),0)*N61&gt;0,U61*INT(MAX(W61+(0),0)*N61/M61)+1*INT(MAX(W61+(0),0)*N61/N61)&gt;=L61),MAX(W61+(0),0)*N61,1000000000),IF(AND(MAX(W61+(1),0)*N61&gt;0,U61*INT(MAX(W61+(1),0)*N61/M61)+1*INT(MAX(W61+(1),0)*N61/N61)&gt;=L61),MAX(W61+(1),0)*N61,1000000000),IF(AND(MAX(W61+(2),0)*N61&gt;0,U61*INT(MAX(W61+(2),0)*N61/M61)+1*INT(MAX(W61+(2),0)*N61/N61)&gt;=L61),MAX(W61+(2),0)*N61,1000000000)))</f>
        <v>4257</v>
      </c>
      <c r="Y61" s="10" t="n">
        <f aca="false">IF(O61-2*M61&gt;=0,INT((O61-2*M61)/N61),-1)</f>
        <v>0</v>
      </c>
      <c r="Z61" s="10" t="n">
        <f aca="false">IF(AND(Y61&gt;=0,Y61+2&gt;0),ROUNDUP(L61/(Y61+2*M61/N61),0),0)</f>
        <v>5</v>
      </c>
      <c r="AA61" s="10" t="n">
        <f aca="false">IF(AND(Y61&gt;=0,Y61+2&gt;0),ROUNDUP(L61/(Y61*N61/M61+2),0),0)</f>
        <v>9</v>
      </c>
      <c r="AB61" s="10" t="n">
        <f aca="false">IF(OR(Y61&lt;0,Y61+2=0),1000000000,MIN(IF(AND(MAX(Z61+(-1),0)*M61&gt;0,Y61*INT(MAX(Z61+(-1),0)*M61/M61)+2*INT(MAX(Z61+(-1),0)*M61/N61)&gt;=L61),MAX(Z61+(-1),0)*M61,1000000000),IF(AND(MAX(Z61+(0),0)*M61&gt;0,Y61*INT(MAX(Z61+(0),0)*M61/M61)+2*INT(MAX(Z61+(0),0)*M61/N61)&gt;=L61),MAX(Z61+(0),0)*M61,1000000000),IF(AND(MAX(Z61+(1),0)*M61&gt;0,Y61*INT(MAX(Z61+(1),0)*M61/M61)+2*INT(MAX(Z61+(1),0)*M61/N61)&gt;=L61),MAX(Z61+(1),0)*M61,1000000000),IF(AND(MAX(Z61+(2),0)*M61&gt;0,Y61*INT(MAX(Z61+(2),0)*M61/M61)+2*INT(MAX(Z61+(2),0)*M61/N61)&gt;=L61),MAX(Z61+(2),0)*M61,1000000000),IF(AND(MAX(AA61+(-1),0)*N61&gt;0,Y61*INT(MAX(AA61+(-1),0)*N61/M61)+2*INT(MAX(AA61+(-1),0)*N61/N61)&gt;=L61),MAX(AA61+(-1),0)*N61,1000000000),IF(AND(MAX(AA61+(0),0)*N61&gt;0,Y61*INT(MAX(AA61+(0),0)*N61/M61)+2*INT(MAX(AA61+(0),0)*N61/N61)&gt;=L61),MAX(AA61+(0),0)*N61,1000000000),IF(AND(MAX(AA61+(1),0)*N61&gt;0,Y61*INT(MAX(AA61+(1),0)*N61/M61)+2*INT(MAX(AA61+(1),0)*N61/N61)&gt;=L61),MAX(AA61+(1),0)*N61,1000000000),IF(AND(MAX(AA61+(2),0)*N61&gt;0,Y61*INT(MAX(AA61+(2),0)*N61/M61)+2*INT(MAX(AA61+(2),0)*N61/N61)&gt;=L61),MAX(AA61+(2),0)*N61,1000000000)))</f>
        <v>4257</v>
      </c>
      <c r="AC61" s="42" t="n">
        <f aca="false">IF(L61=0,0,MIN(T61,X61,AB61))</f>
        <v>4257</v>
      </c>
      <c r="AD61" s="15" t="n">
        <f aca="false">I61*INDEX(lg_bkg_3464,B61)</f>
        <v>4413.8875296</v>
      </c>
      <c r="AE61" s="33" t="n">
        <f aca="false">I61*INDEX(lg_bvol_3464,B61)</f>
        <v>18.3539136</v>
      </c>
    </row>
    <row r="62" customFormat="false" ht="15" hidden="false" customHeight="false" outlineLevel="0" collapsed="false">
      <c r="A62" s="9" t="n">
        <v>4</v>
      </c>
      <c r="B62" s="9" t="n">
        <v>2</v>
      </c>
      <c r="C62" s="9" t="s">
        <v>16</v>
      </c>
      <c r="D62" s="10" t="n">
        <f aca="false">INDEX(cfg_ct,A62)</f>
        <v>3</v>
      </c>
      <c r="E62" s="10" t="n">
        <f aca="false">INDEX(cfg_n,A62)</f>
        <v>1</v>
      </c>
      <c r="F62" s="15" t="n">
        <f aca="false">INDEX(cfg_u_3463,A62,B62)</f>
        <v>25800</v>
      </c>
      <c r="G62" s="15" t="n">
        <f aca="false">F62/E62</f>
        <v>25800</v>
      </c>
      <c r="H62" s="10" t="n">
        <f aca="false">INDEX(lg_n_3463,B62)</f>
        <v>50</v>
      </c>
      <c r="I62" s="15" t="n">
        <f aca="false">ROUNDUP(G62/H62,0)</f>
        <v>516</v>
      </c>
      <c r="J62" s="10" t="n">
        <f aca="false">INDEX(lg_layers_3463_40HC,B62)</f>
        <v>32</v>
      </c>
      <c r="K62" s="26" t="n">
        <f aca="false">INDEX(in_use_efficiency,1,B62)</f>
        <v>0.95</v>
      </c>
      <c r="L62" s="10" t="n">
        <f aca="false">IF(I62=0,0,ROUNDUP(I62/(K62*J62)-0.000000001,0))</f>
        <v>17</v>
      </c>
      <c r="M62" s="10" t="n">
        <f aca="false">INDEX(lg_a_3463,B62)</f>
        <v>1040</v>
      </c>
      <c r="N62" s="10" t="n">
        <f aca="false">INDEX(lg_b_3463,B62)</f>
        <v>523</v>
      </c>
      <c r="O62" s="10" t="n">
        <f aca="false">INDEX(lg_Wu_40HC,B62)</f>
        <v>2330</v>
      </c>
      <c r="P62" s="10" t="n">
        <f aca="false">INDEX(lg_Lu_40HC,B62)</f>
        <v>11930</v>
      </c>
      <c r="Q62" s="10" t="n">
        <f aca="false">IF(O62-0*M62&gt;=0,INT((O62-0*M62)/N62),-1)</f>
        <v>4</v>
      </c>
      <c r="R62" s="10" t="n">
        <f aca="false">IF(AND(Q62&gt;=0,Q62+0&gt;0),ROUNDUP(L62/(Q62+0*M62/N62),0),0)</f>
        <v>5</v>
      </c>
      <c r="S62" s="10" t="n">
        <f aca="false">IF(AND(Q62&gt;=0,Q62+0&gt;0),ROUNDUP(L62/(Q62*N62/M62+0),0),0)</f>
        <v>9</v>
      </c>
      <c r="T62" s="10" t="n">
        <f aca="false">IF(OR(Q62&lt;0,Q62+0=0),1000000000,MIN(IF(AND(MAX(R62+(-1),0)*M62&gt;0,Q62*INT(MAX(R62+(-1),0)*M62/M62)+0*INT(MAX(R62+(-1),0)*M62/N62)&gt;=L62),MAX(R62+(-1),0)*M62,1000000000),IF(AND(MAX(R62+(0),0)*M62&gt;0,Q62*INT(MAX(R62+(0),0)*M62/M62)+0*INT(MAX(R62+(0),0)*M62/N62)&gt;=L62),MAX(R62+(0),0)*M62,1000000000),IF(AND(MAX(R62+(1),0)*M62&gt;0,Q62*INT(MAX(R62+(1),0)*M62/M62)+0*INT(MAX(R62+(1),0)*M62/N62)&gt;=L62),MAX(R62+(1),0)*M62,1000000000),IF(AND(MAX(R62+(2),0)*M62&gt;0,Q62*INT(MAX(R62+(2),0)*M62/M62)+0*INT(MAX(R62+(2),0)*M62/N62)&gt;=L62),MAX(R62+(2),0)*M62,1000000000),IF(AND(MAX(S62+(-1),0)*N62&gt;0,Q62*INT(MAX(S62+(-1),0)*N62/M62)+0*INT(MAX(S62+(-1),0)*N62/N62)&gt;=L62),MAX(S62+(-1),0)*N62,1000000000),IF(AND(MAX(S62+(0),0)*N62&gt;0,Q62*INT(MAX(S62+(0),0)*N62/M62)+0*INT(MAX(S62+(0),0)*N62/N62)&gt;=L62),MAX(S62+(0),0)*N62,1000000000),IF(AND(MAX(S62+(1),0)*N62&gt;0,Q62*INT(MAX(S62+(1),0)*N62/M62)+0*INT(MAX(S62+(1),0)*N62/N62)&gt;=L62),MAX(S62+(1),0)*N62,1000000000),IF(AND(MAX(S62+(2),0)*N62&gt;0,Q62*INT(MAX(S62+(2),0)*N62/M62)+0*INT(MAX(S62+(2),0)*N62/N62)&gt;=L62),MAX(S62+(2),0)*N62,1000000000)))</f>
        <v>5200</v>
      </c>
      <c r="U62" s="10" t="n">
        <f aca="false">IF(O62-1*M62&gt;=0,INT((O62-1*M62)/N62),-1)</f>
        <v>2</v>
      </c>
      <c r="V62" s="10" t="n">
        <f aca="false">IF(AND(U62&gt;=0,U62+1&gt;0),ROUNDUP(L62/(U62+1*M62/N62),0),0)</f>
        <v>5</v>
      </c>
      <c r="W62" s="10" t="n">
        <f aca="false">IF(AND(U62&gt;=0,U62+1&gt;0),ROUNDUP(L62/(U62*N62/M62+1),0),0)</f>
        <v>9</v>
      </c>
      <c r="X62" s="10" t="n">
        <f aca="false">IF(OR(U62&lt;0,U62+1=0),1000000000,MIN(IF(AND(MAX(V62+(-1),0)*M62&gt;0,U62*INT(MAX(V62+(-1),0)*M62/M62)+1*INT(MAX(V62+(-1),0)*M62/N62)&gt;=L62),MAX(V62+(-1),0)*M62,1000000000),IF(AND(MAX(V62+(0),0)*M62&gt;0,U62*INT(MAX(V62+(0),0)*M62/M62)+1*INT(MAX(V62+(0),0)*M62/N62)&gt;=L62),MAX(V62+(0),0)*M62,1000000000),IF(AND(MAX(V62+(1),0)*M62&gt;0,U62*INT(MAX(V62+(1),0)*M62/M62)+1*INT(MAX(V62+(1),0)*M62/N62)&gt;=L62),MAX(V62+(1),0)*M62,1000000000),IF(AND(MAX(V62+(2),0)*M62&gt;0,U62*INT(MAX(V62+(2),0)*M62/M62)+1*INT(MAX(V62+(2),0)*M62/N62)&gt;=L62),MAX(V62+(2),0)*M62,1000000000),IF(AND(MAX(W62+(-1),0)*N62&gt;0,U62*INT(MAX(W62+(-1),0)*N62/M62)+1*INT(MAX(W62+(-1),0)*N62/N62)&gt;=L62),MAX(W62+(-1),0)*N62,1000000000),IF(AND(MAX(W62+(0),0)*N62&gt;0,U62*INT(MAX(W62+(0),0)*N62/M62)+1*INT(MAX(W62+(0),0)*N62/N62)&gt;=L62),MAX(W62+(0),0)*N62,1000000000),IF(AND(MAX(W62+(1),0)*N62&gt;0,U62*INT(MAX(W62+(1),0)*N62/M62)+1*INT(MAX(W62+(1),0)*N62/N62)&gt;=L62),MAX(W62+(1),0)*N62,1000000000),IF(AND(MAX(W62+(2),0)*N62&gt;0,U62*INT(MAX(W62+(2),0)*N62/M62)+1*INT(MAX(W62+(2),0)*N62/N62)&gt;=L62),MAX(W62+(2),0)*N62,1000000000)))</f>
        <v>4707</v>
      </c>
      <c r="Y62" s="10" t="n">
        <f aca="false">IF(O62-2*M62&gt;=0,INT((O62-2*M62)/N62),-1)</f>
        <v>0</v>
      </c>
      <c r="Z62" s="10" t="n">
        <f aca="false">IF(AND(Y62&gt;=0,Y62+2&gt;0),ROUNDUP(L62/(Y62+2*M62/N62),0),0)</f>
        <v>5</v>
      </c>
      <c r="AA62" s="10" t="n">
        <f aca="false">IF(AND(Y62&gt;=0,Y62+2&gt;0),ROUNDUP(L62/(Y62*N62/M62+2),0),0)</f>
        <v>9</v>
      </c>
      <c r="AB62" s="10" t="n">
        <f aca="false">IF(OR(Y62&lt;0,Y62+2=0),1000000000,MIN(IF(AND(MAX(Z62+(-1),0)*M62&gt;0,Y62*INT(MAX(Z62+(-1),0)*M62/M62)+2*INT(MAX(Z62+(-1),0)*M62/N62)&gt;=L62),MAX(Z62+(-1),0)*M62,1000000000),IF(AND(MAX(Z62+(0),0)*M62&gt;0,Y62*INT(MAX(Z62+(0),0)*M62/M62)+2*INT(MAX(Z62+(0),0)*M62/N62)&gt;=L62),MAX(Z62+(0),0)*M62,1000000000),IF(AND(MAX(Z62+(1),0)*M62&gt;0,Y62*INT(MAX(Z62+(1),0)*M62/M62)+2*INT(MAX(Z62+(1),0)*M62/N62)&gt;=L62),MAX(Z62+(1),0)*M62,1000000000),IF(AND(MAX(Z62+(2),0)*M62&gt;0,Y62*INT(MAX(Z62+(2),0)*M62/M62)+2*INT(MAX(Z62+(2),0)*M62/N62)&gt;=L62),MAX(Z62+(2),0)*M62,1000000000),IF(AND(MAX(AA62+(-1),0)*N62&gt;0,Y62*INT(MAX(AA62+(-1),0)*N62/M62)+2*INT(MAX(AA62+(-1),0)*N62/N62)&gt;=L62),MAX(AA62+(-1),0)*N62,1000000000),IF(AND(MAX(AA62+(0),0)*N62&gt;0,Y62*INT(MAX(AA62+(0),0)*N62/M62)+2*INT(MAX(AA62+(0),0)*N62/N62)&gt;=L62),MAX(AA62+(0),0)*N62,1000000000),IF(AND(MAX(AA62+(1),0)*N62&gt;0,Y62*INT(MAX(AA62+(1),0)*N62/M62)+2*INT(MAX(AA62+(1),0)*N62/N62)&gt;=L62),MAX(AA62+(1),0)*N62,1000000000),IF(AND(MAX(AA62+(2),0)*N62&gt;0,Y62*INT(MAX(AA62+(2),0)*N62/M62)+2*INT(MAX(AA62+(2),0)*N62/N62)&gt;=L62),MAX(AA62+(2),0)*N62,1000000000)))</f>
        <v>4707</v>
      </c>
      <c r="AC62" s="42" t="n">
        <f aca="false">IF(L62=0,0,MIN(T62,X62,AB62))</f>
        <v>4707</v>
      </c>
      <c r="AD62" s="15" t="n">
        <f aca="false">I62*INDEX(lg_bkg_3463,B62)</f>
        <v>5396.3443056</v>
      </c>
      <c r="AE62" s="33" t="n">
        <f aca="false">I62*INDEX(lg_bvol_3463,B62)</f>
        <v>22.4530176</v>
      </c>
    </row>
    <row r="63" customFormat="false" ht="15" hidden="false" customHeight="false" outlineLevel="0" collapsed="false">
      <c r="A63" s="9" t="n">
        <v>4</v>
      </c>
      <c r="B63" s="9" t="n">
        <v>2</v>
      </c>
      <c r="C63" s="9" t="s">
        <v>17</v>
      </c>
      <c r="D63" s="10" t="n">
        <f aca="false">INDEX(cfg_ct,A63)</f>
        <v>3</v>
      </c>
      <c r="E63" s="10" t="n">
        <f aca="false">INDEX(cfg_n,A63)</f>
        <v>1</v>
      </c>
      <c r="F63" s="15" t="n">
        <f aca="false">INDEX(cfg_u_3460,A63,B63)</f>
        <v>25800</v>
      </c>
      <c r="G63" s="15" t="n">
        <f aca="false">F63/E63</f>
        <v>25800</v>
      </c>
      <c r="H63" s="10" t="n">
        <f aca="false">INDEX(lg_n_3460,B63)</f>
        <v>50</v>
      </c>
      <c r="I63" s="15" t="n">
        <f aca="false">ROUNDUP(G63/H63,0)</f>
        <v>516</v>
      </c>
      <c r="J63" s="10" t="n">
        <f aca="false">INDEX(lg_layers_3460_40HC,B63)</f>
        <v>32</v>
      </c>
      <c r="K63" s="26" t="n">
        <f aca="false">INDEX(in_use_efficiency,1,B63)</f>
        <v>0.95</v>
      </c>
      <c r="L63" s="10" t="n">
        <f aca="false">IF(I63=0,0,ROUNDUP(I63/(K63*J63)-0.000000001,0))</f>
        <v>17</v>
      </c>
      <c r="M63" s="10" t="n">
        <f aca="false">INDEX(lg_a_3460,B63)</f>
        <v>840</v>
      </c>
      <c r="N63" s="10" t="n">
        <f aca="false">INDEX(lg_b_3460,B63)</f>
        <v>423</v>
      </c>
      <c r="O63" s="10" t="n">
        <f aca="false">INDEX(lg_Wu_40HC,B63)</f>
        <v>2330</v>
      </c>
      <c r="P63" s="10" t="n">
        <f aca="false">INDEX(lg_Lu_40HC,B63)</f>
        <v>11930</v>
      </c>
      <c r="Q63" s="10" t="n">
        <f aca="false">IF(O63-0*M63&gt;=0,INT((O63-0*M63)/N63),-1)</f>
        <v>5</v>
      </c>
      <c r="R63" s="10" t="n">
        <f aca="false">IF(AND(Q63&gt;=0,Q63+0&gt;0),ROUNDUP(L63/(Q63+0*M63/N63),0),0)</f>
        <v>4</v>
      </c>
      <c r="S63" s="10" t="n">
        <f aca="false">IF(AND(Q63&gt;=0,Q63+0&gt;0),ROUNDUP(L63/(Q63*N63/M63+0),0),0)</f>
        <v>7</v>
      </c>
      <c r="T63" s="10" t="n">
        <f aca="false">IF(OR(Q63&lt;0,Q63+0=0),1000000000,MIN(IF(AND(MAX(R63+(-1),0)*M63&gt;0,Q63*INT(MAX(R63+(-1),0)*M63/M63)+0*INT(MAX(R63+(-1),0)*M63/N63)&gt;=L63),MAX(R63+(-1),0)*M63,1000000000),IF(AND(MAX(R63+(0),0)*M63&gt;0,Q63*INT(MAX(R63+(0),0)*M63/M63)+0*INT(MAX(R63+(0),0)*M63/N63)&gt;=L63),MAX(R63+(0),0)*M63,1000000000),IF(AND(MAX(R63+(1),0)*M63&gt;0,Q63*INT(MAX(R63+(1),0)*M63/M63)+0*INT(MAX(R63+(1),0)*M63/N63)&gt;=L63),MAX(R63+(1),0)*M63,1000000000),IF(AND(MAX(R63+(2),0)*M63&gt;0,Q63*INT(MAX(R63+(2),0)*M63/M63)+0*INT(MAX(R63+(2),0)*M63/N63)&gt;=L63),MAX(R63+(2),0)*M63,1000000000),IF(AND(MAX(S63+(-1),0)*N63&gt;0,Q63*INT(MAX(S63+(-1),0)*N63/M63)+0*INT(MAX(S63+(-1),0)*N63/N63)&gt;=L63),MAX(S63+(-1),0)*N63,1000000000),IF(AND(MAX(S63+(0),0)*N63&gt;0,Q63*INT(MAX(S63+(0),0)*N63/M63)+0*INT(MAX(S63+(0),0)*N63/N63)&gt;=L63),MAX(S63+(0),0)*N63,1000000000),IF(AND(MAX(S63+(1),0)*N63&gt;0,Q63*INT(MAX(S63+(1),0)*N63/M63)+0*INT(MAX(S63+(1),0)*N63/N63)&gt;=L63),MAX(S63+(1),0)*N63,1000000000),IF(AND(MAX(S63+(2),0)*N63&gt;0,Q63*INT(MAX(S63+(2),0)*N63/M63)+0*INT(MAX(S63+(2),0)*N63/N63)&gt;=L63),MAX(S63+(2),0)*N63,1000000000)))</f>
        <v>3360</v>
      </c>
      <c r="U63" s="10" t="n">
        <f aca="false">IF(O63-1*M63&gt;=0,INT((O63-1*M63)/N63),-1)</f>
        <v>3</v>
      </c>
      <c r="V63" s="10" t="n">
        <f aca="false">IF(AND(U63&gt;=0,U63+1&gt;0),ROUNDUP(L63/(U63+1*M63/N63),0),0)</f>
        <v>4</v>
      </c>
      <c r="W63" s="10" t="n">
        <f aca="false">IF(AND(U63&gt;=0,U63+1&gt;0),ROUNDUP(L63/(U63*N63/M63+1),0),0)</f>
        <v>7</v>
      </c>
      <c r="X63" s="10" t="n">
        <f aca="false">IF(OR(U63&lt;0,U63+1=0),1000000000,MIN(IF(AND(MAX(V63+(-1),0)*M63&gt;0,U63*INT(MAX(V63+(-1),0)*M63/M63)+1*INT(MAX(V63+(-1),0)*M63/N63)&gt;=L63),MAX(V63+(-1),0)*M63,1000000000),IF(AND(MAX(V63+(0),0)*M63&gt;0,U63*INT(MAX(V63+(0),0)*M63/M63)+1*INT(MAX(V63+(0),0)*M63/N63)&gt;=L63),MAX(V63+(0),0)*M63,1000000000),IF(AND(MAX(V63+(1),0)*M63&gt;0,U63*INT(MAX(V63+(1),0)*M63/M63)+1*INT(MAX(V63+(1),0)*M63/N63)&gt;=L63),MAX(V63+(1),0)*M63,1000000000),IF(AND(MAX(V63+(2),0)*M63&gt;0,U63*INT(MAX(V63+(2),0)*M63/M63)+1*INT(MAX(V63+(2),0)*M63/N63)&gt;=L63),MAX(V63+(2),0)*M63,1000000000),IF(AND(MAX(W63+(-1),0)*N63&gt;0,U63*INT(MAX(W63+(-1),0)*N63/M63)+1*INT(MAX(W63+(-1),0)*N63/N63)&gt;=L63),MAX(W63+(-1),0)*N63,1000000000),IF(AND(MAX(W63+(0),0)*N63&gt;0,U63*INT(MAX(W63+(0),0)*N63/M63)+1*INT(MAX(W63+(0),0)*N63/N63)&gt;=L63),MAX(W63+(0),0)*N63,1000000000),IF(AND(MAX(W63+(1),0)*N63&gt;0,U63*INT(MAX(W63+(1),0)*N63/M63)+1*INT(MAX(W63+(1),0)*N63/N63)&gt;=L63),MAX(W63+(1),0)*N63,1000000000),IF(AND(MAX(W63+(2),0)*N63&gt;0,U63*INT(MAX(W63+(2),0)*N63/M63)+1*INT(MAX(W63+(2),0)*N63/N63)&gt;=L63),MAX(W63+(2),0)*N63,1000000000)))</f>
        <v>3360</v>
      </c>
      <c r="Y63" s="10" t="n">
        <f aca="false">IF(O63-2*M63&gt;=0,INT((O63-2*M63)/N63),-1)</f>
        <v>1</v>
      </c>
      <c r="Z63" s="10" t="n">
        <f aca="false">IF(AND(Y63&gt;=0,Y63+2&gt;0),ROUNDUP(L63/(Y63+2*M63/N63),0),0)</f>
        <v>4</v>
      </c>
      <c r="AA63" s="10" t="n">
        <f aca="false">IF(AND(Y63&gt;=0,Y63+2&gt;0),ROUNDUP(L63/(Y63*N63/M63+2),0),0)</f>
        <v>7</v>
      </c>
      <c r="AB63" s="10" t="n">
        <f aca="false">IF(OR(Y63&lt;0,Y63+2=0),1000000000,MIN(IF(AND(MAX(Z63+(-1),0)*M63&gt;0,Y63*INT(MAX(Z63+(-1),0)*M63/M63)+2*INT(MAX(Z63+(-1),0)*M63/N63)&gt;=L63),MAX(Z63+(-1),0)*M63,1000000000),IF(AND(MAX(Z63+(0),0)*M63&gt;0,Y63*INT(MAX(Z63+(0),0)*M63/M63)+2*INT(MAX(Z63+(0),0)*M63/N63)&gt;=L63),MAX(Z63+(0),0)*M63,1000000000),IF(AND(MAX(Z63+(1),0)*M63&gt;0,Y63*INT(MAX(Z63+(1),0)*M63/M63)+2*INT(MAX(Z63+(1),0)*M63/N63)&gt;=L63),MAX(Z63+(1),0)*M63,1000000000),IF(AND(MAX(Z63+(2),0)*M63&gt;0,Y63*INT(MAX(Z63+(2),0)*M63/M63)+2*INT(MAX(Z63+(2),0)*M63/N63)&gt;=L63),MAX(Z63+(2),0)*M63,1000000000),IF(AND(MAX(AA63+(-1),0)*N63&gt;0,Y63*INT(MAX(AA63+(-1),0)*N63/M63)+2*INT(MAX(AA63+(-1),0)*N63/N63)&gt;=L63),MAX(AA63+(-1),0)*N63,1000000000),IF(AND(MAX(AA63+(0),0)*N63&gt;0,Y63*INT(MAX(AA63+(0),0)*N63/M63)+2*INT(MAX(AA63+(0),0)*N63/N63)&gt;=L63),MAX(AA63+(0),0)*N63,1000000000),IF(AND(MAX(AA63+(1),0)*N63&gt;0,Y63*INT(MAX(AA63+(1),0)*N63/M63)+2*INT(MAX(AA63+(1),0)*N63/N63)&gt;=L63),MAX(AA63+(1),0)*N63,1000000000),IF(AND(MAX(AA63+(2),0)*N63&gt;0,Y63*INT(MAX(AA63+(2),0)*N63/M63)+2*INT(MAX(AA63+(2),0)*N63/N63)&gt;=L63),MAX(AA63+(2),0)*N63,1000000000)))</f>
        <v>2961</v>
      </c>
      <c r="AC63" s="42" t="n">
        <f aca="false">IF(L63=0,0,MIN(T63,X63,AB63))</f>
        <v>2961</v>
      </c>
      <c r="AD63" s="15" t="n">
        <f aca="false">I63*INDEX(lg_bkg_3460,B63)</f>
        <v>3531.1219536</v>
      </c>
      <c r="AE63" s="33" t="n">
        <f aca="false">I63*INDEX(lg_bvol_3460,B63)</f>
        <v>14.6676096</v>
      </c>
    </row>
    <row r="64" customFormat="false" ht="15" hidden="false" customHeight="false" outlineLevel="0" collapsed="false">
      <c r="A64" s="9" t="n">
        <v>4</v>
      </c>
      <c r="B64" s="9" t="n">
        <v>3</v>
      </c>
      <c r="C64" s="9" t="s">
        <v>15</v>
      </c>
      <c r="D64" s="10" t="n">
        <f aca="false">INDEX(cfg_ct,A64)</f>
        <v>3</v>
      </c>
      <c r="E64" s="10" t="n">
        <f aca="false">INDEX(cfg_n,A64)</f>
        <v>1</v>
      </c>
      <c r="F64" s="15" t="n">
        <f aca="false">INDEX(cfg_u_3464,A64,B64)</f>
        <v>21400</v>
      </c>
      <c r="G64" s="15" t="n">
        <f aca="false">F64/E64</f>
        <v>21400</v>
      </c>
      <c r="H64" s="10" t="n">
        <f aca="false">INDEX(lg_n_3464,B64)</f>
        <v>50</v>
      </c>
      <c r="I64" s="15" t="n">
        <f aca="false">ROUNDUP(G64/H64,0)</f>
        <v>428</v>
      </c>
      <c r="J64" s="10" t="n">
        <f aca="false">INDEX(lg_layers_3464_40HC,B64)</f>
        <v>28</v>
      </c>
      <c r="K64" s="26" t="n">
        <f aca="false">INDEX(in_use_efficiency,1,B64)</f>
        <v>0.9</v>
      </c>
      <c r="L64" s="10" t="n">
        <f aca="false">IF(I64=0,0,ROUNDUP(I64/(K64*J64)-0.000000001,0))</f>
        <v>17</v>
      </c>
      <c r="M64" s="10" t="n">
        <f aca="false">INDEX(lg_a_3464,B64)</f>
        <v>940</v>
      </c>
      <c r="N64" s="10" t="n">
        <f aca="false">INDEX(lg_b_3464,B64)</f>
        <v>473</v>
      </c>
      <c r="O64" s="10" t="n">
        <f aca="false">INDEX(lg_Wu_40HC,B64)</f>
        <v>2330</v>
      </c>
      <c r="P64" s="10" t="n">
        <f aca="false">INDEX(lg_Lu_40HC,B64)</f>
        <v>11930</v>
      </c>
      <c r="Q64" s="10" t="n">
        <f aca="false">IF(O64-0*M64&gt;=0,INT((O64-0*M64)/N64),-1)</f>
        <v>4</v>
      </c>
      <c r="R64" s="10" t="n">
        <f aca="false">IF(AND(Q64&gt;=0,Q64+0&gt;0),ROUNDUP(L64/(Q64+0*M64/N64),0),0)</f>
        <v>5</v>
      </c>
      <c r="S64" s="10" t="n">
        <f aca="false">IF(AND(Q64&gt;=0,Q64+0&gt;0),ROUNDUP(L64/(Q64*N64/M64+0),0),0)</f>
        <v>9</v>
      </c>
      <c r="T64" s="10" t="n">
        <f aca="false">IF(OR(Q64&lt;0,Q64+0=0),1000000000,MIN(IF(AND(MAX(R64+(-1),0)*M64&gt;0,Q64*INT(MAX(R64+(-1),0)*M64/M64)+0*INT(MAX(R64+(-1),0)*M64/N64)&gt;=L64),MAX(R64+(-1),0)*M64,1000000000),IF(AND(MAX(R64+(0),0)*M64&gt;0,Q64*INT(MAX(R64+(0),0)*M64/M64)+0*INT(MAX(R64+(0),0)*M64/N64)&gt;=L64),MAX(R64+(0),0)*M64,1000000000),IF(AND(MAX(R64+(1),0)*M64&gt;0,Q64*INT(MAX(R64+(1),0)*M64/M64)+0*INT(MAX(R64+(1),0)*M64/N64)&gt;=L64),MAX(R64+(1),0)*M64,1000000000),IF(AND(MAX(R64+(2),0)*M64&gt;0,Q64*INT(MAX(R64+(2),0)*M64/M64)+0*INT(MAX(R64+(2),0)*M64/N64)&gt;=L64),MAX(R64+(2),0)*M64,1000000000),IF(AND(MAX(S64+(-1),0)*N64&gt;0,Q64*INT(MAX(S64+(-1),0)*N64/M64)+0*INT(MAX(S64+(-1),0)*N64/N64)&gt;=L64),MAX(S64+(-1),0)*N64,1000000000),IF(AND(MAX(S64+(0),0)*N64&gt;0,Q64*INT(MAX(S64+(0),0)*N64/M64)+0*INT(MAX(S64+(0),0)*N64/N64)&gt;=L64),MAX(S64+(0),0)*N64,1000000000),IF(AND(MAX(S64+(1),0)*N64&gt;0,Q64*INT(MAX(S64+(1),0)*N64/M64)+0*INT(MAX(S64+(1),0)*N64/N64)&gt;=L64),MAX(S64+(1),0)*N64,1000000000),IF(AND(MAX(S64+(2),0)*N64&gt;0,Q64*INT(MAX(S64+(2),0)*N64/M64)+0*INT(MAX(S64+(2),0)*N64/N64)&gt;=L64),MAX(S64+(2),0)*N64,1000000000)))</f>
        <v>4700</v>
      </c>
      <c r="U64" s="10" t="n">
        <f aca="false">IF(O64-1*M64&gt;=0,INT((O64-1*M64)/N64),-1)</f>
        <v>2</v>
      </c>
      <c r="V64" s="10" t="n">
        <f aca="false">IF(AND(U64&gt;=0,U64+1&gt;0),ROUNDUP(L64/(U64+1*M64/N64),0),0)</f>
        <v>5</v>
      </c>
      <c r="W64" s="10" t="n">
        <f aca="false">IF(AND(U64&gt;=0,U64+1&gt;0),ROUNDUP(L64/(U64*N64/M64+1),0),0)</f>
        <v>9</v>
      </c>
      <c r="X64" s="10" t="n">
        <f aca="false">IF(OR(U64&lt;0,U64+1=0),1000000000,MIN(IF(AND(MAX(V64+(-1),0)*M64&gt;0,U64*INT(MAX(V64+(-1),0)*M64/M64)+1*INT(MAX(V64+(-1),0)*M64/N64)&gt;=L64),MAX(V64+(-1),0)*M64,1000000000),IF(AND(MAX(V64+(0),0)*M64&gt;0,U64*INT(MAX(V64+(0),0)*M64/M64)+1*INT(MAX(V64+(0),0)*M64/N64)&gt;=L64),MAX(V64+(0),0)*M64,1000000000),IF(AND(MAX(V64+(1),0)*M64&gt;0,U64*INT(MAX(V64+(1),0)*M64/M64)+1*INT(MAX(V64+(1),0)*M64/N64)&gt;=L64),MAX(V64+(1),0)*M64,1000000000),IF(AND(MAX(V64+(2),0)*M64&gt;0,U64*INT(MAX(V64+(2),0)*M64/M64)+1*INT(MAX(V64+(2),0)*M64/N64)&gt;=L64),MAX(V64+(2),0)*M64,1000000000),IF(AND(MAX(W64+(-1),0)*N64&gt;0,U64*INT(MAX(W64+(-1),0)*N64/M64)+1*INT(MAX(W64+(-1),0)*N64/N64)&gt;=L64),MAX(W64+(-1),0)*N64,1000000000),IF(AND(MAX(W64+(0),0)*N64&gt;0,U64*INT(MAX(W64+(0),0)*N64/M64)+1*INT(MAX(W64+(0),0)*N64/N64)&gt;=L64),MAX(W64+(0),0)*N64,1000000000),IF(AND(MAX(W64+(1),0)*N64&gt;0,U64*INT(MAX(W64+(1),0)*N64/M64)+1*INT(MAX(W64+(1),0)*N64/N64)&gt;=L64),MAX(W64+(1),0)*N64,1000000000),IF(AND(MAX(W64+(2),0)*N64&gt;0,U64*INT(MAX(W64+(2),0)*N64/M64)+1*INT(MAX(W64+(2),0)*N64/N64)&gt;=L64),MAX(W64+(2),0)*N64,1000000000)))</f>
        <v>4257</v>
      </c>
      <c r="Y64" s="10" t="n">
        <f aca="false">IF(O64-2*M64&gt;=0,INT((O64-2*M64)/N64),-1)</f>
        <v>0</v>
      </c>
      <c r="Z64" s="10" t="n">
        <f aca="false">IF(AND(Y64&gt;=0,Y64+2&gt;0),ROUNDUP(L64/(Y64+2*M64/N64),0),0)</f>
        <v>5</v>
      </c>
      <c r="AA64" s="10" t="n">
        <f aca="false">IF(AND(Y64&gt;=0,Y64+2&gt;0),ROUNDUP(L64/(Y64*N64/M64+2),0),0)</f>
        <v>9</v>
      </c>
      <c r="AB64" s="10" t="n">
        <f aca="false">IF(OR(Y64&lt;0,Y64+2=0),1000000000,MIN(IF(AND(MAX(Z64+(-1),0)*M64&gt;0,Y64*INT(MAX(Z64+(-1),0)*M64/M64)+2*INT(MAX(Z64+(-1),0)*M64/N64)&gt;=L64),MAX(Z64+(-1),0)*M64,1000000000),IF(AND(MAX(Z64+(0),0)*M64&gt;0,Y64*INT(MAX(Z64+(0),0)*M64/M64)+2*INT(MAX(Z64+(0),0)*M64/N64)&gt;=L64),MAX(Z64+(0),0)*M64,1000000000),IF(AND(MAX(Z64+(1),0)*M64&gt;0,Y64*INT(MAX(Z64+(1),0)*M64/M64)+2*INT(MAX(Z64+(1),0)*M64/N64)&gt;=L64),MAX(Z64+(1),0)*M64,1000000000),IF(AND(MAX(Z64+(2),0)*M64&gt;0,Y64*INT(MAX(Z64+(2),0)*M64/M64)+2*INT(MAX(Z64+(2),0)*M64/N64)&gt;=L64),MAX(Z64+(2),0)*M64,1000000000),IF(AND(MAX(AA64+(-1),0)*N64&gt;0,Y64*INT(MAX(AA64+(-1),0)*N64/M64)+2*INT(MAX(AA64+(-1),0)*N64/N64)&gt;=L64),MAX(AA64+(-1),0)*N64,1000000000),IF(AND(MAX(AA64+(0),0)*N64&gt;0,Y64*INT(MAX(AA64+(0),0)*N64/M64)+2*INT(MAX(AA64+(0),0)*N64/N64)&gt;=L64),MAX(AA64+(0),0)*N64,1000000000),IF(AND(MAX(AA64+(1),0)*N64&gt;0,Y64*INT(MAX(AA64+(1),0)*N64/M64)+2*INT(MAX(AA64+(1),0)*N64/N64)&gt;=L64),MAX(AA64+(1),0)*N64,1000000000),IF(AND(MAX(AA64+(2),0)*N64&gt;0,Y64*INT(MAX(AA64+(2),0)*N64/M64)+2*INT(MAX(AA64+(2),0)*N64/N64)&gt;=L64),MAX(AA64+(2),0)*N64,1000000000)))</f>
        <v>4257</v>
      </c>
      <c r="AC64" s="42" t="n">
        <f aca="false">IF(L64=0,0,MIN(T64,X64,AB64))</f>
        <v>4257</v>
      </c>
      <c r="AD64" s="15" t="n">
        <f aca="false">I64*INDEX(lg_bkg_3464,B64)</f>
        <v>4178.0360192</v>
      </c>
      <c r="AE64" s="33" t="n">
        <f aca="false">I64*INDEX(lg_bvol_3464,B64)</f>
        <v>17.1267624</v>
      </c>
    </row>
    <row r="65" customFormat="false" ht="15" hidden="false" customHeight="false" outlineLevel="0" collapsed="false">
      <c r="A65" s="9" t="n">
        <v>4</v>
      </c>
      <c r="B65" s="9" t="n">
        <v>3</v>
      </c>
      <c r="C65" s="9" t="s">
        <v>16</v>
      </c>
      <c r="D65" s="10" t="n">
        <f aca="false">INDEX(cfg_ct,A65)</f>
        <v>3</v>
      </c>
      <c r="E65" s="10" t="n">
        <f aca="false">INDEX(cfg_n,A65)</f>
        <v>1</v>
      </c>
      <c r="F65" s="15" t="n">
        <f aca="false">INDEX(cfg_u_3463,A65,B65)</f>
        <v>21400</v>
      </c>
      <c r="G65" s="15" t="n">
        <f aca="false">F65/E65</f>
        <v>21400</v>
      </c>
      <c r="H65" s="10" t="n">
        <f aca="false">INDEX(lg_n_3463,B65)</f>
        <v>50</v>
      </c>
      <c r="I65" s="15" t="n">
        <f aca="false">ROUNDUP(G65/H65,0)</f>
        <v>428</v>
      </c>
      <c r="J65" s="10" t="n">
        <f aca="false">INDEX(lg_layers_3463_40HC,B65)</f>
        <v>28</v>
      </c>
      <c r="K65" s="26" t="n">
        <f aca="false">INDEX(in_use_efficiency,1,B65)</f>
        <v>0.9</v>
      </c>
      <c r="L65" s="10" t="n">
        <f aca="false">IF(I65=0,0,ROUNDUP(I65/(K65*J65)-0.000000001,0))</f>
        <v>17</v>
      </c>
      <c r="M65" s="10" t="n">
        <f aca="false">INDEX(lg_a_3463,B65)</f>
        <v>1040</v>
      </c>
      <c r="N65" s="10" t="n">
        <f aca="false">INDEX(lg_b_3463,B65)</f>
        <v>523</v>
      </c>
      <c r="O65" s="10" t="n">
        <f aca="false">INDEX(lg_Wu_40HC,B65)</f>
        <v>2330</v>
      </c>
      <c r="P65" s="10" t="n">
        <f aca="false">INDEX(lg_Lu_40HC,B65)</f>
        <v>11930</v>
      </c>
      <c r="Q65" s="10" t="n">
        <f aca="false">IF(O65-0*M65&gt;=0,INT((O65-0*M65)/N65),-1)</f>
        <v>4</v>
      </c>
      <c r="R65" s="10" t="n">
        <f aca="false">IF(AND(Q65&gt;=0,Q65+0&gt;0),ROUNDUP(L65/(Q65+0*M65/N65),0),0)</f>
        <v>5</v>
      </c>
      <c r="S65" s="10" t="n">
        <f aca="false">IF(AND(Q65&gt;=0,Q65+0&gt;0),ROUNDUP(L65/(Q65*N65/M65+0),0),0)</f>
        <v>9</v>
      </c>
      <c r="T65" s="10" t="n">
        <f aca="false">IF(OR(Q65&lt;0,Q65+0=0),1000000000,MIN(IF(AND(MAX(R65+(-1),0)*M65&gt;0,Q65*INT(MAX(R65+(-1),0)*M65/M65)+0*INT(MAX(R65+(-1),0)*M65/N65)&gt;=L65),MAX(R65+(-1),0)*M65,1000000000),IF(AND(MAX(R65+(0),0)*M65&gt;0,Q65*INT(MAX(R65+(0),0)*M65/M65)+0*INT(MAX(R65+(0),0)*M65/N65)&gt;=L65),MAX(R65+(0),0)*M65,1000000000),IF(AND(MAX(R65+(1),0)*M65&gt;0,Q65*INT(MAX(R65+(1),0)*M65/M65)+0*INT(MAX(R65+(1),0)*M65/N65)&gt;=L65),MAX(R65+(1),0)*M65,1000000000),IF(AND(MAX(R65+(2),0)*M65&gt;0,Q65*INT(MAX(R65+(2),0)*M65/M65)+0*INT(MAX(R65+(2),0)*M65/N65)&gt;=L65),MAX(R65+(2),0)*M65,1000000000),IF(AND(MAX(S65+(-1),0)*N65&gt;0,Q65*INT(MAX(S65+(-1),0)*N65/M65)+0*INT(MAX(S65+(-1),0)*N65/N65)&gt;=L65),MAX(S65+(-1),0)*N65,1000000000),IF(AND(MAX(S65+(0),0)*N65&gt;0,Q65*INT(MAX(S65+(0),0)*N65/M65)+0*INT(MAX(S65+(0),0)*N65/N65)&gt;=L65),MAX(S65+(0),0)*N65,1000000000),IF(AND(MAX(S65+(1),0)*N65&gt;0,Q65*INT(MAX(S65+(1),0)*N65/M65)+0*INT(MAX(S65+(1),0)*N65/N65)&gt;=L65),MAX(S65+(1),0)*N65,1000000000),IF(AND(MAX(S65+(2),0)*N65&gt;0,Q65*INT(MAX(S65+(2),0)*N65/M65)+0*INT(MAX(S65+(2),0)*N65/N65)&gt;=L65),MAX(S65+(2),0)*N65,1000000000)))</f>
        <v>5200</v>
      </c>
      <c r="U65" s="10" t="n">
        <f aca="false">IF(O65-1*M65&gt;=0,INT((O65-1*M65)/N65),-1)</f>
        <v>2</v>
      </c>
      <c r="V65" s="10" t="n">
        <f aca="false">IF(AND(U65&gt;=0,U65+1&gt;0),ROUNDUP(L65/(U65+1*M65/N65),0),0)</f>
        <v>5</v>
      </c>
      <c r="W65" s="10" t="n">
        <f aca="false">IF(AND(U65&gt;=0,U65+1&gt;0),ROUNDUP(L65/(U65*N65/M65+1),0),0)</f>
        <v>9</v>
      </c>
      <c r="X65" s="10" t="n">
        <f aca="false">IF(OR(U65&lt;0,U65+1=0),1000000000,MIN(IF(AND(MAX(V65+(-1),0)*M65&gt;0,U65*INT(MAX(V65+(-1),0)*M65/M65)+1*INT(MAX(V65+(-1),0)*M65/N65)&gt;=L65),MAX(V65+(-1),0)*M65,1000000000),IF(AND(MAX(V65+(0),0)*M65&gt;0,U65*INT(MAX(V65+(0),0)*M65/M65)+1*INT(MAX(V65+(0),0)*M65/N65)&gt;=L65),MAX(V65+(0),0)*M65,1000000000),IF(AND(MAX(V65+(1),0)*M65&gt;0,U65*INT(MAX(V65+(1),0)*M65/M65)+1*INT(MAX(V65+(1),0)*M65/N65)&gt;=L65),MAX(V65+(1),0)*M65,1000000000),IF(AND(MAX(V65+(2),0)*M65&gt;0,U65*INT(MAX(V65+(2),0)*M65/M65)+1*INT(MAX(V65+(2),0)*M65/N65)&gt;=L65),MAX(V65+(2),0)*M65,1000000000),IF(AND(MAX(W65+(-1),0)*N65&gt;0,U65*INT(MAX(W65+(-1),0)*N65/M65)+1*INT(MAX(W65+(-1),0)*N65/N65)&gt;=L65),MAX(W65+(-1),0)*N65,1000000000),IF(AND(MAX(W65+(0),0)*N65&gt;0,U65*INT(MAX(W65+(0),0)*N65/M65)+1*INT(MAX(W65+(0),0)*N65/N65)&gt;=L65),MAX(W65+(0),0)*N65,1000000000),IF(AND(MAX(W65+(1),0)*N65&gt;0,U65*INT(MAX(W65+(1),0)*N65/M65)+1*INT(MAX(W65+(1),0)*N65/N65)&gt;=L65),MAX(W65+(1),0)*N65,1000000000),IF(AND(MAX(W65+(2),0)*N65&gt;0,U65*INT(MAX(W65+(2),0)*N65/M65)+1*INT(MAX(W65+(2),0)*N65/N65)&gt;=L65),MAX(W65+(2),0)*N65,1000000000)))</f>
        <v>4707</v>
      </c>
      <c r="Y65" s="10" t="n">
        <f aca="false">IF(O65-2*M65&gt;=0,INT((O65-2*M65)/N65),-1)</f>
        <v>0</v>
      </c>
      <c r="Z65" s="10" t="n">
        <f aca="false">IF(AND(Y65&gt;=0,Y65+2&gt;0),ROUNDUP(L65/(Y65+2*M65/N65),0),0)</f>
        <v>5</v>
      </c>
      <c r="AA65" s="10" t="n">
        <f aca="false">IF(AND(Y65&gt;=0,Y65+2&gt;0),ROUNDUP(L65/(Y65*N65/M65+2),0),0)</f>
        <v>9</v>
      </c>
      <c r="AB65" s="10" t="n">
        <f aca="false">IF(OR(Y65&lt;0,Y65+2=0),1000000000,MIN(IF(AND(MAX(Z65+(-1),0)*M65&gt;0,Y65*INT(MAX(Z65+(-1),0)*M65/M65)+2*INT(MAX(Z65+(-1),0)*M65/N65)&gt;=L65),MAX(Z65+(-1),0)*M65,1000000000),IF(AND(MAX(Z65+(0),0)*M65&gt;0,Y65*INT(MAX(Z65+(0),0)*M65/M65)+2*INT(MAX(Z65+(0),0)*M65/N65)&gt;=L65),MAX(Z65+(0),0)*M65,1000000000),IF(AND(MAX(Z65+(1),0)*M65&gt;0,Y65*INT(MAX(Z65+(1),0)*M65/M65)+2*INT(MAX(Z65+(1),0)*M65/N65)&gt;=L65),MAX(Z65+(1),0)*M65,1000000000),IF(AND(MAX(Z65+(2),0)*M65&gt;0,Y65*INT(MAX(Z65+(2),0)*M65/M65)+2*INT(MAX(Z65+(2),0)*M65/N65)&gt;=L65),MAX(Z65+(2),0)*M65,1000000000),IF(AND(MAX(AA65+(-1),0)*N65&gt;0,Y65*INT(MAX(AA65+(-1),0)*N65/M65)+2*INT(MAX(AA65+(-1),0)*N65/N65)&gt;=L65),MAX(AA65+(-1),0)*N65,1000000000),IF(AND(MAX(AA65+(0),0)*N65&gt;0,Y65*INT(MAX(AA65+(0),0)*N65/M65)+2*INT(MAX(AA65+(0),0)*N65/N65)&gt;=L65),MAX(AA65+(0),0)*N65,1000000000),IF(AND(MAX(AA65+(1),0)*N65&gt;0,Y65*INT(MAX(AA65+(1),0)*N65/M65)+2*INT(MAX(AA65+(1),0)*N65/N65)&gt;=L65),MAX(AA65+(1),0)*N65,1000000000),IF(AND(MAX(AA65+(2),0)*N65&gt;0,Y65*INT(MAX(AA65+(2),0)*N65/M65)+2*INT(MAX(AA65+(2),0)*N65/N65)&gt;=L65),MAX(AA65+(2),0)*N65,1000000000)))</f>
        <v>4707</v>
      </c>
      <c r="AC65" s="42" t="n">
        <f aca="false">IF(L65=0,0,MIN(T65,X65,AB65))</f>
        <v>4707</v>
      </c>
      <c r="AD65" s="15" t="n">
        <f aca="false">I65*INDEX(lg_bkg_3463,B65)</f>
        <v>5109.3571712</v>
      </c>
      <c r="AE65" s="33" t="n">
        <f aca="false">I65*INDEX(lg_bvol_3463,B65)</f>
        <v>20.9517984</v>
      </c>
    </row>
    <row r="66" customFormat="false" ht="15" hidden="false" customHeight="false" outlineLevel="0" collapsed="false">
      <c r="A66" s="9" t="n">
        <v>4</v>
      </c>
      <c r="B66" s="9" t="n">
        <v>3</v>
      </c>
      <c r="C66" s="9" t="s">
        <v>17</v>
      </c>
      <c r="D66" s="10" t="n">
        <f aca="false">INDEX(cfg_ct,A66)</f>
        <v>3</v>
      </c>
      <c r="E66" s="10" t="n">
        <f aca="false">INDEX(cfg_n,A66)</f>
        <v>1</v>
      </c>
      <c r="F66" s="15" t="n">
        <f aca="false">INDEX(cfg_u_3460,A66,B66)</f>
        <v>21400</v>
      </c>
      <c r="G66" s="15" t="n">
        <f aca="false">F66/E66</f>
        <v>21400</v>
      </c>
      <c r="H66" s="10" t="n">
        <f aca="false">INDEX(lg_n_3460,B66)</f>
        <v>50</v>
      </c>
      <c r="I66" s="15" t="n">
        <f aca="false">ROUNDUP(G66/H66,0)</f>
        <v>428</v>
      </c>
      <c r="J66" s="10" t="n">
        <f aca="false">INDEX(lg_layers_3460_40HC,B66)</f>
        <v>28</v>
      </c>
      <c r="K66" s="26" t="n">
        <f aca="false">INDEX(in_use_efficiency,1,B66)</f>
        <v>0.9</v>
      </c>
      <c r="L66" s="10" t="n">
        <f aca="false">IF(I66=0,0,ROUNDUP(I66/(K66*J66)-0.000000001,0))</f>
        <v>17</v>
      </c>
      <c r="M66" s="10" t="n">
        <f aca="false">INDEX(lg_a_3460,B66)</f>
        <v>840</v>
      </c>
      <c r="N66" s="10" t="n">
        <f aca="false">INDEX(lg_b_3460,B66)</f>
        <v>423</v>
      </c>
      <c r="O66" s="10" t="n">
        <f aca="false">INDEX(lg_Wu_40HC,B66)</f>
        <v>2330</v>
      </c>
      <c r="P66" s="10" t="n">
        <f aca="false">INDEX(lg_Lu_40HC,B66)</f>
        <v>11930</v>
      </c>
      <c r="Q66" s="10" t="n">
        <f aca="false">IF(O66-0*M66&gt;=0,INT((O66-0*M66)/N66),-1)</f>
        <v>5</v>
      </c>
      <c r="R66" s="10" t="n">
        <f aca="false">IF(AND(Q66&gt;=0,Q66+0&gt;0),ROUNDUP(L66/(Q66+0*M66/N66),0),0)</f>
        <v>4</v>
      </c>
      <c r="S66" s="10" t="n">
        <f aca="false">IF(AND(Q66&gt;=0,Q66+0&gt;0),ROUNDUP(L66/(Q66*N66/M66+0),0),0)</f>
        <v>7</v>
      </c>
      <c r="T66" s="10" t="n">
        <f aca="false">IF(OR(Q66&lt;0,Q66+0=0),1000000000,MIN(IF(AND(MAX(R66+(-1),0)*M66&gt;0,Q66*INT(MAX(R66+(-1),0)*M66/M66)+0*INT(MAX(R66+(-1),0)*M66/N66)&gt;=L66),MAX(R66+(-1),0)*M66,1000000000),IF(AND(MAX(R66+(0),0)*M66&gt;0,Q66*INT(MAX(R66+(0),0)*M66/M66)+0*INT(MAX(R66+(0),0)*M66/N66)&gt;=L66),MAX(R66+(0),0)*M66,1000000000),IF(AND(MAX(R66+(1),0)*M66&gt;0,Q66*INT(MAX(R66+(1),0)*M66/M66)+0*INT(MAX(R66+(1),0)*M66/N66)&gt;=L66),MAX(R66+(1),0)*M66,1000000000),IF(AND(MAX(R66+(2),0)*M66&gt;0,Q66*INT(MAX(R66+(2),0)*M66/M66)+0*INT(MAX(R66+(2),0)*M66/N66)&gt;=L66),MAX(R66+(2),0)*M66,1000000000),IF(AND(MAX(S66+(-1),0)*N66&gt;0,Q66*INT(MAX(S66+(-1),0)*N66/M66)+0*INT(MAX(S66+(-1),0)*N66/N66)&gt;=L66),MAX(S66+(-1),0)*N66,1000000000),IF(AND(MAX(S66+(0),0)*N66&gt;0,Q66*INT(MAX(S66+(0),0)*N66/M66)+0*INT(MAX(S66+(0),0)*N66/N66)&gt;=L66),MAX(S66+(0),0)*N66,1000000000),IF(AND(MAX(S66+(1),0)*N66&gt;0,Q66*INT(MAX(S66+(1),0)*N66/M66)+0*INT(MAX(S66+(1),0)*N66/N66)&gt;=L66),MAX(S66+(1),0)*N66,1000000000),IF(AND(MAX(S66+(2),0)*N66&gt;0,Q66*INT(MAX(S66+(2),0)*N66/M66)+0*INT(MAX(S66+(2),0)*N66/N66)&gt;=L66),MAX(S66+(2),0)*N66,1000000000)))</f>
        <v>3360</v>
      </c>
      <c r="U66" s="10" t="n">
        <f aca="false">IF(O66-1*M66&gt;=0,INT((O66-1*M66)/N66),-1)</f>
        <v>3</v>
      </c>
      <c r="V66" s="10" t="n">
        <f aca="false">IF(AND(U66&gt;=0,U66+1&gt;0),ROUNDUP(L66/(U66+1*M66/N66),0),0)</f>
        <v>4</v>
      </c>
      <c r="W66" s="10" t="n">
        <f aca="false">IF(AND(U66&gt;=0,U66+1&gt;0),ROUNDUP(L66/(U66*N66/M66+1),0),0)</f>
        <v>7</v>
      </c>
      <c r="X66" s="10" t="n">
        <f aca="false">IF(OR(U66&lt;0,U66+1=0),1000000000,MIN(IF(AND(MAX(V66+(-1),0)*M66&gt;0,U66*INT(MAX(V66+(-1),0)*M66/M66)+1*INT(MAX(V66+(-1),0)*M66/N66)&gt;=L66),MAX(V66+(-1),0)*M66,1000000000),IF(AND(MAX(V66+(0),0)*M66&gt;0,U66*INT(MAX(V66+(0),0)*M66/M66)+1*INT(MAX(V66+(0),0)*M66/N66)&gt;=L66),MAX(V66+(0),0)*M66,1000000000),IF(AND(MAX(V66+(1),0)*M66&gt;0,U66*INT(MAX(V66+(1),0)*M66/M66)+1*INT(MAX(V66+(1),0)*M66/N66)&gt;=L66),MAX(V66+(1),0)*M66,1000000000),IF(AND(MAX(V66+(2),0)*M66&gt;0,U66*INT(MAX(V66+(2),0)*M66/M66)+1*INT(MAX(V66+(2),0)*M66/N66)&gt;=L66),MAX(V66+(2),0)*M66,1000000000),IF(AND(MAX(W66+(-1),0)*N66&gt;0,U66*INT(MAX(W66+(-1),0)*N66/M66)+1*INT(MAX(W66+(-1),0)*N66/N66)&gt;=L66),MAX(W66+(-1),0)*N66,1000000000),IF(AND(MAX(W66+(0),0)*N66&gt;0,U66*INT(MAX(W66+(0),0)*N66/M66)+1*INT(MAX(W66+(0),0)*N66/N66)&gt;=L66),MAX(W66+(0),0)*N66,1000000000),IF(AND(MAX(W66+(1),0)*N66&gt;0,U66*INT(MAX(W66+(1),0)*N66/M66)+1*INT(MAX(W66+(1),0)*N66/N66)&gt;=L66),MAX(W66+(1),0)*N66,1000000000),IF(AND(MAX(W66+(2),0)*N66&gt;0,U66*INT(MAX(W66+(2),0)*N66/M66)+1*INT(MAX(W66+(2),0)*N66/N66)&gt;=L66),MAX(W66+(2),0)*N66,1000000000)))</f>
        <v>3360</v>
      </c>
      <c r="Y66" s="10" t="n">
        <f aca="false">IF(O66-2*M66&gt;=0,INT((O66-2*M66)/N66),-1)</f>
        <v>1</v>
      </c>
      <c r="Z66" s="10" t="n">
        <f aca="false">IF(AND(Y66&gt;=0,Y66+2&gt;0),ROUNDUP(L66/(Y66+2*M66/N66),0),0)</f>
        <v>4</v>
      </c>
      <c r="AA66" s="10" t="n">
        <f aca="false">IF(AND(Y66&gt;=0,Y66+2&gt;0),ROUNDUP(L66/(Y66*N66/M66+2),0),0)</f>
        <v>7</v>
      </c>
      <c r="AB66" s="10" t="n">
        <f aca="false">IF(OR(Y66&lt;0,Y66+2=0),1000000000,MIN(IF(AND(MAX(Z66+(-1),0)*M66&gt;0,Y66*INT(MAX(Z66+(-1),0)*M66/M66)+2*INT(MAX(Z66+(-1),0)*M66/N66)&gt;=L66),MAX(Z66+(-1),0)*M66,1000000000),IF(AND(MAX(Z66+(0),0)*M66&gt;0,Y66*INT(MAX(Z66+(0),0)*M66/M66)+2*INT(MAX(Z66+(0),0)*M66/N66)&gt;=L66),MAX(Z66+(0),0)*M66,1000000000),IF(AND(MAX(Z66+(1),0)*M66&gt;0,Y66*INT(MAX(Z66+(1),0)*M66/M66)+2*INT(MAX(Z66+(1),0)*M66/N66)&gt;=L66),MAX(Z66+(1),0)*M66,1000000000),IF(AND(MAX(Z66+(2),0)*M66&gt;0,Y66*INT(MAX(Z66+(2),0)*M66/M66)+2*INT(MAX(Z66+(2),0)*M66/N66)&gt;=L66),MAX(Z66+(2),0)*M66,1000000000),IF(AND(MAX(AA66+(-1),0)*N66&gt;0,Y66*INT(MAX(AA66+(-1),0)*N66/M66)+2*INT(MAX(AA66+(-1),0)*N66/N66)&gt;=L66),MAX(AA66+(-1),0)*N66,1000000000),IF(AND(MAX(AA66+(0),0)*N66&gt;0,Y66*INT(MAX(AA66+(0),0)*N66/M66)+2*INT(MAX(AA66+(0),0)*N66/N66)&gt;=L66),MAX(AA66+(0),0)*N66,1000000000),IF(AND(MAX(AA66+(1),0)*N66&gt;0,Y66*INT(MAX(AA66+(1),0)*N66/M66)+2*INT(MAX(AA66+(1),0)*N66/N66)&gt;=L66),MAX(AA66+(1),0)*N66,1000000000),IF(AND(MAX(AA66+(2),0)*N66&gt;0,Y66*INT(MAX(AA66+(2),0)*N66/M66)+2*INT(MAX(AA66+(2),0)*N66/N66)&gt;=L66),MAX(AA66+(2),0)*N66,1000000000)))</f>
        <v>2961</v>
      </c>
      <c r="AC66" s="42" t="n">
        <f aca="false">IF(L66=0,0,MIN(T66,X66,AB66))</f>
        <v>2961</v>
      </c>
      <c r="AD66" s="15" t="n">
        <f aca="false">I66*INDEX(lg_bkg_3460,B66)</f>
        <v>3341.2172672</v>
      </c>
      <c r="AE66" s="33" t="n">
        <f aca="false">I66*INDEX(lg_bvol_3460,B66)</f>
        <v>13.6869264</v>
      </c>
    </row>
    <row r="67" customFormat="false" ht="15" hidden="false" customHeight="false" outlineLevel="0" collapsed="false">
      <c r="A67" s="9" t="n">
        <v>5</v>
      </c>
      <c r="B67" s="9" t="n">
        <v>1</v>
      </c>
      <c r="C67" s="9" t="s">
        <v>15</v>
      </c>
      <c r="D67" s="10" t="n">
        <f aca="false">INDEX(cfg_ct,A67)</f>
        <v>3</v>
      </c>
      <c r="E67" s="10" t="n">
        <f aca="false">INDEX(cfg_n,A67)</f>
        <v>1</v>
      </c>
      <c r="F67" s="15" t="n">
        <f aca="false">INDEX(cfg_u_3464,A67,B67)</f>
        <v>82450</v>
      </c>
      <c r="G67" s="15" t="n">
        <f aca="false">F67/E67</f>
        <v>82450</v>
      </c>
      <c r="H67" s="10" t="n">
        <f aca="false">INDEX(lg_n_3464,B67)</f>
        <v>50</v>
      </c>
      <c r="I67" s="15" t="n">
        <f aca="false">ROUNDUP(G67/H67,0)</f>
        <v>1649</v>
      </c>
      <c r="J67" s="10" t="n">
        <f aca="false">INDEX(lg_layers_3464_40HC,B67)</f>
        <v>34</v>
      </c>
      <c r="K67" s="26" t="n">
        <f aca="false">INDEX(in_use_efficiency,1,B67)</f>
        <v>0.97</v>
      </c>
      <c r="L67" s="10" t="n">
        <f aca="false">IF(I67=0,0,ROUNDUP(I67/(K67*J67)-0.000000001,0))</f>
        <v>50</v>
      </c>
      <c r="M67" s="10" t="n">
        <f aca="false">INDEX(lg_a_3464,B67)</f>
        <v>940</v>
      </c>
      <c r="N67" s="10" t="n">
        <f aca="false">INDEX(lg_b_3464,B67)</f>
        <v>473</v>
      </c>
      <c r="O67" s="10" t="n">
        <f aca="false">INDEX(lg_Wu_40HC,B67)</f>
        <v>2330</v>
      </c>
      <c r="P67" s="10" t="n">
        <f aca="false">INDEX(lg_Lu_40HC,B67)</f>
        <v>11930</v>
      </c>
      <c r="Q67" s="10" t="n">
        <f aca="false">IF(O67-0*M67&gt;=0,INT((O67-0*M67)/N67),-1)</f>
        <v>4</v>
      </c>
      <c r="R67" s="10" t="n">
        <f aca="false">IF(AND(Q67&gt;=0,Q67+0&gt;0),ROUNDUP(L67/(Q67+0*M67/N67),0),0)</f>
        <v>13</v>
      </c>
      <c r="S67" s="10" t="n">
        <f aca="false">IF(AND(Q67&gt;=0,Q67+0&gt;0),ROUNDUP(L67/(Q67*N67/M67+0),0),0)</f>
        <v>25</v>
      </c>
      <c r="T67" s="10" t="n">
        <f aca="false">IF(OR(Q67&lt;0,Q67+0=0),1000000000,MIN(IF(AND(MAX(R67+(-1),0)*M67&gt;0,Q67*INT(MAX(R67+(-1),0)*M67/M67)+0*INT(MAX(R67+(-1),0)*M67/N67)&gt;=L67),MAX(R67+(-1),0)*M67,1000000000),IF(AND(MAX(R67+(0),0)*M67&gt;0,Q67*INT(MAX(R67+(0),0)*M67/M67)+0*INT(MAX(R67+(0),0)*M67/N67)&gt;=L67),MAX(R67+(0),0)*M67,1000000000),IF(AND(MAX(R67+(1),0)*M67&gt;0,Q67*INT(MAX(R67+(1),0)*M67/M67)+0*INT(MAX(R67+(1),0)*M67/N67)&gt;=L67),MAX(R67+(1),0)*M67,1000000000),IF(AND(MAX(R67+(2),0)*M67&gt;0,Q67*INT(MAX(R67+(2),0)*M67/M67)+0*INT(MAX(R67+(2),0)*M67/N67)&gt;=L67),MAX(R67+(2),0)*M67,1000000000),IF(AND(MAX(S67+(-1),0)*N67&gt;0,Q67*INT(MAX(S67+(-1),0)*N67/M67)+0*INT(MAX(S67+(-1),0)*N67/N67)&gt;=L67),MAX(S67+(-1),0)*N67,1000000000),IF(AND(MAX(S67+(0),0)*N67&gt;0,Q67*INT(MAX(S67+(0),0)*N67/M67)+0*INT(MAX(S67+(0),0)*N67/N67)&gt;=L67),MAX(S67+(0),0)*N67,1000000000),IF(AND(MAX(S67+(1),0)*N67&gt;0,Q67*INT(MAX(S67+(1),0)*N67/M67)+0*INT(MAX(S67+(1),0)*N67/N67)&gt;=L67),MAX(S67+(1),0)*N67,1000000000),IF(AND(MAX(S67+(2),0)*N67&gt;0,Q67*INT(MAX(S67+(2),0)*N67/M67)+0*INT(MAX(S67+(2),0)*N67/N67)&gt;=L67),MAX(S67+(2),0)*N67,1000000000)))</f>
        <v>12220</v>
      </c>
      <c r="U67" s="10" t="n">
        <f aca="false">IF(O67-1*M67&gt;=0,INT((O67-1*M67)/N67),-1)</f>
        <v>2</v>
      </c>
      <c r="V67" s="10" t="n">
        <f aca="false">IF(AND(U67&gt;=0,U67+1&gt;0),ROUNDUP(L67/(U67+1*M67/N67),0),0)</f>
        <v>13</v>
      </c>
      <c r="W67" s="10" t="n">
        <f aca="false">IF(AND(U67&gt;=0,U67+1&gt;0),ROUNDUP(L67/(U67*N67/M67+1),0),0)</f>
        <v>25</v>
      </c>
      <c r="X67" s="10" t="n">
        <f aca="false">IF(OR(U67&lt;0,U67+1=0),1000000000,MIN(IF(AND(MAX(V67+(-1),0)*M67&gt;0,U67*INT(MAX(V67+(-1),0)*M67/M67)+1*INT(MAX(V67+(-1),0)*M67/N67)&gt;=L67),MAX(V67+(-1),0)*M67,1000000000),IF(AND(MAX(V67+(0),0)*M67&gt;0,U67*INT(MAX(V67+(0),0)*M67/M67)+1*INT(MAX(V67+(0),0)*M67/N67)&gt;=L67),MAX(V67+(0),0)*M67,1000000000),IF(AND(MAX(V67+(1),0)*M67&gt;0,U67*INT(MAX(V67+(1),0)*M67/M67)+1*INT(MAX(V67+(1),0)*M67/N67)&gt;=L67),MAX(V67+(1),0)*M67,1000000000),IF(AND(MAX(V67+(2),0)*M67&gt;0,U67*INT(MAX(V67+(2),0)*M67/M67)+1*INT(MAX(V67+(2),0)*M67/N67)&gt;=L67),MAX(V67+(2),0)*M67,1000000000),IF(AND(MAX(W67+(-1),0)*N67&gt;0,U67*INT(MAX(W67+(-1),0)*N67/M67)+1*INT(MAX(W67+(-1),0)*N67/N67)&gt;=L67),MAX(W67+(-1),0)*N67,1000000000),IF(AND(MAX(W67+(0),0)*N67&gt;0,U67*INT(MAX(W67+(0),0)*N67/M67)+1*INT(MAX(W67+(0),0)*N67/N67)&gt;=L67),MAX(W67+(0),0)*N67,1000000000),IF(AND(MAX(W67+(1),0)*N67&gt;0,U67*INT(MAX(W67+(1),0)*N67/M67)+1*INT(MAX(W67+(1),0)*N67/N67)&gt;=L67),MAX(W67+(1),0)*N67,1000000000),IF(AND(MAX(W67+(2),0)*N67&gt;0,U67*INT(MAX(W67+(2),0)*N67/M67)+1*INT(MAX(W67+(2),0)*N67/N67)&gt;=L67),MAX(W67+(2),0)*N67,1000000000)))</f>
        <v>12220</v>
      </c>
      <c r="Y67" s="10" t="n">
        <f aca="false">IF(O67-2*M67&gt;=0,INT((O67-2*M67)/N67),-1)</f>
        <v>0</v>
      </c>
      <c r="Z67" s="10" t="n">
        <f aca="false">IF(AND(Y67&gt;=0,Y67+2&gt;0),ROUNDUP(L67/(Y67+2*M67/N67),0),0)</f>
        <v>13</v>
      </c>
      <c r="AA67" s="10" t="n">
        <f aca="false">IF(AND(Y67&gt;=0,Y67+2&gt;0),ROUNDUP(L67/(Y67*N67/M67+2),0),0)</f>
        <v>25</v>
      </c>
      <c r="AB67" s="10" t="n">
        <f aca="false">IF(OR(Y67&lt;0,Y67+2=0),1000000000,MIN(IF(AND(MAX(Z67+(-1),0)*M67&gt;0,Y67*INT(MAX(Z67+(-1),0)*M67/M67)+2*INT(MAX(Z67+(-1),0)*M67/N67)&gt;=L67),MAX(Z67+(-1),0)*M67,1000000000),IF(AND(MAX(Z67+(0),0)*M67&gt;0,Y67*INT(MAX(Z67+(0),0)*M67/M67)+2*INT(MAX(Z67+(0),0)*M67/N67)&gt;=L67),MAX(Z67+(0),0)*M67,1000000000),IF(AND(MAX(Z67+(1),0)*M67&gt;0,Y67*INT(MAX(Z67+(1),0)*M67/M67)+2*INT(MAX(Z67+(1),0)*M67/N67)&gt;=L67),MAX(Z67+(1),0)*M67,1000000000),IF(AND(MAX(Z67+(2),0)*M67&gt;0,Y67*INT(MAX(Z67+(2),0)*M67/M67)+2*INT(MAX(Z67+(2),0)*M67/N67)&gt;=L67),MAX(Z67+(2),0)*M67,1000000000),IF(AND(MAX(AA67+(-1),0)*N67&gt;0,Y67*INT(MAX(AA67+(-1),0)*N67/M67)+2*INT(MAX(AA67+(-1),0)*N67/N67)&gt;=L67),MAX(AA67+(-1),0)*N67,1000000000),IF(AND(MAX(AA67+(0),0)*N67&gt;0,Y67*INT(MAX(AA67+(0),0)*N67/M67)+2*INT(MAX(AA67+(0),0)*N67/N67)&gt;=L67),MAX(AA67+(0),0)*N67,1000000000),IF(AND(MAX(AA67+(1),0)*N67&gt;0,Y67*INT(MAX(AA67+(1),0)*N67/M67)+2*INT(MAX(AA67+(1),0)*N67/N67)&gt;=L67),MAX(AA67+(1),0)*N67,1000000000),IF(AND(MAX(AA67+(2),0)*N67&gt;0,Y67*INT(MAX(AA67+(2),0)*N67/M67)+2*INT(MAX(AA67+(2),0)*N67/N67)&gt;=L67),MAX(AA67+(2),0)*N67,1000000000)))</f>
        <v>11825</v>
      </c>
      <c r="AC67" s="42" t="n">
        <f aca="false">IF(L67=0,0,MIN(T67,X67,AB67))</f>
        <v>11825</v>
      </c>
      <c r="AD67" s="15" t="n">
        <f aca="false">I67*INDEX(lg_bkg_3464,B67)</f>
        <v>13441.777328</v>
      </c>
      <c r="AE67" s="33" t="n">
        <f aca="false">I67*INDEX(lg_bvol_3464,B67)</f>
        <v>54.9883785</v>
      </c>
    </row>
    <row r="68" customFormat="false" ht="15" hidden="false" customHeight="false" outlineLevel="0" collapsed="false">
      <c r="A68" s="9" t="n">
        <v>5</v>
      </c>
      <c r="B68" s="9" t="n">
        <v>1</v>
      </c>
      <c r="C68" s="9" t="s">
        <v>16</v>
      </c>
      <c r="D68" s="10" t="n">
        <f aca="false">INDEX(cfg_ct,A68)</f>
        <v>3</v>
      </c>
      <c r="E68" s="10" t="n">
        <f aca="false">INDEX(cfg_n,A68)</f>
        <v>1</v>
      </c>
      <c r="F68" s="15" t="n">
        <f aca="false">INDEX(cfg_u_3463,A68,B68)</f>
        <v>0</v>
      </c>
      <c r="G68" s="15" t="n">
        <f aca="false">F68/E68</f>
        <v>0</v>
      </c>
      <c r="H68" s="10" t="n">
        <f aca="false">INDEX(lg_n_3463,B68)</f>
        <v>50</v>
      </c>
      <c r="I68" s="15" t="n">
        <f aca="false">ROUNDUP(G68/H68,0)</f>
        <v>0</v>
      </c>
      <c r="J68" s="10" t="n">
        <f aca="false">INDEX(lg_layers_3463_40HC,B68)</f>
        <v>34</v>
      </c>
      <c r="K68" s="26" t="n">
        <f aca="false">INDEX(in_use_efficiency,1,B68)</f>
        <v>0.97</v>
      </c>
      <c r="L68" s="10" t="n">
        <f aca="false">IF(I68=0,0,ROUNDUP(I68/(K68*J68)-0.000000001,0))</f>
        <v>0</v>
      </c>
      <c r="M68" s="10" t="n">
        <f aca="false">INDEX(lg_a_3463,B68)</f>
        <v>1040</v>
      </c>
      <c r="N68" s="10" t="n">
        <f aca="false">INDEX(lg_b_3463,B68)</f>
        <v>523</v>
      </c>
      <c r="O68" s="10" t="n">
        <f aca="false">INDEX(lg_Wu_40HC,B68)</f>
        <v>2330</v>
      </c>
      <c r="P68" s="10" t="n">
        <f aca="false">INDEX(lg_Lu_40HC,B68)</f>
        <v>11930</v>
      </c>
      <c r="Q68" s="10" t="n">
        <f aca="false">IF(O68-0*M68&gt;=0,INT((O68-0*M68)/N68),-1)</f>
        <v>4</v>
      </c>
      <c r="R68" s="10" t="n">
        <f aca="false">IF(AND(Q68&gt;=0,Q68+0&gt;0),ROUNDUP(L68/(Q68+0*M68/N68),0),0)</f>
        <v>0</v>
      </c>
      <c r="S68" s="10" t="n">
        <f aca="false">IF(AND(Q68&gt;=0,Q68+0&gt;0),ROUNDUP(L68/(Q68*N68/M68+0),0),0)</f>
        <v>0</v>
      </c>
      <c r="T68" s="10" t="n">
        <f aca="false">IF(OR(Q68&lt;0,Q68+0=0),1000000000,MIN(IF(AND(MAX(R68+(-1),0)*M68&gt;0,Q68*INT(MAX(R68+(-1),0)*M68/M68)+0*INT(MAX(R68+(-1),0)*M68/N68)&gt;=L68),MAX(R68+(-1),0)*M68,1000000000),IF(AND(MAX(R68+(0),0)*M68&gt;0,Q68*INT(MAX(R68+(0),0)*M68/M68)+0*INT(MAX(R68+(0),0)*M68/N68)&gt;=L68),MAX(R68+(0),0)*M68,1000000000),IF(AND(MAX(R68+(1),0)*M68&gt;0,Q68*INT(MAX(R68+(1),0)*M68/M68)+0*INT(MAX(R68+(1),0)*M68/N68)&gt;=L68),MAX(R68+(1),0)*M68,1000000000),IF(AND(MAX(R68+(2),0)*M68&gt;0,Q68*INT(MAX(R68+(2),0)*M68/M68)+0*INT(MAX(R68+(2),0)*M68/N68)&gt;=L68),MAX(R68+(2),0)*M68,1000000000),IF(AND(MAX(S68+(-1),0)*N68&gt;0,Q68*INT(MAX(S68+(-1),0)*N68/M68)+0*INT(MAX(S68+(-1),0)*N68/N68)&gt;=L68),MAX(S68+(-1),0)*N68,1000000000),IF(AND(MAX(S68+(0),0)*N68&gt;0,Q68*INT(MAX(S68+(0),0)*N68/M68)+0*INT(MAX(S68+(0),0)*N68/N68)&gt;=L68),MAX(S68+(0),0)*N68,1000000000),IF(AND(MAX(S68+(1),0)*N68&gt;0,Q68*INT(MAX(S68+(1),0)*N68/M68)+0*INT(MAX(S68+(1),0)*N68/N68)&gt;=L68),MAX(S68+(1),0)*N68,1000000000),IF(AND(MAX(S68+(2),0)*N68&gt;0,Q68*INT(MAX(S68+(2),0)*N68/M68)+0*INT(MAX(S68+(2),0)*N68/N68)&gt;=L68),MAX(S68+(2),0)*N68,1000000000)))</f>
        <v>523</v>
      </c>
      <c r="U68" s="10" t="n">
        <f aca="false">IF(O68-1*M68&gt;=0,INT((O68-1*M68)/N68),-1)</f>
        <v>2</v>
      </c>
      <c r="V68" s="10" t="n">
        <f aca="false">IF(AND(U68&gt;=0,U68+1&gt;0),ROUNDUP(L68/(U68+1*M68/N68),0),0)</f>
        <v>0</v>
      </c>
      <c r="W68" s="10" t="n">
        <f aca="false">IF(AND(U68&gt;=0,U68+1&gt;0),ROUNDUP(L68/(U68*N68/M68+1),0),0)</f>
        <v>0</v>
      </c>
      <c r="X68" s="10" t="n">
        <f aca="false">IF(OR(U68&lt;0,U68+1=0),1000000000,MIN(IF(AND(MAX(V68+(-1),0)*M68&gt;0,U68*INT(MAX(V68+(-1),0)*M68/M68)+1*INT(MAX(V68+(-1),0)*M68/N68)&gt;=L68),MAX(V68+(-1),0)*M68,1000000000),IF(AND(MAX(V68+(0),0)*M68&gt;0,U68*INT(MAX(V68+(0),0)*M68/M68)+1*INT(MAX(V68+(0),0)*M68/N68)&gt;=L68),MAX(V68+(0),0)*M68,1000000000),IF(AND(MAX(V68+(1),0)*M68&gt;0,U68*INT(MAX(V68+(1),0)*M68/M68)+1*INT(MAX(V68+(1),0)*M68/N68)&gt;=L68),MAX(V68+(1),0)*M68,1000000000),IF(AND(MAX(V68+(2),0)*M68&gt;0,U68*INT(MAX(V68+(2),0)*M68/M68)+1*INT(MAX(V68+(2),0)*M68/N68)&gt;=L68),MAX(V68+(2),0)*M68,1000000000),IF(AND(MAX(W68+(-1),0)*N68&gt;0,U68*INT(MAX(W68+(-1),0)*N68/M68)+1*INT(MAX(W68+(-1),0)*N68/N68)&gt;=L68),MAX(W68+(-1),0)*N68,1000000000),IF(AND(MAX(W68+(0),0)*N68&gt;0,U68*INT(MAX(W68+(0),0)*N68/M68)+1*INT(MAX(W68+(0),0)*N68/N68)&gt;=L68),MAX(W68+(0),0)*N68,1000000000),IF(AND(MAX(W68+(1),0)*N68&gt;0,U68*INT(MAX(W68+(1),0)*N68/M68)+1*INT(MAX(W68+(1),0)*N68/N68)&gt;=L68),MAX(W68+(1),0)*N68,1000000000),IF(AND(MAX(W68+(2),0)*N68&gt;0,U68*INT(MAX(W68+(2),0)*N68/M68)+1*INT(MAX(W68+(2),0)*N68/N68)&gt;=L68),MAX(W68+(2),0)*N68,1000000000)))</f>
        <v>523</v>
      </c>
      <c r="Y68" s="10" t="n">
        <f aca="false">IF(O68-2*M68&gt;=0,INT((O68-2*M68)/N68),-1)</f>
        <v>0</v>
      </c>
      <c r="Z68" s="10" t="n">
        <f aca="false">IF(AND(Y68&gt;=0,Y68+2&gt;0),ROUNDUP(L68/(Y68+2*M68/N68),0),0)</f>
        <v>0</v>
      </c>
      <c r="AA68" s="10" t="n">
        <f aca="false">IF(AND(Y68&gt;=0,Y68+2&gt;0),ROUNDUP(L68/(Y68*N68/M68+2),0),0)</f>
        <v>0</v>
      </c>
      <c r="AB68" s="10" t="n">
        <f aca="false">IF(OR(Y68&lt;0,Y68+2=0),1000000000,MIN(IF(AND(MAX(Z68+(-1),0)*M68&gt;0,Y68*INT(MAX(Z68+(-1),0)*M68/M68)+2*INT(MAX(Z68+(-1),0)*M68/N68)&gt;=L68),MAX(Z68+(-1),0)*M68,1000000000),IF(AND(MAX(Z68+(0),0)*M68&gt;0,Y68*INT(MAX(Z68+(0),0)*M68/M68)+2*INT(MAX(Z68+(0),0)*M68/N68)&gt;=L68),MAX(Z68+(0),0)*M68,1000000000),IF(AND(MAX(Z68+(1),0)*M68&gt;0,Y68*INT(MAX(Z68+(1),0)*M68/M68)+2*INT(MAX(Z68+(1),0)*M68/N68)&gt;=L68),MAX(Z68+(1),0)*M68,1000000000),IF(AND(MAX(Z68+(2),0)*M68&gt;0,Y68*INT(MAX(Z68+(2),0)*M68/M68)+2*INT(MAX(Z68+(2),0)*M68/N68)&gt;=L68),MAX(Z68+(2),0)*M68,1000000000),IF(AND(MAX(AA68+(-1),0)*N68&gt;0,Y68*INT(MAX(AA68+(-1),0)*N68/M68)+2*INT(MAX(AA68+(-1),0)*N68/N68)&gt;=L68),MAX(AA68+(-1),0)*N68,1000000000),IF(AND(MAX(AA68+(0),0)*N68&gt;0,Y68*INT(MAX(AA68+(0),0)*N68/M68)+2*INT(MAX(AA68+(0),0)*N68/N68)&gt;=L68),MAX(AA68+(0),0)*N68,1000000000),IF(AND(MAX(AA68+(1),0)*N68&gt;0,Y68*INT(MAX(AA68+(1),0)*N68/M68)+2*INT(MAX(AA68+(1),0)*N68/N68)&gt;=L68),MAX(AA68+(1),0)*N68,1000000000),IF(AND(MAX(AA68+(2),0)*N68&gt;0,Y68*INT(MAX(AA68+(2),0)*N68/M68)+2*INT(MAX(AA68+(2),0)*N68/N68)&gt;=L68),MAX(AA68+(2),0)*N68,1000000000)))</f>
        <v>523</v>
      </c>
      <c r="AC68" s="42" t="n">
        <f aca="false">IF(L68=0,0,MIN(T68,X68,AB68))</f>
        <v>0</v>
      </c>
      <c r="AD68" s="15" t="n">
        <f aca="false">I68*INDEX(lg_bkg_3463,B68)</f>
        <v>0</v>
      </c>
      <c r="AE68" s="33" t="n">
        <f aca="false">I68*INDEX(lg_bvol_3463,B68)</f>
        <v>0</v>
      </c>
    </row>
    <row r="69" customFormat="false" ht="15" hidden="false" customHeight="false" outlineLevel="0" collapsed="false">
      <c r="A69" s="9" t="n">
        <v>5</v>
      </c>
      <c r="B69" s="9" t="n">
        <v>1</v>
      </c>
      <c r="C69" s="9" t="s">
        <v>17</v>
      </c>
      <c r="D69" s="10" t="n">
        <f aca="false">INDEX(cfg_ct,A69)</f>
        <v>3</v>
      </c>
      <c r="E69" s="10" t="n">
        <f aca="false">INDEX(cfg_n,A69)</f>
        <v>1</v>
      </c>
      <c r="F69" s="15" t="n">
        <f aca="false">INDEX(cfg_u_3460,A69,B69)</f>
        <v>0</v>
      </c>
      <c r="G69" s="15" t="n">
        <f aca="false">F69/E69</f>
        <v>0</v>
      </c>
      <c r="H69" s="10" t="n">
        <f aca="false">INDEX(lg_n_3460,B69)</f>
        <v>50</v>
      </c>
      <c r="I69" s="15" t="n">
        <f aca="false">ROUNDUP(G69/H69,0)</f>
        <v>0</v>
      </c>
      <c r="J69" s="10" t="n">
        <f aca="false">INDEX(lg_layers_3460_40HC,B69)</f>
        <v>34</v>
      </c>
      <c r="K69" s="26" t="n">
        <f aca="false">INDEX(in_use_efficiency,1,B69)</f>
        <v>0.97</v>
      </c>
      <c r="L69" s="10" t="n">
        <f aca="false">IF(I69=0,0,ROUNDUP(I69/(K69*J69)-0.000000001,0))</f>
        <v>0</v>
      </c>
      <c r="M69" s="10" t="n">
        <f aca="false">INDEX(lg_a_3460,B69)</f>
        <v>840</v>
      </c>
      <c r="N69" s="10" t="n">
        <f aca="false">INDEX(lg_b_3460,B69)</f>
        <v>423</v>
      </c>
      <c r="O69" s="10" t="n">
        <f aca="false">INDEX(lg_Wu_40HC,B69)</f>
        <v>2330</v>
      </c>
      <c r="P69" s="10" t="n">
        <f aca="false">INDEX(lg_Lu_40HC,B69)</f>
        <v>11930</v>
      </c>
      <c r="Q69" s="10" t="n">
        <f aca="false">IF(O69-0*M69&gt;=0,INT((O69-0*M69)/N69),-1)</f>
        <v>5</v>
      </c>
      <c r="R69" s="10" t="n">
        <f aca="false">IF(AND(Q69&gt;=0,Q69+0&gt;0),ROUNDUP(L69/(Q69+0*M69/N69),0),0)</f>
        <v>0</v>
      </c>
      <c r="S69" s="10" t="n">
        <f aca="false">IF(AND(Q69&gt;=0,Q69+0&gt;0),ROUNDUP(L69/(Q69*N69/M69+0),0),0)</f>
        <v>0</v>
      </c>
      <c r="T69" s="10" t="n">
        <f aca="false">IF(OR(Q69&lt;0,Q69+0=0),1000000000,MIN(IF(AND(MAX(R69+(-1),0)*M69&gt;0,Q69*INT(MAX(R69+(-1),0)*M69/M69)+0*INT(MAX(R69+(-1),0)*M69/N69)&gt;=L69),MAX(R69+(-1),0)*M69,1000000000),IF(AND(MAX(R69+(0),0)*M69&gt;0,Q69*INT(MAX(R69+(0),0)*M69/M69)+0*INT(MAX(R69+(0),0)*M69/N69)&gt;=L69),MAX(R69+(0),0)*M69,1000000000),IF(AND(MAX(R69+(1),0)*M69&gt;0,Q69*INT(MAX(R69+(1),0)*M69/M69)+0*INT(MAX(R69+(1),0)*M69/N69)&gt;=L69),MAX(R69+(1),0)*M69,1000000000),IF(AND(MAX(R69+(2),0)*M69&gt;0,Q69*INT(MAX(R69+(2),0)*M69/M69)+0*INT(MAX(R69+(2),0)*M69/N69)&gt;=L69),MAX(R69+(2),0)*M69,1000000000),IF(AND(MAX(S69+(-1),0)*N69&gt;0,Q69*INT(MAX(S69+(-1),0)*N69/M69)+0*INT(MAX(S69+(-1),0)*N69/N69)&gt;=L69),MAX(S69+(-1),0)*N69,1000000000),IF(AND(MAX(S69+(0),0)*N69&gt;0,Q69*INT(MAX(S69+(0),0)*N69/M69)+0*INT(MAX(S69+(0),0)*N69/N69)&gt;=L69),MAX(S69+(0),0)*N69,1000000000),IF(AND(MAX(S69+(1),0)*N69&gt;0,Q69*INT(MAX(S69+(1),0)*N69/M69)+0*INT(MAX(S69+(1),0)*N69/N69)&gt;=L69),MAX(S69+(1),0)*N69,1000000000),IF(AND(MAX(S69+(2),0)*N69&gt;0,Q69*INT(MAX(S69+(2),0)*N69/M69)+0*INT(MAX(S69+(2),0)*N69/N69)&gt;=L69),MAX(S69+(2),0)*N69,1000000000)))</f>
        <v>423</v>
      </c>
      <c r="U69" s="10" t="n">
        <f aca="false">IF(O69-1*M69&gt;=0,INT((O69-1*M69)/N69),-1)</f>
        <v>3</v>
      </c>
      <c r="V69" s="10" t="n">
        <f aca="false">IF(AND(U69&gt;=0,U69+1&gt;0),ROUNDUP(L69/(U69+1*M69/N69),0),0)</f>
        <v>0</v>
      </c>
      <c r="W69" s="10" t="n">
        <f aca="false">IF(AND(U69&gt;=0,U69+1&gt;0),ROUNDUP(L69/(U69*N69/M69+1),0),0)</f>
        <v>0</v>
      </c>
      <c r="X69" s="10" t="n">
        <f aca="false">IF(OR(U69&lt;0,U69+1=0),1000000000,MIN(IF(AND(MAX(V69+(-1),0)*M69&gt;0,U69*INT(MAX(V69+(-1),0)*M69/M69)+1*INT(MAX(V69+(-1),0)*M69/N69)&gt;=L69),MAX(V69+(-1),0)*M69,1000000000),IF(AND(MAX(V69+(0),0)*M69&gt;0,U69*INT(MAX(V69+(0),0)*M69/M69)+1*INT(MAX(V69+(0),0)*M69/N69)&gt;=L69),MAX(V69+(0),0)*M69,1000000000),IF(AND(MAX(V69+(1),0)*M69&gt;0,U69*INT(MAX(V69+(1),0)*M69/M69)+1*INT(MAX(V69+(1),0)*M69/N69)&gt;=L69),MAX(V69+(1),0)*M69,1000000000),IF(AND(MAX(V69+(2),0)*M69&gt;0,U69*INT(MAX(V69+(2),0)*M69/M69)+1*INT(MAX(V69+(2),0)*M69/N69)&gt;=L69),MAX(V69+(2),0)*M69,1000000000),IF(AND(MAX(W69+(-1),0)*N69&gt;0,U69*INT(MAX(W69+(-1),0)*N69/M69)+1*INT(MAX(W69+(-1),0)*N69/N69)&gt;=L69),MAX(W69+(-1),0)*N69,1000000000),IF(AND(MAX(W69+(0),0)*N69&gt;0,U69*INT(MAX(W69+(0),0)*N69/M69)+1*INT(MAX(W69+(0),0)*N69/N69)&gt;=L69),MAX(W69+(0),0)*N69,1000000000),IF(AND(MAX(W69+(1),0)*N69&gt;0,U69*INT(MAX(W69+(1),0)*N69/M69)+1*INT(MAX(W69+(1),0)*N69/N69)&gt;=L69),MAX(W69+(1),0)*N69,1000000000),IF(AND(MAX(W69+(2),0)*N69&gt;0,U69*INT(MAX(W69+(2),0)*N69/M69)+1*INT(MAX(W69+(2),0)*N69/N69)&gt;=L69),MAX(W69+(2),0)*N69,1000000000)))</f>
        <v>423</v>
      </c>
      <c r="Y69" s="10" t="n">
        <f aca="false">IF(O69-2*M69&gt;=0,INT((O69-2*M69)/N69),-1)</f>
        <v>1</v>
      </c>
      <c r="Z69" s="10" t="n">
        <f aca="false">IF(AND(Y69&gt;=0,Y69+2&gt;0),ROUNDUP(L69/(Y69+2*M69/N69),0),0)</f>
        <v>0</v>
      </c>
      <c r="AA69" s="10" t="n">
        <f aca="false">IF(AND(Y69&gt;=0,Y69+2&gt;0),ROUNDUP(L69/(Y69*N69/M69+2),0),0)</f>
        <v>0</v>
      </c>
      <c r="AB69" s="10" t="n">
        <f aca="false">IF(OR(Y69&lt;0,Y69+2=0),1000000000,MIN(IF(AND(MAX(Z69+(-1),0)*M69&gt;0,Y69*INT(MAX(Z69+(-1),0)*M69/M69)+2*INT(MAX(Z69+(-1),0)*M69/N69)&gt;=L69),MAX(Z69+(-1),0)*M69,1000000000),IF(AND(MAX(Z69+(0),0)*M69&gt;0,Y69*INT(MAX(Z69+(0),0)*M69/M69)+2*INT(MAX(Z69+(0),0)*M69/N69)&gt;=L69),MAX(Z69+(0),0)*M69,1000000000),IF(AND(MAX(Z69+(1),0)*M69&gt;0,Y69*INT(MAX(Z69+(1),0)*M69/M69)+2*INT(MAX(Z69+(1),0)*M69/N69)&gt;=L69),MAX(Z69+(1),0)*M69,1000000000),IF(AND(MAX(Z69+(2),0)*M69&gt;0,Y69*INT(MAX(Z69+(2),0)*M69/M69)+2*INT(MAX(Z69+(2),0)*M69/N69)&gt;=L69),MAX(Z69+(2),0)*M69,1000000000),IF(AND(MAX(AA69+(-1),0)*N69&gt;0,Y69*INT(MAX(AA69+(-1),0)*N69/M69)+2*INT(MAX(AA69+(-1),0)*N69/N69)&gt;=L69),MAX(AA69+(-1),0)*N69,1000000000),IF(AND(MAX(AA69+(0),0)*N69&gt;0,Y69*INT(MAX(AA69+(0),0)*N69/M69)+2*INT(MAX(AA69+(0),0)*N69/N69)&gt;=L69),MAX(AA69+(0),0)*N69,1000000000),IF(AND(MAX(AA69+(1),0)*N69&gt;0,Y69*INT(MAX(AA69+(1),0)*N69/M69)+2*INT(MAX(AA69+(1),0)*N69/N69)&gt;=L69),MAX(AA69+(1),0)*N69,1000000000),IF(AND(MAX(AA69+(2),0)*N69&gt;0,Y69*INT(MAX(AA69+(2),0)*N69/M69)+2*INT(MAX(AA69+(2),0)*N69/N69)&gt;=L69),MAX(AA69+(2),0)*N69,1000000000)))</f>
        <v>423</v>
      </c>
      <c r="AC69" s="42" t="n">
        <f aca="false">IF(L69=0,0,MIN(T69,X69,AB69))</f>
        <v>0</v>
      </c>
      <c r="AD69" s="15" t="n">
        <f aca="false">I69*INDEX(lg_bkg_3460,B69)</f>
        <v>0</v>
      </c>
      <c r="AE69" s="33" t="n">
        <f aca="false">I69*INDEX(lg_bvol_3460,B69)</f>
        <v>0</v>
      </c>
    </row>
    <row r="70" customFormat="false" ht="15" hidden="false" customHeight="false" outlineLevel="0" collapsed="false">
      <c r="A70" s="9" t="n">
        <v>5</v>
      </c>
      <c r="B70" s="9" t="n">
        <v>2</v>
      </c>
      <c r="C70" s="9" t="s">
        <v>15</v>
      </c>
      <c r="D70" s="10" t="n">
        <f aca="false">INDEX(cfg_ct,A70)</f>
        <v>3</v>
      </c>
      <c r="E70" s="10" t="n">
        <f aca="false">INDEX(cfg_n,A70)</f>
        <v>1</v>
      </c>
      <c r="F70" s="15" t="n">
        <f aca="false">INDEX(cfg_u_3464,A70,B70)</f>
        <v>76000</v>
      </c>
      <c r="G70" s="15" t="n">
        <f aca="false">F70/E70</f>
        <v>76000</v>
      </c>
      <c r="H70" s="10" t="n">
        <f aca="false">INDEX(lg_n_3464,B70)</f>
        <v>50</v>
      </c>
      <c r="I70" s="15" t="n">
        <f aca="false">ROUNDUP(G70/H70,0)</f>
        <v>1520</v>
      </c>
      <c r="J70" s="10" t="n">
        <f aca="false">INDEX(lg_layers_3464_40HC,B70)</f>
        <v>32</v>
      </c>
      <c r="K70" s="26" t="n">
        <f aca="false">INDEX(in_use_efficiency,1,B70)</f>
        <v>0.95</v>
      </c>
      <c r="L70" s="10" t="n">
        <f aca="false">IF(I70=0,0,ROUNDUP(I70/(K70*J70)-0.000000001,0))</f>
        <v>50</v>
      </c>
      <c r="M70" s="10" t="n">
        <f aca="false">INDEX(lg_a_3464,B70)</f>
        <v>940</v>
      </c>
      <c r="N70" s="10" t="n">
        <f aca="false">INDEX(lg_b_3464,B70)</f>
        <v>473</v>
      </c>
      <c r="O70" s="10" t="n">
        <f aca="false">INDEX(lg_Wu_40HC,B70)</f>
        <v>2330</v>
      </c>
      <c r="P70" s="10" t="n">
        <f aca="false">INDEX(lg_Lu_40HC,B70)</f>
        <v>11930</v>
      </c>
      <c r="Q70" s="10" t="n">
        <f aca="false">IF(O70-0*M70&gt;=0,INT((O70-0*M70)/N70),-1)</f>
        <v>4</v>
      </c>
      <c r="R70" s="10" t="n">
        <f aca="false">IF(AND(Q70&gt;=0,Q70+0&gt;0),ROUNDUP(L70/(Q70+0*M70/N70),0),0)</f>
        <v>13</v>
      </c>
      <c r="S70" s="10" t="n">
        <f aca="false">IF(AND(Q70&gt;=0,Q70+0&gt;0),ROUNDUP(L70/(Q70*N70/M70+0),0),0)</f>
        <v>25</v>
      </c>
      <c r="T70" s="10" t="n">
        <f aca="false">IF(OR(Q70&lt;0,Q70+0=0),1000000000,MIN(IF(AND(MAX(R70+(-1),0)*M70&gt;0,Q70*INT(MAX(R70+(-1),0)*M70/M70)+0*INT(MAX(R70+(-1),0)*M70/N70)&gt;=L70),MAX(R70+(-1),0)*M70,1000000000),IF(AND(MAX(R70+(0),0)*M70&gt;0,Q70*INT(MAX(R70+(0),0)*M70/M70)+0*INT(MAX(R70+(0),0)*M70/N70)&gt;=L70),MAX(R70+(0),0)*M70,1000000000),IF(AND(MAX(R70+(1),0)*M70&gt;0,Q70*INT(MAX(R70+(1),0)*M70/M70)+0*INT(MAX(R70+(1),0)*M70/N70)&gt;=L70),MAX(R70+(1),0)*M70,1000000000),IF(AND(MAX(R70+(2),0)*M70&gt;0,Q70*INT(MAX(R70+(2),0)*M70/M70)+0*INT(MAX(R70+(2),0)*M70/N70)&gt;=L70),MAX(R70+(2),0)*M70,1000000000),IF(AND(MAX(S70+(-1),0)*N70&gt;0,Q70*INT(MAX(S70+(-1),0)*N70/M70)+0*INT(MAX(S70+(-1),0)*N70/N70)&gt;=L70),MAX(S70+(-1),0)*N70,1000000000),IF(AND(MAX(S70+(0),0)*N70&gt;0,Q70*INT(MAX(S70+(0),0)*N70/M70)+0*INT(MAX(S70+(0),0)*N70/N70)&gt;=L70),MAX(S70+(0),0)*N70,1000000000),IF(AND(MAX(S70+(1),0)*N70&gt;0,Q70*INT(MAX(S70+(1),0)*N70/M70)+0*INT(MAX(S70+(1),0)*N70/N70)&gt;=L70),MAX(S70+(1),0)*N70,1000000000),IF(AND(MAX(S70+(2),0)*N70&gt;0,Q70*INT(MAX(S70+(2),0)*N70/M70)+0*INT(MAX(S70+(2),0)*N70/N70)&gt;=L70),MAX(S70+(2),0)*N70,1000000000)))</f>
        <v>12220</v>
      </c>
      <c r="U70" s="10" t="n">
        <f aca="false">IF(O70-1*M70&gt;=0,INT((O70-1*M70)/N70),-1)</f>
        <v>2</v>
      </c>
      <c r="V70" s="10" t="n">
        <f aca="false">IF(AND(U70&gt;=0,U70+1&gt;0),ROUNDUP(L70/(U70+1*M70/N70),0),0)</f>
        <v>13</v>
      </c>
      <c r="W70" s="10" t="n">
        <f aca="false">IF(AND(U70&gt;=0,U70+1&gt;0),ROUNDUP(L70/(U70*N70/M70+1),0),0)</f>
        <v>25</v>
      </c>
      <c r="X70" s="10" t="n">
        <f aca="false">IF(OR(U70&lt;0,U70+1=0),1000000000,MIN(IF(AND(MAX(V70+(-1),0)*M70&gt;0,U70*INT(MAX(V70+(-1),0)*M70/M70)+1*INT(MAX(V70+(-1),0)*M70/N70)&gt;=L70),MAX(V70+(-1),0)*M70,1000000000),IF(AND(MAX(V70+(0),0)*M70&gt;0,U70*INT(MAX(V70+(0),0)*M70/M70)+1*INT(MAX(V70+(0),0)*M70/N70)&gt;=L70),MAX(V70+(0),0)*M70,1000000000),IF(AND(MAX(V70+(1),0)*M70&gt;0,U70*INT(MAX(V70+(1),0)*M70/M70)+1*INT(MAX(V70+(1),0)*M70/N70)&gt;=L70),MAX(V70+(1),0)*M70,1000000000),IF(AND(MAX(V70+(2),0)*M70&gt;0,U70*INT(MAX(V70+(2),0)*M70/M70)+1*INT(MAX(V70+(2),0)*M70/N70)&gt;=L70),MAX(V70+(2),0)*M70,1000000000),IF(AND(MAX(W70+(-1),0)*N70&gt;0,U70*INT(MAX(W70+(-1),0)*N70/M70)+1*INT(MAX(W70+(-1),0)*N70/N70)&gt;=L70),MAX(W70+(-1),0)*N70,1000000000),IF(AND(MAX(W70+(0),0)*N70&gt;0,U70*INT(MAX(W70+(0),0)*N70/M70)+1*INT(MAX(W70+(0),0)*N70/N70)&gt;=L70),MAX(W70+(0),0)*N70,1000000000),IF(AND(MAX(W70+(1),0)*N70&gt;0,U70*INT(MAX(W70+(1),0)*N70/M70)+1*INT(MAX(W70+(1),0)*N70/N70)&gt;=L70),MAX(W70+(1),0)*N70,1000000000),IF(AND(MAX(W70+(2),0)*N70&gt;0,U70*INT(MAX(W70+(2),0)*N70/M70)+1*INT(MAX(W70+(2),0)*N70/N70)&gt;=L70),MAX(W70+(2),0)*N70,1000000000)))</f>
        <v>12220</v>
      </c>
      <c r="Y70" s="10" t="n">
        <f aca="false">IF(O70-2*M70&gt;=0,INT((O70-2*M70)/N70),-1)</f>
        <v>0</v>
      </c>
      <c r="Z70" s="10" t="n">
        <f aca="false">IF(AND(Y70&gt;=0,Y70+2&gt;0),ROUNDUP(L70/(Y70+2*M70/N70),0),0)</f>
        <v>13</v>
      </c>
      <c r="AA70" s="10" t="n">
        <f aca="false">IF(AND(Y70&gt;=0,Y70+2&gt;0),ROUNDUP(L70/(Y70*N70/M70+2),0),0)</f>
        <v>25</v>
      </c>
      <c r="AB70" s="10" t="n">
        <f aca="false">IF(OR(Y70&lt;0,Y70+2=0),1000000000,MIN(IF(AND(MAX(Z70+(-1),0)*M70&gt;0,Y70*INT(MAX(Z70+(-1),0)*M70/M70)+2*INT(MAX(Z70+(-1),0)*M70/N70)&gt;=L70),MAX(Z70+(-1),0)*M70,1000000000),IF(AND(MAX(Z70+(0),0)*M70&gt;0,Y70*INT(MAX(Z70+(0),0)*M70/M70)+2*INT(MAX(Z70+(0),0)*M70/N70)&gt;=L70),MAX(Z70+(0),0)*M70,1000000000),IF(AND(MAX(Z70+(1),0)*M70&gt;0,Y70*INT(MAX(Z70+(1),0)*M70/M70)+2*INT(MAX(Z70+(1),0)*M70/N70)&gt;=L70),MAX(Z70+(1),0)*M70,1000000000),IF(AND(MAX(Z70+(2),0)*M70&gt;0,Y70*INT(MAX(Z70+(2),0)*M70/M70)+2*INT(MAX(Z70+(2),0)*M70/N70)&gt;=L70),MAX(Z70+(2),0)*M70,1000000000),IF(AND(MAX(AA70+(-1),0)*N70&gt;0,Y70*INT(MAX(AA70+(-1),0)*N70/M70)+2*INT(MAX(AA70+(-1),0)*N70/N70)&gt;=L70),MAX(AA70+(-1),0)*N70,1000000000),IF(AND(MAX(AA70+(0),0)*N70&gt;0,Y70*INT(MAX(AA70+(0),0)*N70/M70)+2*INT(MAX(AA70+(0),0)*N70/N70)&gt;=L70),MAX(AA70+(0),0)*N70,1000000000),IF(AND(MAX(AA70+(1),0)*N70&gt;0,Y70*INT(MAX(AA70+(1),0)*N70/M70)+2*INT(MAX(AA70+(1),0)*N70/N70)&gt;=L70),MAX(AA70+(1),0)*N70,1000000000),IF(AND(MAX(AA70+(2),0)*N70&gt;0,Y70*INT(MAX(AA70+(2),0)*N70/M70)+2*INT(MAX(AA70+(2),0)*N70/N70)&gt;=L70),MAX(AA70+(2),0)*N70,1000000000)))</f>
        <v>11825</v>
      </c>
      <c r="AC70" s="42" t="n">
        <f aca="false">IF(L70=0,0,MIN(T70,X70,AB70))</f>
        <v>11825</v>
      </c>
      <c r="AD70" s="15" t="n">
        <f aca="false">I70*INDEX(lg_bkg_3464,B70)</f>
        <v>13002.149312</v>
      </c>
      <c r="AE70" s="33" t="n">
        <f aca="false">I70*INDEX(lg_bvol_3464,B70)</f>
        <v>54.065792</v>
      </c>
    </row>
    <row r="71" customFormat="false" ht="15" hidden="false" customHeight="false" outlineLevel="0" collapsed="false">
      <c r="A71" s="9" t="n">
        <v>5</v>
      </c>
      <c r="B71" s="9" t="n">
        <v>2</v>
      </c>
      <c r="C71" s="9" t="s">
        <v>16</v>
      </c>
      <c r="D71" s="10" t="n">
        <f aca="false">INDEX(cfg_ct,A71)</f>
        <v>3</v>
      </c>
      <c r="E71" s="10" t="n">
        <f aca="false">INDEX(cfg_n,A71)</f>
        <v>1</v>
      </c>
      <c r="F71" s="15" t="n">
        <f aca="false">INDEX(cfg_u_3463,A71,B71)</f>
        <v>0</v>
      </c>
      <c r="G71" s="15" t="n">
        <f aca="false">F71/E71</f>
        <v>0</v>
      </c>
      <c r="H71" s="10" t="n">
        <f aca="false">INDEX(lg_n_3463,B71)</f>
        <v>50</v>
      </c>
      <c r="I71" s="15" t="n">
        <f aca="false">ROUNDUP(G71/H71,0)</f>
        <v>0</v>
      </c>
      <c r="J71" s="10" t="n">
        <f aca="false">INDEX(lg_layers_3463_40HC,B71)</f>
        <v>32</v>
      </c>
      <c r="K71" s="26" t="n">
        <f aca="false">INDEX(in_use_efficiency,1,B71)</f>
        <v>0.95</v>
      </c>
      <c r="L71" s="10" t="n">
        <f aca="false">IF(I71=0,0,ROUNDUP(I71/(K71*J71)-0.000000001,0))</f>
        <v>0</v>
      </c>
      <c r="M71" s="10" t="n">
        <f aca="false">INDEX(lg_a_3463,B71)</f>
        <v>1040</v>
      </c>
      <c r="N71" s="10" t="n">
        <f aca="false">INDEX(lg_b_3463,B71)</f>
        <v>523</v>
      </c>
      <c r="O71" s="10" t="n">
        <f aca="false">INDEX(lg_Wu_40HC,B71)</f>
        <v>2330</v>
      </c>
      <c r="P71" s="10" t="n">
        <f aca="false">INDEX(lg_Lu_40HC,B71)</f>
        <v>11930</v>
      </c>
      <c r="Q71" s="10" t="n">
        <f aca="false">IF(O71-0*M71&gt;=0,INT((O71-0*M71)/N71),-1)</f>
        <v>4</v>
      </c>
      <c r="R71" s="10" t="n">
        <f aca="false">IF(AND(Q71&gt;=0,Q71+0&gt;0),ROUNDUP(L71/(Q71+0*M71/N71),0),0)</f>
        <v>0</v>
      </c>
      <c r="S71" s="10" t="n">
        <f aca="false">IF(AND(Q71&gt;=0,Q71+0&gt;0),ROUNDUP(L71/(Q71*N71/M71+0),0),0)</f>
        <v>0</v>
      </c>
      <c r="T71" s="10" t="n">
        <f aca="false">IF(OR(Q71&lt;0,Q71+0=0),1000000000,MIN(IF(AND(MAX(R71+(-1),0)*M71&gt;0,Q71*INT(MAX(R71+(-1),0)*M71/M71)+0*INT(MAX(R71+(-1),0)*M71/N71)&gt;=L71),MAX(R71+(-1),0)*M71,1000000000),IF(AND(MAX(R71+(0),0)*M71&gt;0,Q71*INT(MAX(R71+(0),0)*M71/M71)+0*INT(MAX(R71+(0),0)*M71/N71)&gt;=L71),MAX(R71+(0),0)*M71,1000000000),IF(AND(MAX(R71+(1),0)*M71&gt;0,Q71*INT(MAX(R71+(1),0)*M71/M71)+0*INT(MAX(R71+(1),0)*M71/N71)&gt;=L71),MAX(R71+(1),0)*M71,1000000000),IF(AND(MAX(R71+(2),0)*M71&gt;0,Q71*INT(MAX(R71+(2),0)*M71/M71)+0*INT(MAX(R71+(2),0)*M71/N71)&gt;=L71),MAX(R71+(2),0)*M71,1000000000),IF(AND(MAX(S71+(-1),0)*N71&gt;0,Q71*INT(MAX(S71+(-1),0)*N71/M71)+0*INT(MAX(S71+(-1),0)*N71/N71)&gt;=L71),MAX(S71+(-1),0)*N71,1000000000),IF(AND(MAX(S71+(0),0)*N71&gt;0,Q71*INT(MAX(S71+(0),0)*N71/M71)+0*INT(MAX(S71+(0),0)*N71/N71)&gt;=L71),MAX(S71+(0),0)*N71,1000000000),IF(AND(MAX(S71+(1),0)*N71&gt;0,Q71*INT(MAX(S71+(1),0)*N71/M71)+0*INT(MAX(S71+(1),0)*N71/N71)&gt;=L71),MAX(S71+(1),0)*N71,1000000000),IF(AND(MAX(S71+(2),0)*N71&gt;0,Q71*INT(MAX(S71+(2),0)*N71/M71)+0*INT(MAX(S71+(2),0)*N71/N71)&gt;=L71),MAX(S71+(2),0)*N71,1000000000)))</f>
        <v>523</v>
      </c>
      <c r="U71" s="10" t="n">
        <f aca="false">IF(O71-1*M71&gt;=0,INT((O71-1*M71)/N71),-1)</f>
        <v>2</v>
      </c>
      <c r="V71" s="10" t="n">
        <f aca="false">IF(AND(U71&gt;=0,U71+1&gt;0),ROUNDUP(L71/(U71+1*M71/N71),0),0)</f>
        <v>0</v>
      </c>
      <c r="W71" s="10" t="n">
        <f aca="false">IF(AND(U71&gt;=0,U71+1&gt;0),ROUNDUP(L71/(U71*N71/M71+1),0),0)</f>
        <v>0</v>
      </c>
      <c r="X71" s="10" t="n">
        <f aca="false">IF(OR(U71&lt;0,U71+1=0),1000000000,MIN(IF(AND(MAX(V71+(-1),0)*M71&gt;0,U71*INT(MAX(V71+(-1),0)*M71/M71)+1*INT(MAX(V71+(-1),0)*M71/N71)&gt;=L71),MAX(V71+(-1),0)*M71,1000000000),IF(AND(MAX(V71+(0),0)*M71&gt;0,U71*INT(MAX(V71+(0),0)*M71/M71)+1*INT(MAX(V71+(0),0)*M71/N71)&gt;=L71),MAX(V71+(0),0)*M71,1000000000),IF(AND(MAX(V71+(1),0)*M71&gt;0,U71*INT(MAX(V71+(1),0)*M71/M71)+1*INT(MAX(V71+(1),0)*M71/N71)&gt;=L71),MAX(V71+(1),0)*M71,1000000000),IF(AND(MAX(V71+(2),0)*M71&gt;0,U71*INT(MAX(V71+(2),0)*M71/M71)+1*INT(MAX(V71+(2),0)*M71/N71)&gt;=L71),MAX(V71+(2),0)*M71,1000000000),IF(AND(MAX(W71+(-1),0)*N71&gt;0,U71*INT(MAX(W71+(-1),0)*N71/M71)+1*INT(MAX(W71+(-1),0)*N71/N71)&gt;=L71),MAX(W71+(-1),0)*N71,1000000000),IF(AND(MAX(W71+(0),0)*N71&gt;0,U71*INT(MAX(W71+(0),0)*N71/M71)+1*INT(MAX(W71+(0),0)*N71/N71)&gt;=L71),MAX(W71+(0),0)*N71,1000000000),IF(AND(MAX(W71+(1),0)*N71&gt;0,U71*INT(MAX(W71+(1),0)*N71/M71)+1*INT(MAX(W71+(1),0)*N71/N71)&gt;=L71),MAX(W71+(1),0)*N71,1000000000),IF(AND(MAX(W71+(2),0)*N71&gt;0,U71*INT(MAX(W71+(2),0)*N71/M71)+1*INT(MAX(W71+(2),0)*N71/N71)&gt;=L71),MAX(W71+(2),0)*N71,1000000000)))</f>
        <v>523</v>
      </c>
      <c r="Y71" s="10" t="n">
        <f aca="false">IF(O71-2*M71&gt;=0,INT((O71-2*M71)/N71),-1)</f>
        <v>0</v>
      </c>
      <c r="Z71" s="10" t="n">
        <f aca="false">IF(AND(Y71&gt;=0,Y71+2&gt;0),ROUNDUP(L71/(Y71+2*M71/N71),0),0)</f>
        <v>0</v>
      </c>
      <c r="AA71" s="10" t="n">
        <f aca="false">IF(AND(Y71&gt;=0,Y71+2&gt;0),ROUNDUP(L71/(Y71*N71/M71+2),0),0)</f>
        <v>0</v>
      </c>
      <c r="AB71" s="10" t="n">
        <f aca="false">IF(OR(Y71&lt;0,Y71+2=0),1000000000,MIN(IF(AND(MAX(Z71+(-1),0)*M71&gt;0,Y71*INT(MAX(Z71+(-1),0)*M71/M71)+2*INT(MAX(Z71+(-1),0)*M71/N71)&gt;=L71),MAX(Z71+(-1),0)*M71,1000000000),IF(AND(MAX(Z71+(0),0)*M71&gt;0,Y71*INT(MAX(Z71+(0),0)*M71/M71)+2*INT(MAX(Z71+(0),0)*M71/N71)&gt;=L71),MAX(Z71+(0),0)*M71,1000000000),IF(AND(MAX(Z71+(1),0)*M71&gt;0,Y71*INT(MAX(Z71+(1),0)*M71/M71)+2*INT(MAX(Z71+(1),0)*M71/N71)&gt;=L71),MAX(Z71+(1),0)*M71,1000000000),IF(AND(MAX(Z71+(2),0)*M71&gt;0,Y71*INT(MAX(Z71+(2),0)*M71/M71)+2*INT(MAX(Z71+(2),0)*M71/N71)&gt;=L71),MAX(Z71+(2),0)*M71,1000000000),IF(AND(MAX(AA71+(-1),0)*N71&gt;0,Y71*INT(MAX(AA71+(-1),0)*N71/M71)+2*INT(MAX(AA71+(-1),0)*N71/N71)&gt;=L71),MAX(AA71+(-1),0)*N71,1000000000),IF(AND(MAX(AA71+(0),0)*N71&gt;0,Y71*INT(MAX(AA71+(0),0)*N71/M71)+2*INT(MAX(AA71+(0),0)*N71/N71)&gt;=L71),MAX(AA71+(0),0)*N71,1000000000),IF(AND(MAX(AA71+(1),0)*N71&gt;0,Y71*INT(MAX(AA71+(1),0)*N71/M71)+2*INT(MAX(AA71+(1),0)*N71/N71)&gt;=L71),MAX(AA71+(1),0)*N71,1000000000),IF(AND(MAX(AA71+(2),0)*N71&gt;0,Y71*INT(MAX(AA71+(2),0)*N71/M71)+2*INT(MAX(AA71+(2),0)*N71/N71)&gt;=L71),MAX(AA71+(2),0)*N71,1000000000)))</f>
        <v>523</v>
      </c>
      <c r="AC71" s="42" t="n">
        <f aca="false">IF(L71=0,0,MIN(T71,X71,AB71))</f>
        <v>0</v>
      </c>
      <c r="AD71" s="15" t="n">
        <f aca="false">I71*INDEX(lg_bkg_3463,B71)</f>
        <v>0</v>
      </c>
      <c r="AE71" s="33" t="n">
        <f aca="false">I71*INDEX(lg_bvol_3463,B71)</f>
        <v>0</v>
      </c>
    </row>
    <row r="72" customFormat="false" ht="15" hidden="false" customHeight="false" outlineLevel="0" collapsed="false">
      <c r="A72" s="9" t="n">
        <v>5</v>
      </c>
      <c r="B72" s="9" t="n">
        <v>2</v>
      </c>
      <c r="C72" s="9" t="s">
        <v>17</v>
      </c>
      <c r="D72" s="10" t="n">
        <f aca="false">INDEX(cfg_ct,A72)</f>
        <v>3</v>
      </c>
      <c r="E72" s="10" t="n">
        <f aca="false">INDEX(cfg_n,A72)</f>
        <v>1</v>
      </c>
      <c r="F72" s="15" t="n">
        <f aca="false">INDEX(cfg_u_3460,A72,B72)</f>
        <v>0</v>
      </c>
      <c r="G72" s="15" t="n">
        <f aca="false">F72/E72</f>
        <v>0</v>
      </c>
      <c r="H72" s="10" t="n">
        <f aca="false">INDEX(lg_n_3460,B72)</f>
        <v>50</v>
      </c>
      <c r="I72" s="15" t="n">
        <f aca="false">ROUNDUP(G72/H72,0)</f>
        <v>0</v>
      </c>
      <c r="J72" s="10" t="n">
        <f aca="false">INDEX(lg_layers_3460_40HC,B72)</f>
        <v>32</v>
      </c>
      <c r="K72" s="26" t="n">
        <f aca="false">INDEX(in_use_efficiency,1,B72)</f>
        <v>0.95</v>
      </c>
      <c r="L72" s="10" t="n">
        <f aca="false">IF(I72=0,0,ROUNDUP(I72/(K72*J72)-0.000000001,0))</f>
        <v>0</v>
      </c>
      <c r="M72" s="10" t="n">
        <f aca="false">INDEX(lg_a_3460,B72)</f>
        <v>840</v>
      </c>
      <c r="N72" s="10" t="n">
        <f aca="false">INDEX(lg_b_3460,B72)</f>
        <v>423</v>
      </c>
      <c r="O72" s="10" t="n">
        <f aca="false">INDEX(lg_Wu_40HC,B72)</f>
        <v>2330</v>
      </c>
      <c r="P72" s="10" t="n">
        <f aca="false">INDEX(lg_Lu_40HC,B72)</f>
        <v>11930</v>
      </c>
      <c r="Q72" s="10" t="n">
        <f aca="false">IF(O72-0*M72&gt;=0,INT((O72-0*M72)/N72),-1)</f>
        <v>5</v>
      </c>
      <c r="R72" s="10" t="n">
        <f aca="false">IF(AND(Q72&gt;=0,Q72+0&gt;0),ROUNDUP(L72/(Q72+0*M72/N72),0),0)</f>
        <v>0</v>
      </c>
      <c r="S72" s="10" t="n">
        <f aca="false">IF(AND(Q72&gt;=0,Q72+0&gt;0),ROUNDUP(L72/(Q72*N72/M72+0),0),0)</f>
        <v>0</v>
      </c>
      <c r="T72" s="10" t="n">
        <f aca="false">IF(OR(Q72&lt;0,Q72+0=0),1000000000,MIN(IF(AND(MAX(R72+(-1),0)*M72&gt;0,Q72*INT(MAX(R72+(-1),0)*M72/M72)+0*INT(MAX(R72+(-1),0)*M72/N72)&gt;=L72),MAX(R72+(-1),0)*M72,1000000000),IF(AND(MAX(R72+(0),0)*M72&gt;0,Q72*INT(MAX(R72+(0),0)*M72/M72)+0*INT(MAX(R72+(0),0)*M72/N72)&gt;=L72),MAX(R72+(0),0)*M72,1000000000),IF(AND(MAX(R72+(1),0)*M72&gt;0,Q72*INT(MAX(R72+(1),0)*M72/M72)+0*INT(MAX(R72+(1),0)*M72/N72)&gt;=L72),MAX(R72+(1),0)*M72,1000000000),IF(AND(MAX(R72+(2),0)*M72&gt;0,Q72*INT(MAX(R72+(2),0)*M72/M72)+0*INT(MAX(R72+(2),0)*M72/N72)&gt;=L72),MAX(R72+(2),0)*M72,1000000000),IF(AND(MAX(S72+(-1),0)*N72&gt;0,Q72*INT(MAX(S72+(-1),0)*N72/M72)+0*INT(MAX(S72+(-1),0)*N72/N72)&gt;=L72),MAX(S72+(-1),0)*N72,1000000000),IF(AND(MAX(S72+(0),0)*N72&gt;0,Q72*INT(MAX(S72+(0),0)*N72/M72)+0*INT(MAX(S72+(0),0)*N72/N72)&gt;=L72),MAX(S72+(0),0)*N72,1000000000),IF(AND(MAX(S72+(1),0)*N72&gt;0,Q72*INT(MAX(S72+(1),0)*N72/M72)+0*INT(MAX(S72+(1),0)*N72/N72)&gt;=L72),MAX(S72+(1),0)*N72,1000000000),IF(AND(MAX(S72+(2),0)*N72&gt;0,Q72*INT(MAX(S72+(2),0)*N72/M72)+0*INT(MAX(S72+(2),0)*N72/N72)&gt;=L72),MAX(S72+(2),0)*N72,1000000000)))</f>
        <v>423</v>
      </c>
      <c r="U72" s="10" t="n">
        <f aca="false">IF(O72-1*M72&gt;=0,INT((O72-1*M72)/N72),-1)</f>
        <v>3</v>
      </c>
      <c r="V72" s="10" t="n">
        <f aca="false">IF(AND(U72&gt;=0,U72+1&gt;0),ROUNDUP(L72/(U72+1*M72/N72),0),0)</f>
        <v>0</v>
      </c>
      <c r="W72" s="10" t="n">
        <f aca="false">IF(AND(U72&gt;=0,U72+1&gt;0),ROUNDUP(L72/(U72*N72/M72+1),0),0)</f>
        <v>0</v>
      </c>
      <c r="X72" s="10" t="n">
        <f aca="false">IF(OR(U72&lt;0,U72+1=0),1000000000,MIN(IF(AND(MAX(V72+(-1),0)*M72&gt;0,U72*INT(MAX(V72+(-1),0)*M72/M72)+1*INT(MAX(V72+(-1),0)*M72/N72)&gt;=L72),MAX(V72+(-1),0)*M72,1000000000),IF(AND(MAX(V72+(0),0)*M72&gt;0,U72*INT(MAX(V72+(0),0)*M72/M72)+1*INT(MAX(V72+(0),0)*M72/N72)&gt;=L72),MAX(V72+(0),0)*M72,1000000000),IF(AND(MAX(V72+(1),0)*M72&gt;0,U72*INT(MAX(V72+(1),0)*M72/M72)+1*INT(MAX(V72+(1),0)*M72/N72)&gt;=L72),MAX(V72+(1),0)*M72,1000000000),IF(AND(MAX(V72+(2),0)*M72&gt;0,U72*INT(MAX(V72+(2),0)*M72/M72)+1*INT(MAX(V72+(2),0)*M72/N72)&gt;=L72),MAX(V72+(2),0)*M72,1000000000),IF(AND(MAX(W72+(-1),0)*N72&gt;0,U72*INT(MAX(W72+(-1),0)*N72/M72)+1*INT(MAX(W72+(-1),0)*N72/N72)&gt;=L72),MAX(W72+(-1),0)*N72,1000000000),IF(AND(MAX(W72+(0),0)*N72&gt;0,U72*INT(MAX(W72+(0),0)*N72/M72)+1*INT(MAX(W72+(0),0)*N72/N72)&gt;=L72),MAX(W72+(0),0)*N72,1000000000),IF(AND(MAX(W72+(1),0)*N72&gt;0,U72*INT(MAX(W72+(1),0)*N72/M72)+1*INT(MAX(W72+(1),0)*N72/N72)&gt;=L72),MAX(W72+(1),0)*N72,1000000000),IF(AND(MAX(W72+(2),0)*N72&gt;0,U72*INT(MAX(W72+(2),0)*N72/M72)+1*INT(MAX(W72+(2),0)*N72/N72)&gt;=L72),MAX(W72+(2),0)*N72,1000000000)))</f>
        <v>423</v>
      </c>
      <c r="Y72" s="10" t="n">
        <f aca="false">IF(O72-2*M72&gt;=0,INT((O72-2*M72)/N72),-1)</f>
        <v>1</v>
      </c>
      <c r="Z72" s="10" t="n">
        <f aca="false">IF(AND(Y72&gt;=0,Y72+2&gt;0),ROUNDUP(L72/(Y72+2*M72/N72),0),0)</f>
        <v>0</v>
      </c>
      <c r="AA72" s="10" t="n">
        <f aca="false">IF(AND(Y72&gt;=0,Y72+2&gt;0),ROUNDUP(L72/(Y72*N72/M72+2),0),0)</f>
        <v>0</v>
      </c>
      <c r="AB72" s="10" t="n">
        <f aca="false">IF(OR(Y72&lt;0,Y72+2=0),1000000000,MIN(IF(AND(MAX(Z72+(-1),0)*M72&gt;0,Y72*INT(MAX(Z72+(-1),0)*M72/M72)+2*INT(MAX(Z72+(-1),0)*M72/N72)&gt;=L72),MAX(Z72+(-1),0)*M72,1000000000),IF(AND(MAX(Z72+(0),0)*M72&gt;0,Y72*INT(MAX(Z72+(0),0)*M72/M72)+2*INT(MAX(Z72+(0),0)*M72/N72)&gt;=L72),MAX(Z72+(0),0)*M72,1000000000),IF(AND(MAX(Z72+(1),0)*M72&gt;0,Y72*INT(MAX(Z72+(1),0)*M72/M72)+2*INT(MAX(Z72+(1),0)*M72/N72)&gt;=L72),MAX(Z72+(1),0)*M72,1000000000),IF(AND(MAX(Z72+(2),0)*M72&gt;0,Y72*INT(MAX(Z72+(2),0)*M72/M72)+2*INT(MAX(Z72+(2),0)*M72/N72)&gt;=L72),MAX(Z72+(2),0)*M72,1000000000),IF(AND(MAX(AA72+(-1),0)*N72&gt;0,Y72*INT(MAX(AA72+(-1),0)*N72/M72)+2*INT(MAX(AA72+(-1),0)*N72/N72)&gt;=L72),MAX(AA72+(-1),0)*N72,1000000000),IF(AND(MAX(AA72+(0),0)*N72&gt;0,Y72*INT(MAX(AA72+(0),0)*N72/M72)+2*INT(MAX(AA72+(0),0)*N72/N72)&gt;=L72),MAX(AA72+(0),0)*N72,1000000000),IF(AND(MAX(AA72+(1),0)*N72&gt;0,Y72*INT(MAX(AA72+(1),0)*N72/M72)+2*INT(MAX(AA72+(1),0)*N72/N72)&gt;=L72),MAX(AA72+(1),0)*N72,1000000000),IF(AND(MAX(AA72+(2),0)*N72&gt;0,Y72*INT(MAX(AA72+(2),0)*N72/M72)+2*INT(MAX(AA72+(2),0)*N72/N72)&gt;=L72),MAX(AA72+(2),0)*N72,1000000000)))</f>
        <v>423</v>
      </c>
      <c r="AC72" s="42" t="n">
        <f aca="false">IF(L72=0,0,MIN(T72,X72,AB72))</f>
        <v>0</v>
      </c>
      <c r="AD72" s="15" t="n">
        <f aca="false">I72*INDEX(lg_bkg_3460,B72)</f>
        <v>0</v>
      </c>
      <c r="AE72" s="33" t="n">
        <f aca="false">I72*INDEX(lg_bvol_3460,B72)</f>
        <v>0</v>
      </c>
    </row>
    <row r="73" customFormat="false" ht="15" hidden="false" customHeight="false" outlineLevel="0" collapsed="false">
      <c r="A73" s="9" t="n">
        <v>5</v>
      </c>
      <c r="B73" s="9" t="n">
        <v>3</v>
      </c>
      <c r="C73" s="9" t="s">
        <v>15</v>
      </c>
      <c r="D73" s="10" t="n">
        <f aca="false">INDEX(cfg_ct,A73)</f>
        <v>3</v>
      </c>
      <c r="E73" s="10" t="n">
        <f aca="false">INDEX(cfg_n,A73)</f>
        <v>1</v>
      </c>
      <c r="F73" s="15" t="n">
        <f aca="false">INDEX(cfg_u_3464,A73,B73)</f>
        <v>63000</v>
      </c>
      <c r="G73" s="15" t="n">
        <f aca="false">F73/E73</f>
        <v>63000</v>
      </c>
      <c r="H73" s="10" t="n">
        <f aca="false">INDEX(lg_n_3464,B73)</f>
        <v>50</v>
      </c>
      <c r="I73" s="15" t="n">
        <f aca="false">ROUNDUP(G73/H73,0)</f>
        <v>1260</v>
      </c>
      <c r="J73" s="10" t="n">
        <f aca="false">INDEX(lg_layers_3464_40HC,B73)</f>
        <v>28</v>
      </c>
      <c r="K73" s="26" t="n">
        <f aca="false">INDEX(in_use_efficiency,1,B73)</f>
        <v>0.9</v>
      </c>
      <c r="L73" s="10" t="n">
        <f aca="false">IF(I73=0,0,ROUNDUP(I73/(K73*J73)-0.000000001,0))</f>
        <v>50</v>
      </c>
      <c r="M73" s="10" t="n">
        <f aca="false">INDEX(lg_a_3464,B73)</f>
        <v>940</v>
      </c>
      <c r="N73" s="10" t="n">
        <f aca="false">INDEX(lg_b_3464,B73)</f>
        <v>473</v>
      </c>
      <c r="O73" s="10" t="n">
        <f aca="false">INDEX(lg_Wu_40HC,B73)</f>
        <v>2330</v>
      </c>
      <c r="P73" s="10" t="n">
        <f aca="false">INDEX(lg_Lu_40HC,B73)</f>
        <v>11930</v>
      </c>
      <c r="Q73" s="10" t="n">
        <f aca="false">IF(O73-0*M73&gt;=0,INT((O73-0*M73)/N73),-1)</f>
        <v>4</v>
      </c>
      <c r="R73" s="10" t="n">
        <f aca="false">IF(AND(Q73&gt;=0,Q73+0&gt;0),ROUNDUP(L73/(Q73+0*M73/N73),0),0)</f>
        <v>13</v>
      </c>
      <c r="S73" s="10" t="n">
        <f aca="false">IF(AND(Q73&gt;=0,Q73+0&gt;0),ROUNDUP(L73/(Q73*N73/M73+0),0),0)</f>
        <v>25</v>
      </c>
      <c r="T73" s="10" t="n">
        <f aca="false">IF(OR(Q73&lt;0,Q73+0=0),1000000000,MIN(IF(AND(MAX(R73+(-1),0)*M73&gt;0,Q73*INT(MAX(R73+(-1),0)*M73/M73)+0*INT(MAX(R73+(-1),0)*M73/N73)&gt;=L73),MAX(R73+(-1),0)*M73,1000000000),IF(AND(MAX(R73+(0),0)*M73&gt;0,Q73*INT(MAX(R73+(0),0)*M73/M73)+0*INT(MAX(R73+(0),0)*M73/N73)&gt;=L73),MAX(R73+(0),0)*M73,1000000000),IF(AND(MAX(R73+(1),0)*M73&gt;0,Q73*INT(MAX(R73+(1),0)*M73/M73)+0*INT(MAX(R73+(1),0)*M73/N73)&gt;=L73),MAX(R73+(1),0)*M73,1000000000),IF(AND(MAX(R73+(2),0)*M73&gt;0,Q73*INT(MAX(R73+(2),0)*M73/M73)+0*INT(MAX(R73+(2),0)*M73/N73)&gt;=L73),MAX(R73+(2),0)*M73,1000000000),IF(AND(MAX(S73+(-1),0)*N73&gt;0,Q73*INT(MAX(S73+(-1),0)*N73/M73)+0*INT(MAX(S73+(-1),0)*N73/N73)&gt;=L73),MAX(S73+(-1),0)*N73,1000000000),IF(AND(MAX(S73+(0),0)*N73&gt;0,Q73*INT(MAX(S73+(0),0)*N73/M73)+0*INT(MAX(S73+(0),0)*N73/N73)&gt;=L73),MAX(S73+(0),0)*N73,1000000000),IF(AND(MAX(S73+(1),0)*N73&gt;0,Q73*INT(MAX(S73+(1),0)*N73/M73)+0*INT(MAX(S73+(1),0)*N73/N73)&gt;=L73),MAX(S73+(1),0)*N73,1000000000),IF(AND(MAX(S73+(2),0)*N73&gt;0,Q73*INT(MAX(S73+(2),0)*N73/M73)+0*INT(MAX(S73+(2),0)*N73/N73)&gt;=L73),MAX(S73+(2),0)*N73,1000000000)))</f>
        <v>12220</v>
      </c>
      <c r="U73" s="10" t="n">
        <f aca="false">IF(O73-1*M73&gt;=0,INT((O73-1*M73)/N73),-1)</f>
        <v>2</v>
      </c>
      <c r="V73" s="10" t="n">
        <f aca="false">IF(AND(U73&gt;=0,U73+1&gt;0),ROUNDUP(L73/(U73+1*M73/N73),0),0)</f>
        <v>13</v>
      </c>
      <c r="W73" s="10" t="n">
        <f aca="false">IF(AND(U73&gt;=0,U73+1&gt;0),ROUNDUP(L73/(U73*N73/M73+1),0),0)</f>
        <v>25</v>
      </c>
      <c r="X73" s="10" t="n">
        <f aca="false">IF(OR(U73&lt;0,U73+1=0),1000000000,MIN(IF(AND(MAX(V73+(-1),0)*M73&gt;0,U73*INT(MAX(V73+(-1),0)*M73/M73)+1*INT(MAX(V73+(-1),0)*M73/N73)&gt;=L73),MAX(V73+(-1),0)*M73,1000000000),IF(AND(MAX(V73+(0),0)*M73&gt;0,U73*INT(MAX(V73+(0),0)*M73/M73)+1*INT(MAX(V73+(0),0)*M73/N73)&gt;=L73),MAX(V73+(0),0)*M73,1000000000),IF(AND(MAX(V73+(1),0)*M73&gt;0,U73*INT(MAX(V73+(1),0)*M73/M73)+1*INT(MAX(V73+(1),0)*M73/N73)&gt;=L73),MAX(V73+(1),0)*M73,1000000000),IF(AND(MAX(V73+(2),0)*M73&gt;0,U73*INT(MAX(V73+(2),0)*M73/M73)+1*INT(MAX(V73+(2),0)*M73/N73)&gt;=L73),MAX(V73+(2),0)*M73,1000000000),IF(AND(MAX(W73+(-1),0)*N73&gt;0,U73*INT(MAX(W73+(-1),0)*N73/M73)+1*INT(MAX(W73+(-1),0)*N73/N73)&gt;=L73),MAX(W73+(-1),0)*N73,1000000000),IF(AND(MAX(W73+(0),0)*N73&gt;0,U73*INT(MAX(W73+(0),0)*N73/M73)+1*INT(MAX(W73+(0),0)*N73/N73)&gt;=L73),MAX(W73+(0),0)*N73,1000000000),IF(AND(MAX(W73+(1),0)*N73&gt;0,U73*INT(MAX(W73+(1),0)*N73/M73)+1*INT(MAX(W73+(1),0)*N73/N73)&gt;=L73),MAX(W73+(1),0)*N73,1000000000),IF(AND(MAX(W73+(2),0)*N73&gt;0,U73*INT(MAX(W73+(2),0)*N73/M73)+1*INT(MAX(W73+(2),0)*N73/N73)&gt;=L73),MAX(W73+(2),0)*N73,1000000000)))</f>
        <v>12220</v>
      </c>
      <c r="Y73" s="10" t="n">
        <f aca="false">IF(O73-2*M73&gt;=0,INT((O73-2*M73)/N73),-1)</f>
        <v>0</v>
      </c>
      <c r="Z73" s="10" t="n">
        <f aca="false">IF(AND(Y73&gt;=0,Y73+2&gt;0),ROUNDUP(L73/(Y73+2*M73/N73),0),0)</f>
        <v>13</v>
      </c>
      <c r="AA73" s="10" t="n">
        <f aca="false">IF(AND(Y73&gt;=0,Y73+2&gt;0),ROUNDUP(L73/(Y73*N73/M73+2),0),0)</f>
        <v>25</v>
      </c>
      <c r="AB73" s="10" t="n">
        <f aca="false">IF(OR(Y73&lt;0,Y73+2=0),1000000000,MIN(IF(AND(MAX(Z73+(-1),0)*M73&gt;0,Y73*INT(MAX(Z73+(-1),0)*M73/M73)+2*INT(MAX(Z73+(-1),0)*M73/N73)&gt;=L73),MAX(Z73+(-1),0)*M73,1000000000),IF(AND(MAX(Z73+(0),0)*M73&gt;0,Y73*INT(MAX(Z73+(0),0)*M73/M73)+2*INT(MAX(Z73+(0),0)*M73/N73)&gt;=L73),MAX(Z73+(0),0)*M73,1000000000),IF(AND(MAX(Z73+(1),0)*M73&gt;0,Y73*INT(MAX(Z73+(1),0)*M73/M73)+2*INT(MAX(Z73+(1),0)*M73/N73)&gt;=L73),MAX(Z73+(1),0)*M73,1000000000),IF(AND(MAX(Z73+(2),0)*M73&gt;0,Y73*INT(MAX(Z73+(2),0)*M73/M73)+2*INT(MAX(Z73+(2),0)*M73/N73)&gt;=L73),MAX(Z73+(2),0)*M73,1000000000),IF(AND(MAX(AA73+(-1),0)*N73&gt;0,Y73*INT(MAX(AA73+(-1),0)*N73/M73)+2*INT(MAX(AA73+(-1),0)*N73/N73)&gt;=L73),MAX(AA73+(-1),0)*N73,1000000000),IF(AND(MAX(AA73+(0),0)*N73&gt;0,Y73*INT(MAX(AA73+(0),0)*N73/M73)+2*INT(MAX(AA73+(0),0)*N73/N73)&gt;=L73),MAX(AA73+(0),0)*N73,1000000000),IF(AND(MAX(AA73+(1),0)*N73&gt;0,Y73*INT(MAX(AA73+(1),0)*N73/M73)+2*INT(MAX(AA73+(1),0)*N73/N73)&gt;=L73),MAX(AA73+(1),0)*N73,1000000000),IF(AND(MAX(AA73+(2),0)*N73&gt;0,Y73*INT(MAX(AA73+(2),0)*N73/M73)+2*INT(MAX(AA73+(2),0)*N73/N73)&gt;=L73),MAX(AA73+(2),0)*N73,1000000000)))</f>
        <v>11825</v>
      </c>
      <c r="AC73" s="42" t="n">
        <f aca="false">IF(L73=0,0,MIN(T73,X73,AB73))</f>
        <v>11825</v>
      </c>
      <c r="AD73" s="15" t="n">
        <f aca="false">I73*INDEX(lg_bkg_3464,B73)</f>
        <v>12299.825664</v>
      </c>
      <c r="AE73" s="33" t="n">
        <f aca="false">I73*INDEX(lg_bvol_3464,B73)</f>
        <v>50.419908</v>
      </c>
    </row>
    <row r="74" customFormat="false" ht="15" hidden="false" customHeight="false" outlineLevel="0" collapsed="false">
      <c r="A74" s="9" t="n">
        <v>5</v>
      </c>
      <c r="B74" s="9" t="n">
        <v>3</v>
      </c>
      <c r="C74" s="9" t="s">
        <v>16</v>
      </c>
      <c r="D74" s="10" t="n">
        <f aca="false">INDEX(cfg_ct,A74)</f>
        <v>3</v>
      </c>
      <c r="E74" s="10" t="n">
        <f aca="false">INDEX(cfg_n,A74)</f>
        <v>1</v>
      </c>
      <c r="F74" s="15" t="n">
        <f aca="false">INDEX(cfg_u_3463,A74,B74)</f>
        <v>0</v>
      </c>
      <c r="G74" s="15" t="n">
        <f aca="false">F74/E74</f>
        <v>0</v>
      </c>
      <c r="H74" s="10" t="n">
        <f aca="false">INDEX(lg_n_3463,B74)</f>
        <v>50</v>
      </c>
      <c r="I74" s="15" t="n">
        <f aca="false">ROUNDUP(G74/H74,0)</f>
        <v>0</v>
      </c>
      <c r="J74" s="10" t="n">
        <f aca="false">INDEX(lg_layers_3463_40HC,B74)</f>
        <v>28</v>
      </c>
      <c r="K74" s="26" t="n">
        <f aca="false">INDEX(in_use_efficiency,1,B74)</f>
        <v>0.9</v>
      </c>
      <c r="L74" s="10" t="n">
        <f aca="false">IF(I74=0,0,ROUNDUP(I74/(K74*J74)-0.000000001,0))</f>
        <v>0</v>
      </c>
      <c r="M74" s="10" t="n">
        <f aca="false">INDEX(lg_a_3463,B74)</f>
        <v>1040</v>
      </c>
      <c r="N74" s="10" t="n">
        <f aca="false">INDEX(lg_b_3463,B74)</f>
        <v>523</v>
      </c>
      <c r="O74" s="10" t="n">
        <f aca="false">INDEX(lg_Wu_40HC,B74)</f>
        <v>2330</v>
      </c>
      <c r="P74" s="10" t="n">
        <f aca="false">INDEX(lg_Lu_40HC,B74)</f>
        <v>11930</v>
      </c>
      <c r="Q74" s="10" t="n">
        <f aca="false">IF(O74-0*M74&gt;=0,INT((O74-0*M74)/N74),-1)</f>
        <v>4</v>
      </c>
      <c r="R74" s="10" t="n">
        <f aca="false">IF(AND(Q74&gt;=0,Q74+0&gt;0),ROUNDUP(L74/(Q74+0*M74/N74),0),0)</f>
        <v>0</v>
      </c>
      <c r="S74" s="10" t="n">
        <f aca="false">IF(AND(Q74&gt;=0,Q74+0&gt;0),ROUNDUP(L74/(Q74*N74/M74+0),0),0)</f>
        <v>0</v>
      </c>
      <c r="T74" s="10" t="n">
        <f aca="false">IF(OR(Q74&lt;0,Q74+0=0),1000000000,MIN(IF(AND(MAX(R74+(-1),0)*M74&gt;0,Q74*INT(MAX(R74+(-1),0)*M74/M74)+0*INT(MAX(R74+(-1),0)*M74/N74)&gt;=L74),MAX(R74+(-1),0)*M74,1000000000),IF(AND(MAX(R74+(0),0)*M74&gt;0,Q74*INT(MAX(R74+(0),0)*M74/M74)+0*INT(MAX(R74+(0),0)*M74/N74)&gt;=L74),MAX(R74+(0),0)*M74,1000000000),IF(AND(MAX(R74+(1),0)*M74&gt;0,Q74*INT(MAX(R74+(1),0)*M74/M74)+0*INT(MAX(R74+(1),0)*M74/N74)&gt;=L74),MAX(R74+(1),0)*M74,1000000000),IF(AND(MAX(R74+(2),0)*M74&gt;0,Q74*INT(MAX(R74+(2),0)*M74/M74)+0*INT(MAX(R74+(2),0)*M74/N74)&gt;=L74),MAX(R74+(2),0)*M74,1000000000),IF(AND(MAX(S74+(-1),0)*N74&gt;0,Q74*INT(MAX(S74+(-1),0)*N74/M74)+0*INT(MAX(S74+(-1),0)*N74/N74)&gt;=L74),MAX(S74+(-1),0)*N74,1000000000),IF(AND(MAX(S74+(0),0)*N74&gt;0,Q74*INT(MAX(S74+(0),0)*N74/M74)+0*INT(MAX(S74+(0),0)*N74/N74)&gt;=L74),MAX(S74+(0),0)*N74,1000000000),IF(AND(MAX(S74+(1),0)*N74&gt;0,Q74*INT(MAX(S74+(1),0)*N74/M74)+0*INT(MAX(S74+(1),0)*N74/N74)&gt;=L74),MAX(S74+(1),0)*N74,1000000000),IF(AND(MAX(S74+(2),0)*N74&gt;0,Q74*INT(MAX(S74+(2),0)*N74/M74)+0*INT(MAX(S74+(2),0)*N74/N74)&gt;=L74),MAX(S74+(2),0)*N74,1000000000)))</f>
        <v>523</v>
      </c>
      <c r="U74" s="10" t="n">
        <f aca="false">IF(O74-1*M74&gt;=0,INT((O74-1*M74)/N74),-1)</f>
        <v>2</v>
      </c>
      <c r="V74" s="10" t="n">
        <f aca="false">IF(AND(U74&gt;=0,U74+1&gt;0),ROUNDUP(L74/(U74+1*M74/N74),0),0)</f>
        <v>0</v>
      </c>
      <c r="W74" s="10" t="n">
        <f aca="false">IF(AND(U74&gt;=0,U74+1&gt;0),ROUNDUP(L74/(U74*N74/M74+1),0),0)</f>
        <v>0</v>
      </c>
      <c r="X74" s="10" t="n">
        <f aca="false">IF(OR(U74&lt;0,U74+1=0),1000000000,MIN(IF(AND(MAX(V74+(-1),0)*M74&gt;0,U74*INT(MAX(V74+(-1),0)*M74/M74)+1*INT(MAX(V74+(-1),0)*M74/N74)&gt;=L74),MAX(V74+(-1),0)*M74,1000000000),IF(AND(MAX(V74+(0),0)*M74&gt;0,U74*INT(MAX(V74+(0),0)*M74/M74)+1*INT(MAX(V74+(0),0)*M74/N74)&gt;=L74),MAX(V74+(0),0)*M74,1000000000),IF(AND(MAX(V74+(1),0)*M74&gt;0,U74*INT(MAX(V74+(1),0)*M74/M74)+1*INT(MAX(V74+(1),0)*M74/N74)&gt;=L74),MAX(V74+(1),0)*M74,1000000000),IF(AND(MAX(V74+(2),0)*M74&gt;0,U74*INT(MAX(V74+(2),0)*M74/M74)+1*INT(MAX(V74+(2),0)*M74/N74)&gt;=L74),MAX(V74+(2),0)*M74,1000000000),IF(AND(MAX(W74+(-1),0)*N74&gt;0,U74*INT(MAX(W74+(-1),0)*N74/M74)+1*INT(MAX(W74+(-1),0)*N74/N74)&gt;=L74),MAX(W74+(-1),0)*N74,1000000000),IF(AND(MAX(W74+(0),0)*N74&gt;0,U74*INT(MAX(W74+(0),0)*N74/M74)+1*INT(MAX(W74+(0),0)*N74/N74)&gt;=L74),MAX(W74+(0),0)*N74,1000000000),IF(AND(MAX(W74+(1),0)*N74&gt;0,U74*INT(MAX(W74+(1),0)*N74/M74)+1*INT(MAX(W74+(1),0)*N74/N74)&gt;=L74),MAX(W74+(1),0)*N74,1000000000),IF(AND(MAX(W74+(2),0)*N74&gt;0,U74*INT(MAX(W74+(2),0)*N74/M74)+1*INT(MAX(W74+(2),0)*N74/N74)&gt;=L74),MAX(W74+(2),0)*N74,1000000000)))</f>
        <v>523</v>
      </c>
      <c r="Y74" s="10" t="n">
        <f aca="false">IF(O74-2*M74&gt;=0,INT((O74-2*M74)/N74),-1)</f>
        <v>0</v>
      </c>
      <c r="Z74" s="10" t="n">
        <f aca="false">IF(AND(Y74&gt;=0,Y74+2&gt;0),ROUNDUP(L74/(Y74+2*M74/N74),0),0)</f>
        <v>0</v>
      </c>
      <c r="AA74" s="10" t="n">
        <f aca="false">IF(AND(Y74&gt;=0,Y74+2&gt;0),ROUNDUP(L74/(Y74*N74/M74+2),0),0)</f>
        <v>0</v>
      </c>
      <c r="AB74" s="10" t="n">
        <f aca="false">IF(OR(Y74&lt;0,Y74+2=0),1000000000,MIN(IF(AND(MAX(Z74+(-1),0)*M74&gt;0,Y74*INT(MAX(Z74+(-1),0)*M74/M74)+2*INT(MAX(Z74+(-1),0)*M74/N74)&gt;=L74),MAX(Z74+(-1),0)*M74,1000000000),IF(AND(MAX(Z74+(0),0)*M74&gt;0,Y74*INT(MAX(Z74+(0),0)*M74/M74)+2*INT(MAX(Z74+(0),0)*M74/N74)&gt;=L74),MAX(Z74+(0),0)*M74,1000000000),IF(AND(MAX(Z74+(1),0)*M74&gt;0,Y74*INT(MAX(Z74+(1),0)*M74/M74)+2*INT(MAX(Z74+(1),0)*M74/N74)&gt;=L74),MAX(Z74+(1),0)*M74,1000000000),IF(AND(MAX(Z74+(2),0)*M74&gt;0,Y74*INT(MAX(Z74+(2),0)*M74/M74)+2*INT(MAX(Z74+(2),0)*M74/N74)&gt;=L74),MAX(Z74+(2),0)*M74,1000000000),IF(AND(MAX(AA74+(-1),0)*N74&gt;0,Y74*INT(MAX(AA74+(-1),0)*N74/M74)+2*INT(MAX(AA74+(-1),0)*N74/N74)&gt;=L74),MAX(AA74+(-1),0)*N74,1000000000),IF(AND(MAX(AA74+(0),0)*N74&gt;0,Y74*INT(MAX(AA74+(0),0)*N74/M74)+2*INT(MAX(AA74+(0),0)*N74/N74)&gt;=L74),MAX(AA74+(0),0)*N74,1000000000),IF(AND(MAX(AA74+(1),0)*N74&gt;0,Y74*INT(MAX(AA74+(1),0)*N74/M74)+2*INT(MAX(AA74+(1),0)*N74/N74)&gt;=L74),MAX(AA74+(1),0)*N74,1000000000),IF(AND(MAX(AA74+(2),0)*N74&gt;0,Y74*INT(MAX(AA74+(2),0)*N74/M74)+2*INT(MAX(AA74+(2),0)*N74/N74)&gt;=L74),MAX(AA74+(2),0)*N74,1000000000)))</f>
        <v>523</v>
      </c>
      <c r="AC74" s="42" t="n">
        <f aca="false">IF(L74=0,0,MIN(T74,X74,AB74))</f>
        <v>0</v>
      </c>
      <c r="AD74" s="15" t="n">
        <f aca="false">I74*INDEX(lg_bkg_3463,B74)</f>
        <v>0</v>
      </c>
      <c r="AE74" s="33" t="n">
        <f aca="false">I74*INDEX(lg_bvol_3463,B74)</f>
        <v>0</v>
      </c>
    </row>
    <row r="75" customFormat="false" ht="15" hidden="false" customHeight="false" outlineLevel="0" collapsed="false">
      <c r="A75" s="9" t="n">
        <v>5</v>
      </c>
      <c r="B75" s="9" t="n">
        <v>3</v>
      </c>
      <c r="C75" s="9" t="s">
        <v>17</v>
      </c>
      <c r="D75" s="10" t="n">
        <f aca="false">INDEX(cfg_ct,A75)</f>
        <v>3</v>
      </c>
      <c r="E75" s="10" t="n">
        <f aca="false">INDEX(cfg_n,A75)</f>
        <v>1</v>
      </c>
      <c r="F75" s="15" t="n">
        <f aca="false">INDEX(cfg_u_3460,A75,B75)</f>
        <v>0</v>
      </c>
      <c r="G75" s="15" t="n">
        <f aca="false">F75/E75</f>
        <v>0</v>
      </c>
      <c r="H75" s="10" t="n">
        <f aca="false">INDEX(lg_n_3460,B75)</f>
        <v>50</v>
      </c>
      <c r="I75" s="15" t="n">
        <f aca="false">ROUNDUP(G75/H75,0)</f>
        <v>0</v>
      </c>
      <c r="J75" s="10" t="n">
        <f aca="false">INDEX(lg_layers_3460_40HC,B75)</f>
        <v>28</v>
      </c>
      <c r="K75" s="26" t="n">
        <f aca="false">INDEX(in_use_efficiency,1,B75)</f>
        <v>0.9</v>
      </c>
      <c r="L75" s="10" t="n">
        <f aca="false">IF(I75=0,0,ROUNDUP(I75/(K75*J75)-0.000000001,0))</f>
        <v>0</v>
      </c>
      <c r="M75" s="10" t="n">
        <f aca="false">INDEX(lg_a_3460,B75)</f>
        <v>840</v>
      </c>
      <c r="N75" s="10" t="n">
        <f aca="false">INDEX(lg_b_3460,B75)</f>
        <v>423</v>
      </c>
      <c r="O75" s="10" t="n">
        <f aca="false">INDEX(lg_Wu_40HC,B75)</f>
        <v>2330</v>
      </c>
      <c r="P75" s="10" t="n">
        <f aca="false">INDEX(lg_Lu_40HC,B75)</f>
        <v>11930</v>
      </c>
      <c r="Q75" s="10" t="n">
        <f aca="false">IF(O75-0*M75&gt;=0,INT((O75-0*M75)/N75),-1)</f>
        <v>5</v>
      </c>
      <c r="R75" s="10" t="n">
        <f aca="false">IF(AND(Q75&gt;=0,Q75+0&gt;0),ROUNDUP(L75/(Q75+0*M75/N75),0),0)</f>
        <v>0</v>
      </c>
      <c r="S75" s="10" t="n">
        <f aca="false">IF(AND(Q75&gt;=0,Q75+0&gt;0),ROUNDUP(L75/(Q75*N75/M75+0),0),0)</f>
        <v>0</v>
      </c>
      <c r="T75" s="10" t="n">
        <f aca="false">IF(OR(Q75&lt;0,Q75+0=0),1000000000,MIN(IF(AND(MAX(R75+(-1),0)*M75&gt;0,Q75*INT(MAX(R75+(-1),0)*M75/M75)+0*INT(MAX(R75+(-1),0)*M75/N75)&gt;=L75),MAX(R75+(-1),0)*M75,1000000000),IF(AND(MAX(R75+(0),0)*M75&gt;0,Q75*INT(MAX(R75+(0),0)*M75/M75)+0*INT(MAX(R75+(0),0)*M75/N75)&gt;=L75),MAX(R75+(0),0)*M75,1000000000),IF(AND(MAX(R75+(1),0)*M75&gt;0,Q75*INT(MAX(R75+(1),0)*M75/M75)+0*INT(MAX(R75+(1),0)*M75/N75)&gt;=L75),MAX(R75+(1),0)*M75,1000000000),IF(AND(MAX(R75+(2),0)*M75&gt;0,Q75*INT(MAX(R75+(2),0)*M75/M75)+0*INT(MAX(R75+(2),0)*M75/N75)&gt;=L75),MAX(R75+(2),0)*M75,1000000000),IF(AND(MAX(S75+(-1),0)*N75&gt;0,Q75*INT(MAX(S75+(-1),0)*N75/M75)+0*INT(MAX(S75+(-1),0)*N75/N75)&gt;=L75),MAX(S75+(-1),0)*N75,1000000000),IF(AND(MAX(S75+(0),0)*N75&gt;0,Q75*INT(MAX(S75+(0),0)*N75/M75)+0*INT(MAX(S75+(0),0)*N75/N75)&gt;=L75),MAX(S75+(0),0)*N75,1000000000),IF(AND(MAX(S75+(1),0)*N75&gt;0,Q75*INT(MAX(S75+(1),0)*N75/M75)+0*INT(MAX(S75+(1),0)*N75/N75)&gt;=L75),MAX(S75+(1),0)*N75,1000000000),IF(AND(MAX(S75+(2),0)*N75&gt;0,Q75*INT(MAX(S75+(2),0)*N75/M75)+0*INT(MAX(S75+(2),0)*N75/N75)&gt;=L75),MAX(S75+(2),0)*N75,1000000000)))</f>
        <v>423</v>
      </c>
      <c r="U75" s="10" t="n">
        <f aca="false">IF(O75-1*M75&gt;=0,INT((O75-1*M75)/N75),-1)</f>
        <v>3</v>
      </c>
      <c r="V75" s="10" t="n">
        <f aca="false">IF(AND(U75&gt;=0,U75+1&gt;0),ROUNDUP(L75/(U75+1*M75/N75),0),0)</f>
        <v>0</v>
      </c>
      <c r="W75" s="10" t="n">
        <f aca="false">IF(AND(U75&gt;=0,U75+1&gt;0),ROUNDUP(L75/(U75*N75/M75+1),0),0)</f>
        <v>0</v>
      </c>
      <c r="X75" s="10" t="n">
        <f aca="false">IF(OR(U75&lt;0,U75+1=0),1000000000,MIN(IF(AND(MAX(V75+(-1),0)*M75&gt;0,U75*INT(MAX(V75+(-1),0)*M75/M75)+1*INT(MAX(V75+(-1),0)*M75/N75)&gt;=L75),MAX(V75+(-1),0)*M75,1000000000),IF(AND(MAX(V75+(0),0)*M75&gt;0,U75*INT(MAX(V75+(0),0)*M75/M75)+1*INT(MAX(V75+(0),0)*M75/N75)&gt;=L75),MAX(V75+(0),0)*M75,1000000000),IF(AND(MAX(V75+(1),0)*M75&gt;0,U75*INT(MAX(V75+(1),0)*M75/M75)+1*INT(MAX(V75+(1),0)*M75/N75)&gt;=L75),MAX(V75+(1),0)*M75,1000000000),IF(AND(MAX(V75+(2),0)*M75&gt;0,U75*INT(MAX(V75+(2),0)*M75/M75)+1*INT(MAX(V75+(2),0)*M75/N75)&gt;=L75),MAX(V75+(2),0)*M75,1000000000),IF(AND(MAX(W75+(-1),0)*N75&gt;0,U75*INT(MAX(W75+(-1),0)*N75/M75)+1*INT(MAX(W75+(-1),0)*N75/N75)&gt;=L75),MAX(W75+(-1),0)*N75,1000000000),IF(AND(MAX(W75+(0),0)*N75&gt;0,U75*INT(MAX(W75+(0),0)*N75/M75)+1*INT(MAX(W75+(0),0)*N75/N75)&gt;=L75),MAX(W75+(0),0)*N75,1000000000),IF(AND(MAX(W75+(1),0)*N75&gt;0,U75*INT(MAX(W75+(1),0)*N75/M75)+1*INT(MAX(W75+(1),0)*N75/N75)&gt;=L75),MAX(W75+(1),0)*N75,1000000000),IF(AND(MAX(W75+(2),0)*N75&gt;0,U75*INT(MAX(W75+(2),0)*N75/M75)+1*INT(MAX(W75+(2),0)*N75/N75)&gt;=L75),MAX(W75+(2),0)*N75,1000000000)))</f>
        <v>423</v>
      </c>
      <c r="Y75" s="10" t="n">
        <f aca="false">IF(O75-2*M75&gt;=0,INT((O75-2*M75)/N75),-1)</f>
        <v>1</v>
      </c>
      <c r="Z75" s="10" t="n">
        <f aca="false">IF(AND(Y75&gt;=0,Y75+2&gt;0),ROUNDUP(L75/(Y75+2*M75/N75),0),0)</f>
        <v>0</v>
      </c>
      <c r="AA75" s="10" t="n">
        <f aca="false">IF(AND(Y75&gt;=0,Y75+2&gt;0),ROUNDUP(L75/(Y75*N75/M75+2),0),0)</f>
        <v>0</v>
      </c>
      <c r="AB75" s="10" t="n">
        <f aca="false">IF(OR(Y75&lt;0,Y75+2=0),1000000000,MIN(IF(AND(MAX(Z75+(-1),0)*M75&gt;0,Y75*INT(MAX(Z75+(-1),0)*M75/M75)+2*INT(MAX(Z75+(-1),0)*M75/N75)&gt;=L75),MAX(Z75+(-1),0)*M75,1000000000),IF(AND(MAX(Z75+(0),0)*M75&gt;0,Y75*INT(MAX(Z75+(0),0)*M75/M75)+2*INT(MAX(Z75+(0),0)*M75/N75)&gt;=L75),MAX(Z75+(0),0)*M75,1000000000),IF(AND(MAX(Z75+(1),0)*M75&gt;0,Y75*INT(MAX(Z75+(1),0)*M75/M75)+2*INT(MAX(Z75+(1),0)*M75/N75)&gt;=L75),MAX(Z75+(1),0)*M75,1000000000),IF(AND(MAX(Z75+(2),0)*M75&gt;0,Y75*INT(MAX(Z75+(2),0)*M75/M75)+2*INT(MAX(Z75+(2),0)*M75/N75)&gt;=L75),MAX(Z75+(2),0)*M75,1000000000),IF(AND(MAX(AA75+(-1),0)*N75&gt;0,Y75*INT(MAX(AA75+(-1),0)*N75/M75)+2*INT(MAX(AA75+(-1),0)*N75/N75)&gt;=L75),MAX(AA75+(-1),0)*N75,1000000000),IF(AND(MAX(AA75+(0),0)*N75&gt;0,Y75*INT(MAX(AA75+(0),0)*N75/M75)+2*INT(MAX(AA75+(0),0)*N75/N75)&gt;=L75),MAX(AA75+(0),0)*N75,1000000000),IF(AND(MAX(AA75+(1),0)*N75&gt;0,Y75*INT(MAX(AA75+(1),0)*N75/M75)+2*INT(MAX(AA75+(1),0)*N75/N75)&gt;=L75),MAX(AA75+(1),0)*N75,1000000000),IF(AND(MAX(AA75+(2),0)*N75&gt;0,Y75*INT(MAX(AA75+(2),0)*N75/M75)+2*INT(MAX(AA75+(2),0)*N75/N75)&gt;=L75),MAX(AA75+(2),0)*N75,1000000000)))</f>
        <v>423</v>
      </c>
      <c r="AC75" s="42" t="n">
        <f aca="false">IF(L75=0,0,MIN(T75,X75,AB75))</f>
        <v>0</v>
      </c>
      <c r="AD75" s="15" t="n">
        <f aca="false">I75*INDEX(lg_bkg_3460,B75)</f>
        <v>0</v>
      </c>
      <c r="AE75" s="33" t="n">
        <f aca="false">I75*INDEX(lg_bvol_3460,B75)</f>
        <v>0</v>
      </c>
    </row>
    <row r="76" customFormat="false" ht="15" hidden="false" customHeight="false" outlineLevel="0" collapsed="false">
      <c r="A76" s="9" t="n">
        <v>6</v>
      </c>
      <c r="B76" s="9" t="n">
        <v>1</v>
      </c>
      <c r="C76" s="9" t="s">
        <v>15</v>
      </c>
      <c r="D76" s="10" t="n">
        <f aca="false">INDEX(cfg_ct,A76)</f>
        <v>3</v>
      </c>
      <c r="E76" s="10" t="n">
        <f aca="false">INDEX(cfg_n,A76)</f>
        <v>1</v>
      </c>
      <c r="F76" s="15" t="n">
        <f aca="false">INDEX(cfg_u_3464,A76,B76)</f>
        <v>0</v>
      </c>
      <c r="G76" s="15" t="n">
        <f aca="false">F76/E76</f>
        <v>0</v>
      </c>
      <c r="H76" s="10" t="n">
        <f aca="false">INDEX(lg_n_3464,B76)</f>
        <v>50</v>
      </c>
      <c r="I76" s="15" t="n">
        <f aca="false">ROUNDUP(G76/H76,0)</f>
        <v>0</v>
      </c>
      <c r="J76" s="10" t="n">
        <f aca="false">INDEX(lg_layers_3464_40HC,B76)</f>
        <v>34</v>
      </c>
      <c r="K76" s="26" t="n">
        <f aca="false">INDEX(in_use_efficiency,1,B76)</f>
        <v>0.97</v>
      </c>
      <c r="L76" s="10" t="n">
        <f aca="false">IF(I76=0,0,ROUNDUP(I76/(K76*J76)-0.000000001,0))</f>
        <v>0</v>
      </c>
      <c r="M76" s="10" t="n">
        <f aca="false">INDEX(lg_a_3464,B76)</f>
        <v>940</v>
      </c>
      <c r="N76" s="10" t="n">
        <f aca="false">INDEX(lg_b_3464,B76)</f>
        <v>473</v>
      </c>
      <c r="O76" s="10" t="n">
        <f aca="false">INDEX(lg_Wu_40HC,B76)</f>
        <v>2330</v>
      </c>
      <c r="P76" s="10" t="n">
        <f aca="false">INDEX(lg_Lu_40HC,B76)</f>
        <v>11930</v>
      </c>
      <c r="Q76" s="10" t="n">
        <f aca="false">IF(O76-0*M76&gt;=0,INT((O76-0*M76)/N76),-1)</f>
        <v>4</v>
      </c>
      <c r="R76" s="10" t="n">
        <f aca="false">IF(AND(Q76&gt;=0,Q76+0&gt;0),ROUNDUP(L76/(Q76+0*M76/N76),0),0)</f>
        <v>0</v>
      </c>
      <c r="S76" s="10" t="n">
        <f aca="false">IF(AND(Q76&gt;=0,Q76+0&gt;0),ROUNDUP(L76/(Q76*N76/M76+0),0),0)</f>
        <v>0</v>
      </c>
      <c r="T76" s="10" t="n">
        <f aca="false">IF(OR(Q76&lt;0,Q76+0=0),1000000000,MIN(IF(AND(MAX(R76+(-1),0)*M76&gt;0,Q76*INT(MAX(R76+(-1),0)*M76/M76)+0*INT(MAX(R76+(-1),0)*M76/N76)&gt;=L76),MAX(R76+(-1),0)*M76,1000000000),IF(AND(MAX(R76+(0),0)*M76&gt;0,Q76*INT(MAX(R76+(0),0)*M76/M76)+0*INT(MAX(R76+(0),0)*M76/N76)&gt;=L76),MAX(R76+(0),0)*M76,1000000000),IF(AND(MAX(R76+(1),0)*M76&gt;0,Q76*INT(MAX(R76+(1),0)*M76/M76)+0*INT(MAX(R76+(1),0)*M76/N76)&gt;=L76),MAX(R76+(1),0)*M76,1000000000),IF(AND(MAX(R76+(2),0)*M76&gt;0,Q76*INT(MAX(R76+(2),0)*M76/M76)+0*INT(MAX(R76+(2),0)*M76/N76)&gt;=L76),MAX(R76+(2),0)*M76,1000000000),IF(AND(MAX(S76+(-1),0)*N76&gt;0,Q76*INT(MAX(S76+(-1),0)*N76/M76)+0*INT(MAX(S76+(-1),0)*N76/N76)&gt;=L76),MAX(S76+(-1),0)*N76,1000000000),IF(AND(MAX(S76+(0),0)*N76&gt;0,Q76*INT(MAX(S76+(0),0)*N76/M76)+0*INT(MAX(S76+(0),0)*N76/N76)&gt;=L76),MAX(S76+(0),0)*N76,1000000000),IF(AND(MAX(S76+(1),0)*N76&gt;0,Q76*INT(MAX(S76+(1),0)*N76/M76)+0*INT(MAX(S76+(1),0)*N76/N76)&gt;=L76),MAX(S76+(1),0)*N76,1000000000),IF(AND(MAX(S76+(2),0)*N76&gt;0,Q76*INT(MAX(S76+(2),0)*N76/M76)+0*INT(MAX(S76+(2),0)*N76/N76)&gt;=L76),MAX(S76+(2),0)*N76,1000000000)))</f>
        <v>473</v>
      </c>
      <c r="U76" s="10" t="n">
        <f aca="false">IF(O76-1*M76&gt;=0,INT((O76-1*M76)/N76),-1)</f>
        <v>2</v>
      </c>
      <c r="V76" s="10" t="n">
        <f aca="false">IF(AND(U76&gt;=0,U76+1&gt;0),ROUNDUP(L76/(U76+1*M76/N76),0),0)</f>
        <v>0</v>
      </c>
      <c r="W76" s="10" t="n">
        <f aca="false">IF(AND(U76&gt;=0,U76+1&gt;0),ROUNDUP(L76/(U76*N76/M76+1),0),0)</f>
        <v>0</v>
      </c>
      <c r="X76" s="10" t="n">
        <f aca="false">IF(OR(U76&lt;0,U76+1=0),1000000000,MIN(IF(AND(MAX(V76+(-1),0)*M76&gt;0,U76*INT(MAX(V76+(-1),0)*M76/M76)+1*INT(MAX(V76+(-1),0)*M76/N76)&gt;=L76),MAX(V76+(-1),0)*M76,1000000000),IF(AND(MAX(V76+(0),0)*M76&gt;0,U76*INT(MAX(V76+(0),0)*M76/M76)+1*INT(MAX(V76+(0),0)*M76/N76)&gt;=L76),MAX(V76+(0),0)*M76,1000000000),IF(AND(MAX(V76+(1),0)*M76&gt;0,U76*INT(MAX(V76+(1),0)*M76/M76)+1*INT(MAX(V76+(1),0)*M76/N76)&gt;=L76),MAX(V76+(1),0)*M76,1000000000),IF(AND(MAX(V76+(2),0)*M76&gt;0,U76*INT(MAX(V76+(2),0)*M76/M76)+1*INT(MAX(V76+(2),0)*M76/N76)&gt;=L76),MAX(V76+(2),0)*M76,1000000000),IF(AND(MAX(W76+(-1),0)*N76&gt;0,U76*INT(MAX(W76+(-1),0)*N76/M76)+1*INT(MAX(W76+(-1),0)*N76/N76)&gt;=L76),MAX(W76+(-1),0)*N76,1000000000),IF(AND(MAX(W76+(0),0)*N76&gt;0,U76*INT(MAX(W76+(0),0)*N76/M76)+1*INT(MAX(W76+(0),0)*N76/N76)&gt;=L76),MAX(W76+(0),0)*N76,1000000000),IF(AND(MAX(W76+(1),0)*N76&gt;0,U76*INT(MAX(W76+(1),0)*N76/M76)+1*INT(MAX(W76+(1),0)*N76/N76)&gt;=L76),MAX(W76+(1),0)*N76,1000000000),IF(AND(MAX(W76+(2),0)*N76&gt;0,U76*INT(MAX(W76+(2),0)*N76/M76)+1*INT(MAX(W76+(2),0)*N76/N76)&gt;=L76),MAX(W76+(2),0)*N76,1000000000)))</f>
        <v>473</v>
      </c>
      <c r="Y76" s="10" t="n">
        <f aca="false">IF(O76-2*M76&gt;=0,INT((O76-2*M76)/N76),-1)</f>
        <v>0</v>
      </c>
      <c r="Z76" s="10" t="n">
        <f aca="false">IF(AND(Y76&gt;=0,Y76+2&gt;0),ROUNDUP(L76/(Y76+2*M76/N76),0),0)</f>
        <v>0</v>
      </c>
      <c r="AA76" s="10" t="n">
        <f aca="false">IF(AND(Y76&gt;=0,Y76+2&gt;0),ROUNDUP(L76/(Y76*N76/M76+2),0),0)</f>
        <v>0</v>
      </c>
      <c r="AB76" s="10" t="n">
        <f aca="false">IF(OR(Y76&lt;0,Y76+2=0),1000000000,MIN(IF(AND(MAX(Z76+(-1),0)*M76&gt;0,Y76*INT(MAX(Z76+(-1),0)*M76/M76)+2*INT(MAX(Z76+(-1),0)*M76/N76)&gt;=L76),MAX(Z76+(-1),0)*M76,1000000000),IF(AND(MAX(Z76+(0),0)*M76&gt;0,Y76*INT(MAX(Z76+(0),0)*M76/M76)+2*INT(MAX(Z76+(0),0)*M76/N76)&gt;=L76),MAX(Z76+(0),0)*M76,1000000000),IF(AND(MAX(Z76+(1),0)*M76&gt;0,Y76*INT(MAX(Z76+(1),0)*M76/M76)+2*INT(MAX(Z76+(1),0)*M76/N76)&gt;=L76),MAX(Z76+(1),0)*M76,1000000000),IF(AND(MAX(Z76+(2),0)*M76&gt;0,Y76*INT(MAX(Z76+(2),0)*M76/M76)+2*INT(MAX(Z76+(2),0)*M76/N76)&gt;=L76),MAX(Z76+(2),0)*M76,1000000000),IF(AND(MAX(AA76+(-1),0)*N76&gt;0,Y76*INT(MAX(AA76+(-1),0)*N76/M76)+2*INT(MAX(AA76+(-1),0)*N76/N76)&gt;=L76),MAX(AA76+(-1),0)*N76,1000000000),IF(AND(MAX(AA76+(0),0)*N76&gt;0,Y76*INT(MAX(AA76+(0),0)*N76/M76)+2*INT(MAX(AA76+(0),0)*N76/N76)&gt;=L76),MAX(AA76+(0),0)*N76,1000000000),IF(AND(MAX(AA76+(1),0)*N76&gt;0,Y76*INT(MAX(AA76+(1),0)*N76/M76)+2*INT(MAX(AA76+(1),0)*N76/N76)&gt;=L76),MAX(AA76+(1),0)*N76,1000000000),IF(AND(MAX(AA76+(2),0)*N76&gt;0,Y76*INT(MAX(AA76+(2),0)*N76/M76)+2*INT(MAX(AA76+(2),0)*N76/N76)&gt;=L76),MAX(AA76+(2),0)*N76,1000000000)))</f>
        <v>473</v>
      </c>
      <c r="AC76" s="42" t="n">
        <f aca="false">IF(L76=0,0,MIN(T76,X76,AB76))</f>
        <v>0</v>
      </c>
      <c r="AD76" s="15" t="n">
        <f aca="false">I76*INDEX(lg_bkg_3464,B76)</f>
        <v>0</v>
      </c>
      <c r="AE76" s="33" t="n">
        <f aca="false">I76*INDEX(lg_bvol_3464,B76)</f>
        <v>0</v>
      </c>
    </row>
    <row r="77" customFormat="false" ht="15" hidden="false" customHeight="false" outlineLevel="0" collapsed="false">
      <c r="A77" s="9" t="n">
        <v>6</v>
      </c>
      <c r="B77" s="9" t="n">
        <v>1</v>
      </c>
      <c r="C77" s="9" t="s">
        <v>16</v>
      </c>
      <c r="D77" s="10" t="n">
        <f aca="false">INDEX(cfg_ct,A77)</f>
        <v>3</v>
      </c>
      <c r="E77" s="10" t="n">
        <f aca="false">INDEX(cfg_n,A77)</f>
        <v>1</v>
      </c>
      <c r="F77" s="15" t="n">
        <f aca="false">INDEX(cfg_u_3463,A77,B77)</f>
        <v>72550</v>
      </c>
      <c r="G77" s="15" t="n">
        <f aca="false">F77/E77</f>
        <v>72550</v>
      </c>
      <c r="H77" s="10" t="n">
        <f aca="false">INDEX(lg_n_3463,B77)</f>
        <v>50</v>
      </c>
      <c r="I77" s="15" t="n">
        <f aca="false">ROUNDUP(G77/H77,0)</f>
        <v>1451</v>
      </c>
      <c r="J77" s="10" t="n">
        <f aca="false">INDEX(lg_layers_3463_40HC,B77)</f>
        <v>34</v>
      </c>
      <c r="K77" s="26" t="n">
        <f aca="false">INDEX(in_use_efficiency,1,B77)</f>
        <v>0.97</v>
      </c>
      <c r="L77" s="10" t="n">
        <f aca="false">IF(I77=0,0,ROUNDUP(I77/(K77*J77)-0.000000001,0))</f>
        <v>44</v>
      </c>
      <c r="M77" s="10" t="n">
        <f aca="false">INDEX(lg_a_3463,B77)</f>
        <v>1040</v>
      </c>
      <c r="N77" s="10" t="n">
        <f aca="false">INDEX(lg_b_3463,B77)</f>
        <v>523</v>
      </c>
      <c r="O77" s="10" t="n">
        <f aca="false">INDEX(lg_Wu_40HC,B77)</f>
        <v>2330</v>
      </c>
      <c r="P77" s="10" t="n">
        <f aca="false">INDEX(lg_Lu_40HC,B77)</f>
        <v>11930</v>
      </c>
      <c r="Q77" s="10" t="n">
        <f aca="false">IF(O77-0*M77&gt;=0,INT((O77-0*M77)/N77),-1)</f>
        <v>4</v>
      </c>
      <c r="R77" s="10" t="n">
        <f aca="false">IF(AND(Q77&gt;=0,Q77+0&gt;0),ROUNDUP(L77/(Q77+0*M77/N77),0),0)</f>
        <v>11</v>
      </c>
      <c r="S77" s="10" t="n">
        <f aca="false">IF(AND(Q77&gt;=0,Q77+0&gt;0),ROUNDUP(L77/(Q77*N77/M77+0),0),0)</f>
        <v>22</v>
      </c>
      <c r="T77" s="10" t="n">
        <f aca="false">IF(OR(Q77&lt;0,Q77+0=0),1000000000,MIN(IF(AND(MAX(R77+(-1),0)*M77&gt;0,Q77*INT(MAX(R77+(-1),0)*M77/M77)+0*INT(MAX(R77+(-1),0)*M77/N77)&gt;=L77),MAX(R77+(-1),0)*M77,1000000000),IF(AND(MAX(R77+(0),0)*M77&gt;0,Q77*INT(MAX(R77+(0),0)*M77/M77)+0*INT(MAX(R77+(0),0)*M77/N77)&gt;=L77),MAX(R77+(0),0)*M77,1000000000),IF(AND(MAX(R77+(1),0)*M77&gt;0,Q77*INT(MAX(R77+(1),0)*M77/M77)+0*INT(MAX(R77+(1),0)*M77/N77)&gt;=L77),MAX(R77+(1),0)*M77,1000000000),IF(AND(MAX(R77+(2),0)*M77&gt;0,Q77*INT(MAX(R77+(2),0)*M77/M77)+0*INT(MAX(R77+(2),0)*M77/N77)&gt;=L77),MAX(R77+(2),0)*M77,1000000000),IF(AND(MAX(S77+(-1),0)*N77&gt;0,Q77*INT(MAX(S77+(-1),0)*N77/M77)+0*INT(MAX(S77+(-1),0)*N77/N77)&gt;=L77),MAX(S77+(-1),0)*N77,1000000000),IF(AND(MAX(S77+(0),0)*N77&gt;0,Q77*INT(MAX(S77+(0),0)*N77/M77)+0*INT(MAX(S77+(0),0)*N77/N77)&gt;=L77),MAX(S77+(0),0)*N77,1000000000),IF(AND(MAX(S77+(1),0)*N77&gt;0,Q77*INT(MAX(S77+(1),0)*N77/M77)+0*INT(MAX(S77+(1),0)*N77/N77)&gt;=L77),MAX(S77+(1),0)*N77,1000000000),IF(AND(MAX(S77+(2),0)*N77&gt;0,Q77*INT(MAX(S77+(2),0)*N77/M77)+0*INT(MAX(S77+(2),0)*N77/N77)&gt;=L77),MAX(S77+(2),0)*N77,1000000000)))</f>
        <v>11440</v>
      </c>
      <c r="U77" s="10" t="n">
        <f aca="false">IF(O77-1*M77&gt;=0,INT((O77-1*M77)/N77),-1)</f>
        <v>2</v>
      </c>
      <c r="V77" s="10" t="n">
        <f aca="false">IF(AND(U77&gt;=0,U77+1&gt;0),ROUNDUP(L77/(U77+1*M77/N77),0),0)</f>
        <v>12</v>
      </c>
      <c r="W77" s="10" t="n">
        <f aca="false">IF(AND(U77&gt;=0,U77+1&gt;0),ROUNDUP(L77/(U77*N77/M77+1),0),0)</f>
        <v>22</v>
      </c>
      <c r="X77" s="10" t="n">
        <f aca="false">IF(OR(U77&lt;0,U77+1=0),1000000000,MIN(IF(AND(MAX(V77+(-1),0)*M77&gt;0,U77*INT(MAX(V77+(-1),0)*M77/M77)+1*INT(MAX(V77+(-1),0)*M77/N77)&gt;=L77),MAX(V77+(-1),0)*M77,1000000000),IF(AND(MAX(V77+(0),0)*M77&gt;0,U77*INT(MAX(V77+(0),0)*M77/M77)+1*INT(MAX(V77+(0),0)*M77/N77)&gt;=L77),MAX(V77+(0),0)*M77,1000000000),IF(AND(MAX(V77+(1),0)*M77&gt;0,U77*INT(MAX(V77+(1),0)*M77/M77)+1*INT(MAX(V77+(1),0)*M77/N77)&gt;=L77),MAX(V77+(1),0)*M77,1000000000),IF(AND(MAX(V77+(2),0)*M77&gt;0,U77*INT(MAX(V77+(2),0)*M77/M77)+1*INT(MAX(V77+(2),0)*M77/N77)&gt;=L77),MAX(V77+(2),0)*M77,1000000000),IF(AND(MAX(W77+(-1),0)*N77&gt;0,U77*INT(MAX(W77+(-1),0)*N77/M77)+1*INT(MAX(W77+(-1),0)*N77/N77)&gt;=L77),MAX(W77+(-1),0)*N77,1000000000),IF(AND(MAX(W77+(0),0)*N77&gt;0,U77*INT(MAX(W77+(0),0)*N77/M77)+1*INT(MAX(W77+(0),0)*N77/N77)&gt;=L77),MAX(W77+(0),0)*N77,1000000000),IF(AND(MAX(W77+(1),0)*N77&gt;0,U77*INT(MAX(W77+(1),0)*N77/M77)+1*INT(MAX(W77+(1),0)*N77/N77)&gt;=L77),MAX(W77+(1),0)*N77,1000000000),IF(AND(MAX(W77+(2),0)*N77&gt;0,U77*INT(MAX(W77+(2),0)*N77/M77)+1*INT(MAX(W77+(2),0)*N77/N77)&gt;=L77),MAX(W77+(2),0)*N77,1000000000)))</f>
        <v>11506</v>
      </c>
      <c r="Y77" s="10" t="n">
        <f aca="false">IF(O77-2*M77&gt;=0,INT((O77-2*M77)/N77),-1)</f>
        <v>0</v>
      </c>
      <c r="Z77" s="10" t="n">
        <f aca="false">IF(AND(Y77&gt;=0,Y77+2&gt;0),ROUNDUP(L77/(Y77+2*M77/N77),0),0)</f>
        <v>12</v>
      </c>
      <c r="AA77" s="10" t="n">
        <f aca="false">IF(AND(Y77&gt;=0,Y77+2&gt;0),ROUNDUP(L77/(Y77*N77/M77+2),0),0)</f>
        <v>22</v>
      </c>
      <c r="AB77" s="10" t="n">
        <f aca="false">IF(OR(Y77&lt;0,Y77+2=0),1000000000,MIN(IF(AND(MAX(Z77+(-1),0)*M77&gt;0,Y77*INT(MAX(Z77+(-1),0)*M77/M77)+2*INT(MAX(Z77+(-1),0)*M77/N77)&gt;=L77),MAX(Z77+(-1),0)*M77,1000000000),IF(AND(MAX(Z77+(0),0)*M77&gt;0,Y77*INT(MAX(Z77+(0),0)*M77/M77)+2*INT(MAX(Z77+(0),0)*M77/N77)&gt;=L77),MAX(Z77+(0),0)*M77,1000000000),IF(AND(MAX(Z77+(1),0)*M77&gt;0,Y77*INT(MAX(Z77+(1),0)*M77/M77)+2*INT(MAX(Z77+(1),0)*M77/N77)&gt;=L77),MAX(Z77+(1),0)*M77,1000000000),IF(AND(MAX(Z77+(2),0)*M77&gt;0,Y77*INT(MAX(Z77+(2),0)*M77/M77)+2*INT(MAX(Z77+(2),0)*M77/N77)&gt;=L77),MAX(Z77+(2),0)*M77,1000000000),IF(AND(MAX(AA77+(-1),0)*N77&gt;0,Y77*INT(MAX(AA77+(-1),0)*N77/M77)+2*INT(MAX(AA77+(-1),0)*N77/N77)&gt;=L77),MAX(AA77+(-1),0)*N77,1000000000),IF(AND(MAX(AA77+(0),0)*N77&gt;0,Y77*INT(MAX(AA77+(0),0)*N77/M77)+2*INT(MAX(AA77+(0),0)*N77/N77)&gt;=L77),MAX(AA77+(0),0)*N77,1000000000),IF(AND(MAX(AA77+(1),0)*N77&gt;0,Y77*INT(MAX(AA77+(1),0)*N77/M77)+2*INT(MAX(AA77+(1),0)*N77/N77)&gt;=L77),MAX(AA77+(1),0)*N77,1000000000),IF(AND(MAX(AA77+(2),0)*N77&gt;0,Y77*INT(MAX(AA77+(2),0)*N77/M77)+2*INT(MAX(AA77+(2),0)*N77/N77)&gt;=L77),MAX(AA77+(2),0)*N77,1000000000)))</f>
        <v>11506</v>
      </c>
      <c r="AC77" s="42" t="n">
        <f aca="false">IF(L77=0,0,MIN(T77,X77,AB77))</f>
        <v>11440</v>
      </c>
      <c r="AD77" s="15" t="n">
        <f aca="false">I77*INDEX(lg_bkg_3463,B77)</f>
        <v>14458.913192</v>
      </c>
      <c r="AE77" s="33" t="n">
        <f aca="false">I77*INDEX(lg_bvol_3463,B77)</f>
        <v>59.192094</v>
      </c>
    </row>
    <row r="78" customFormat="false" ht="15" hidden="false" customHeight="false" outlineLevel="0" collapsed="false">
      <c r="A78" s="9" t="n">
        <v>6</v>
      </c>
      <c r="B78" s="9" t="n">
        <v>1</v>
      </c>
      <c r="C78" s="9" t="s">
        <v>17</v>
      </c>
      <c r="D78" s="10" t="n">
        <f aca="false">INDEX(cfg_ct,A78)</f>
        <v>3</v>
      </c>
      <c r="E78" s="10" t="n">
        <f aca="false">INDEX(cfg_n,A78)</f>
        <v>1</v>
      </c>
      <c r="F78" s="15" t="n">
        <f aca="false">INDEX(cfg_u_3460,A78,B78)</f>
        <v>0</v>
      </c>
      <c r="G78" s="15" t="n">
        <f aca="false">F78/E78</f>
        <v>0</v>
      </c>
      <c r="H78" s="10" t="n">
        <f aca="false">INDEX(lg_n_3460,B78)</f>
        <v>50</v>
      </c>
      <c r="I78" s="15" t="n">
        <f aca="false">ROUNDUP(G78/H78,0)</f>
        <v>0</v>
      </c>
      <c r="J78" s="10" t="n">
        <f aca="false">INDEX(lg_layers_3460_40HC,B78)</f>
        <v>34</v>
      </c>
      <c r="K78" s="26" t="n">
        <f aca="false">INDEX(in_use_efficiency,1,B78)</f>
        <v>0.97</v>
      </c>
      <c r="L78" s="10" t="n">
        <f aca="false">IF(I78=0,0,ROUNDUP(I78/(K78*J78)-0.000000001,0))</f>
        <v>0</v>
      </c>
      <c r="M78" s="10" t="n">
        <f aca="false">INDEX(lg_a_3460,B78)</f>
        <v>840</v>
      </c>
      <c r="N78" s="10" t="n">
        <f aca="false">INDEX(lg_b_3460,B78)</f>
        <v>423</v>
      </c>
      <c r="O78" s="10" t="n">
        <f aca="false">INDEX(lg_Wu_40HC,B78)</f>
        <v>2330</v>
      </c>
      <c r="P78" s="10" t="n">
        <f aca="false">INDEX(lg_Lu_40HC,B78)</f>
        <v>11930</v>
      </c>
      <c r="Q78" s="10" t="n">
        <f aca="false">IF(O78-0*M78&gt;=0,INT((O78-0*M78)/N78),-1)</f>
        <v>5</v>
      </c>
      <c r="R78" s="10" t="n">
        <f aca="false">IF(AND(Q78&gt;=0,Q78+0&gt;0),ROUNDUP(L78/(Q78+0*M78/N78),0),0)</f>
        <v>0</v>
      </c>
      <c r="S78" s="10" t="n">
        <f aca="false">IF(AND(Q78&gt;=0,Q78+0&gt;0),ROUNDUP(L78/(Q78*N78/M78+0),0),0)</f>
        <v>0</v>
      </c>
      <c r="T78" s="10" t="n">
        <f aca="false">IF(OR(Q78&lt;0,Q78+0=0),1000000000,MIN(IF(AND(MAX(R78+(-1),0)*M78&gt;0,Q78*INT(MAX(R78+(-1),0)*M78/M78)+0*INT(MAX(R78+(-1),0)*M78/N78)&gt;=L78),MAX(R78+(-1),0)*M78,1000000000),IF(AND(MAX(R78+(0),0)*M78&gt;0,Q78*INT(MAX(R78+(0),0)*M78/M78)+0*INT(MAX(R78+(0),0)*M78/N78)&gt;=L78),MAX(R78+(0),0)*M78,1000000000),IF(AND(MAX(R78+(1),0)*M78&gt;0,Q78*INT(MAX(R78+(1),0)*M78/M78)+0*INT(MAX(R78+(1),0)*M78/N78)&gt;=L78),MAX(R78+(1),0)*M78,1000000000),IF(AND(MAX(R78+(2),0)*M78&gt;0,Q78*INT(MAX(R78+(2),0)*M78/M78)+0*INT(MAX(R78+(2),0)*M78/N78)&gt;=L78),MAX(R78+(2),0)*M78,1000000000),IF(AND(MAX(S78+(-1),0)*N78&gt;0,Q78*INT(MAX(S78+(-1),0)*N78/M78)+0*INT(MAX(S78+(-1),0)*N78/N78)&gt;=L78),MAX(S78+(-1),0)*N78,1000000000),IF(AND(MAX(S78+(0),0)*N78&gt;0,Q78*INT(MAX(S78+(0),0)*N78/M78)+0*INT(MAX(S78+(0),0)*N78/N78)&gt;=L78),MAX(S78+(0),0)*N78,1000000000),IF(AND(MAX(S78+(1),0)*N78&gt;0,Q78*INT(MAX(S78+(1),0)*N78/M78)+0*INT(MAX(S78+(1),0)*N78/N78)&gt;=L78),MAX(S78+(1),0)*N78,1000000000),IF(AND(MAX(S78+(2),0)*N78&gt;0,Q78*INT(MAX(S78+(2),0)*N78/M78)+0*INT(MAX(S78+(2),0)*N78/N78)&gt;=L78),MAX(S78+(2),0)*N78,1000000000)))</f>
        <v>423</v>
      </c>
      <c r="U78" s="10" t="n">
        <f aca="false">IF(O78-1*M78&gt;=0,INT((O78-1*M78)/N78),-1)</f>
        <v>3</v>
      </c>
      <c r="V78" s="10" t="n">
        <f aca="false">IF(AND(U78&gt;=0,U78+1&gt;0),ROUNDUP(L78/(U78+1*M78/N78),0),0)</f>
        <v>0</v>
      </c>
      <c r="W78" s="10" t="n">
        <f aca="false">IF(AND(U78&gt;=0,U78+1&gt;0),ROUNDUP(L78/(U78*N78/M78+1),0),0)</f>
        <v>0</v>
      </c>
      <c r="X78" s="10" t="n">
        <f aca="false">IF(OR(U78&lt;0,U78+1=0),1000000000,MIN(IF(AND(MAX(V78+(-1),0)*M78&gt;0,U78*INT(MAX(V78+(-1),0)*M78/M78)+1*INT(MAX(V78+(-1),0)*M78/N78)&gt;=L78),MAX(V78+(-1),0)*M78,1000000000),IF(AND(MAX(V78+(0),0)*M78&gt;0,U78*INT(MAX(V78+(0),0)*M78/M78)+1*INT(MAX(V78+(0),0)*M78/N78)&gt;=L78),MAX(V78+(0),0)*M78,1000000000),IF(AND(MAX(V78+(1),0)*M78&gt;0,U78*INT(MAX(V78+(1),0)*M78/M78)+1*INT(MAX(V78+(1),0)*M78/N78)&gt;=L78),MAX(V78+(1),0)*M78,1000000000),IF(AND(MAX(V78+(2),0)*M78&gt;0,U78*INT(MAX(V78+(2),0)*M78/M78)+1*INT(MAX(V78+(2),0)*M78/N78)&gt;=L78),MAX(V78+(2),0)*M78,1000000000),IF(AND(MAX(W78+(-1),0)*N78&gt;0,U78*INT(MAX(W78+(-1),0)*N78/M78)+1*INT(MAX(W78+(-1),0)*N78/N78)&gt;=L78),MAX(W78+(-1),0)*N78,1000000000),IF(AND(MAX(W78+(0),0)*N78&gt;0,U78*INT(MAX(W78+(0),0)*N78/M78)+1*INT(MAX(W78+(0),0)*N78/N78)&gt;=L78),MAX(W78+(0),0)*N78,1000000000),IF(AND(MAX(W78+(1),0)*N78&gt;0,U78*INT(MAX(W78+(1),0)*N78/M78)+1*INT(MAX(W78+(1),0)*N78/N78)&gt;=L78),MAX(W78+(1),0)*N78,1000000000),IF(AND(MAX(W78+(2),0)*N78&gt;0,U78*INT(MAX(W78+(2),0)*N78/M78)+1*INT(MAX(W78+(2),0)*N78/N78)&gt;=L78),MAX(W78+(2),0)*N78,1000000000)))</f>
        <v>423</v>
      </c>
      <c r="Y78" s="10" t="n">
        <f aca="false">IF(O78-2*M78&gt;=0,INT((O78-2*M78)/N78),-1)</f>
        <v>1</v>
      </c>
      <c r="Z78" s="10" t="n">
        <f aca="false">IF(AND(Y78&gt;=0,Y78+2&gt;0),ROUNDUP(L78/(Y78+2*M78/N78),0),0)</f>
        <v>0</v>
      </c>
      <c r="AA78" s="10" t="n">
        <f aca="false">IF(AND(Y78&gt;=0,Y78+2&gt;0),ROUNDUP(L78/(Y78*N78/M78+2),0),0)</f>
        <v>0</v>
      </c>
      <c r="AB78" s="10" t="n">
        <f aca="false">IF(OR(Y78&lt;0,Y78+2=0),1000000000,MIN(IF(AND(MAX(Z78+(-1),0)*M78&gt;0,Y78*INT(MAX(Z78+(-1),0)*M78/M78)+2*INT(MAX(Z78+(-1),0)*M78/N78)&gt;=L78),MAX(Z78+(-1),0)*M78,1000000000),IF(AND(MAX(Z78+(0),0)*M78&gt;0,Y78*INT(MAX(Z78+(0),0)*M78/M78)+2*INT(MAX(Z78+(0),0)*M78/N78)&gt;=L78),MAX(Z78+(0),0)*M78,1000000000),IF(AND(MAX(Z78+(1),0)*M78&gt;0,Y78*INT(MAX(Z78+(1),0)*M78/M78)+2*INT(MAX(Z78+(1),0)*M78/N78)&gt;=L78),MAX(Z78+(1),0)*M78,1000000000),IF(AND(MAX(Z78+(2),0)*M78&gt;0,Y78*INT(MAX(Z78+(2),0)*M78/M78)+2*INT(MAX(Z78+(2),0)*M78/N78)&gt;=L78),MAX(Z78+(2),0)*M78,1000000000),IF(AND(MAX(AA78+(-1),0)*N78&gt;0,Y78*INT(MAX(AA78+(-1),0)*N78/M78)+2*INT(MAX(AA78+(-1),0)*N78/N78)&gt;=L78),MAX(AA78+(-1),0)*N78,1000000000),IF(AND(MAX(AA78+(0),0)*N78&gt;0,Y78*INT(MAX(AA78+(0),0)*N78/M78)+2*INT(MAX(AA78+(0),0)*N78/N78)&gt;=L78),MAX(AA78+(0),0)*N78,1000000000),IF(AND(MAX(AA78+(1),0)*N78&gt;0,Y78*INT(MAX(AA78+(1),0)*N78/M78)+2*INT(MAX(AA78+(1),0)*N78/N78)&gt;=L78),MAX(AA78+(1),0)*N78,1000000000),IF(AND(MAX(AA78+(2),0)*N78&gt;0,Y78*INT(MAX(AA78+(2),0)*N78/M78)+2*INT(MAX(AA78+(2),0)*N78/N78)&gt;=L78),MAX(AA78+(2),0)*N78,1000000000)))</f>
        <v>423</v>
      </c>
      <c r="AC78" s="42" t="n">
        <f aca="false">IF(L78=0,0,MIN(T78,X78,AB78))</f>
        <v>0</v>
      </c>
      <c r="AD78" s="15" t="n">
        <f aca="false">I78*INDEX(lg_bkg_3460,B78)</f>
        <v>0</v>
      </c>
      <c r="AE78" s="33" t="n">
        <f aca="false">I78*INDEX(lg_bvol_3460,B78)</f>
        <v>0</v>
      </c>
    </row>
    <row r="79" customFormat="false" ht="15" hidden="false" customHeight="false" outlineLevel="0" collapsed="false">
      <c r="A79" s="9" t="n">
        <v>6</v>
      </c>
      <c r="B79" s="9" t="n">
        <v>2</v>
      </c>
      <c r="C79" s="9" t="s">
        <v>15</v>
      </c>
      <c r="D79" s="10" t="n">
        <f aca="false">INDEX(cfg_ct,A79)</f>
        <v>3</v>
      </c>
      <c r="E79" s="10" t="n">
        <f aca="false">INDEX(cfg_n,A79)</f>
        <v>1</v>
      </c>
      <c r="F79" s="15" t="n">
        <f aca="false">INDEX(cfg_u_3464,A79,B79)</f>
        <v>0</v>
      </c>
      <c r="G79" s="15" t="n">
        <f aca="false">F79/E79</f>
        <v>0</v>
      </c>
      <c r="H79" s="10" t="n">
        <f aca="false">INDEX(lg_n_3464,B79)</f>
        <v>50</v>
      </c>
      <c r="I79" s="15" t="n">
        <f aca="false">ROUNDUP(G79/H79,0)</f>
        <v>0</v>
      </c>
      <c r="J79" s="10" t="n">
        <f aca="false">INDEX(lg_layers_3464_40HC,B79)</f>
        <v>32</v>
      </c>
      <c r="K79" s="26" t="n">
        <f aca="false">INDEX(in_use_efficiency,1,B79)</f>
        <v>0.95</v>
      </c>
      <c r="L79" s="10" t="n">
        <f aca="false">IF(I79=0,0,ROUNDUP(I79/(K79*J79)-0.000000001,0))</f>
        <v>0</v>
      </c>
      <c r="M79" s="10" t="n">
        <f aca="false">INDEX(lg_a_3464,B79)</f>
        <v>940</v>
      </c>
      <c r="N79" s="10" t="n">
        <f aca="false">INDEX(lg_b_3464,B79)</f>
        <v>473</v>
      </c>
      <c r="O79" s="10" t="n">
        <f aca="false">INDEX(lg_Wu_40HC,B79)</f>
        <v>2330</v>
      </c>
      <c r="P79" s="10" t="n">
        <f aca="false">INDEX(lg_Lu_40HC,B79)</f>
        <v>11930</v>
      </c>
      <c r="Q79" s="10" t="n">
        <f aca="false">IF(O79-0*M79&gt;=0,INT((O79-0*M79)/N79),-1)</f>
        <v>4</v>
      </c>
      <c r="R79" s="10" t="n">
        <f aca="false">IF(AND(Q79&gt;=0,Q79+0&gt;0),ROUNDUP(L79/(Q79+0*M79/N79),0),0)</f>
        <v>0</v>
      </c>
      <c r="S79" s="10" t="n">
        <f aca="false">IF(AND(Q79&gt;=0,Q79+0&gt;0),ROUNDUP(L79/(Q79*N79/M79+0),0),0)</f>
        <v>0</v>
      </c>
      <c r="T79" s="10" t="n">
        <f aca="false">IF(OR(Q79&lt;0,Q79+0=0),1000000000,MIN(IF(AND(MAX(R79+(-1),0)*M79&gt;0,Q79*INT(MAX(R79+(-1),0)*M79/M79)+0*INT(MAX(R79+(-1),0)*M79/N79)&gt;=L79),MAX(R79+(-1),0)*M79,1000000000),IF(AND(MAX(R79+(0),0)*M79&gt;0,Q79*INT(MAX(R79+(0),0)*M79/M79)+0*INT(MAX(R79+(0),0)*M79/N79)&gt;=L79),MAX(R79+(0),0)*M79,1000000000),IF(AND(MAX(R79+(1),0)*M79&gt;0,Q79*INT(MAX(R79+(1),0)*M79/M79)+0*INT(MAX(R79+(1),0)*M79/N79)&gt;=L79),MAX(R79+(1),0)*M79,1000000000),IF(AND(MAX(R79+(2),0)*M79&gt;0,Q79*INT(MAX(R79+(2),0)*M79/M79)+0*INT(MAX(R79+(2),0)*M79/N79)&gt;=L79),MAX(R79+(2),0)*M79,1000000000),IF(AND(MAX(S79+(-1),0)*N79&gt;0,Q79*INT(MAX(S79+(-1),0)*N79/M79)+0*INT(MAX(S79+(-1),0)*N79/N79)&gt;=L79),MAX(S79+(-1),0)*N79,1000000000),IF(AND(MAX(S79+(0),0)*N79&gt;0,Q79*INT(MAX(S79+(0),0)*N79/M79)+0*INT(MAX(S79+(0),0)*N79/N79)&gt;=L79),MAX(S79+(0),0)*N79,1000000000),IF(AND(MAX(S79+(1),0)*N79&gt;0,Q79*INT(MAX(S79+(1),0)*N79/M79)+0*INT(MAX(S79+(1),0)*N79/N79)&gt;=L79),MAX(S79+(1),0)*N79,1000000000),IF(AND(MAX(S79+(2),0)*N79&gt;0,Q79*INT(MAX(S79+(2),0)*N79/M79)+0*INT(MAX(S79+(2),0)*N79/N79)&gt;=L79),MAX(S79+(2),0)*N79,1000000000)))</f>
        <v>473</v>
      </c>
      <c r="U79" s="10" t="n">
        <f aca="false">IF(O79-1*M79&gt;=0,INT((O79-1*M79)/N79),-1)</f>
        <v>2</v>
      </c>
      <c r="V79" s="10" t="n">
        <f aca="false">IF(AND(U79&gt;=0,U79+1&gt;0),ROUNDUP(L79/(U79+1*M79/N79),0),0)</f>
        <v>0</v>
      </c>
      <c r="W79" s="10" t="n">
        <f aca="false">IF(AND(U79&gt;=0,U79+1&gt;0),ROUNDUP(L79/(U79*N79/M79+1),0),0)</f>
        <v>0</v>
      </c>
      <c r="X79" s="10" t="n">
        <f aca="false">IF(OR(U79&lt;0,U79+1=0),1000000000,MIN(IF(AND(MAX(V79+(-1),0)*M79&gt;0,U79*INT(MAX(V79+(-1),0)*M79/M79)+1*INT(MAX(V79+(-1),0)*M79/N79)&gt;=L79),MAX(V79+(-1),0)*M79,1000000000),IF(AND(MAX(V79+(0),0)*M79&gt;0,U79*INT(MAX(V79+(0),0)*M79/M79)+1*INT(MAX(V79+(0),0)*M79/N79)&gt;=L79),MAX(V79+(0),0)*M79,1000000000),IF(AND(MAX(V79+(1),0)*M79&gt;0,U79*INT(MAX(V79+(1),0)*M79/M79)+1*INT(MAX(V79+(1),0)*M79/N79)&gt;=L79),MAX(V79+(1),0)*M79,1000000000),IF(AND(MAX(V79+(2),0)*M79&gt;0,U79*INT(MAX(V79+(2),0)*M79/M79)+1*INT(MAX(V79+(2),0)*M79/N79)&gt;=L79),MAX(V79+(2),0)*M79,1000000000),IF(AND(MAX(W79+(-1),0)*N79&gt;0,U79*INT(MAX(W79+(-1),0)*N79/M79)+1*INT(MAX(W79+(-1),0)*N79/N79)&gt;=L79),MAX(W79+(-1),0)*N79,1000000000),IF(AND(MAX(W79+(0),0)*N79&gt;0,U79*INT(MAX(W79+(0),0)*N79/M79)+1*INT(MAX(W79+(0),0)*N79/N79)&gt;=L79),MAX(W79+(0),0)*N79,1000000000),IF(AND(MAX(W79+(1),0)*N79&gt;0,U79*INT(MAX(W79+(1),0)*N79/M79)+1*INT(MAX(W79+(1),0)*N79/N79)&gt;=L79),MAX(W79+(1),0)*N79,1000000000),IF(AND(MAX(W79+(2),0)*N79&gt;0,U79*INT(MAX(W79+(2),0)*N79/M79)+1*INT(MAX(W79+(2),0)*N79/N79)&gt;=L79),MAX(W79+(2),0)*N79,1000000000)))</f>
        <v>473</v>
      </c>
      <c r="Y79" s="10" t="n">
        <f aca="false">IF(O79-2*M79&gt;=0,INT((O79-2*M79)/N79),-1)</f>
        <v>0</v>
      </c>
      <c r="Z79" s="10" t="n">
        <f aca="false">IF(AND(Y79&gt;=0,Y79+2&gt;0),ROUNDUP(L79/(Y79+2*M79/N79),0),0)</f>
        <v>0</v>
      </c>
      <c r="AA79" s="10" t="n">
        <f aca="false">IF(AND(Y79&gt;=0,Y79+2&gt;0),ROUNDUP(L79/(Y79*N79/M79+2),0),0)</f>
        <v>0</v>
      </c>
      <c r="AB79" s="10" t="n">
        <f aca="false">IF(OR(Y79&lt;0,Y79+2=0),1000000000,MIN(IF(AND(MAX(Z79+(-1),0)*M79&gt;0,Y79*INT(MAX(Z79+(-1),0)*M79/M79)+2*INT(MAX(Z79+(-1),0)*M79/N79)&gt;=L79),MAX(Z79+(-1),0)*M79,1000000000),IF(AND(MAX(Z79+(0),0)*M79&gt;0,Y79*INT(MAX(Z79+(0),0)*M79/M79)+2*INT(MAX(Z79+(0),0)*M79/N79)&gt;=L79),MAX(Z79+(0),0)*M79,1000000000),IF(AND(MAX(Z79+(1),0)*M79&gt;0,Y79*INT(MAX(Z79+(1),0)*M79/M79)+2*INT(MAX(Z79+(1),0)*M79/N79)&gt;=L79),MAX(Z79+(1),0)*M79,1000000000),IF(AND(MAX(Z79+(2),0)*M79&gt;0,Y79*INT(MAX(Z79+(2),0)*M79/M79)+2*INT(MAX(Z79+(2),0)*M79/N79)&gt;=L79),MAX(Z79+(2),0)*M79,1000000000),IF(AND(MAX(AA79+(-1),0)*N79&gt;0,Y79*INT(MAX(AA79+(-1),0)*N79/M79)+2*INT(MAX(AA79+(-1),0)*N79/N79)&gt;=L79),MAX(AA79+(-1),0)*N79,1000000000),IF(AND(MAX(AA79+(0),0)*N79&gt;0,Y79*INT(MAX(AA79+(0),0)*N79/M79)+2*INT(MAX(AA79+(0),0)*N79/N79)&gt;=L79),MAX(AA79+(0),0)*N79,1000000000),IF(AND(MAX(AA79+(1),0)*N79&gt;0,Y79*INT(MAX(AA79+(1),0)*N79/M79)+2*INT(MAX(AA79+(1),0)*N79/N79)&gt;=L79),MAX(AA79+(1),0)*N79,1000000000),IF(AND(MAX(AA79+(2),0)*N79&gt;0,Y79*INT(MAX(AA79+(2),0)*N79/M79)+2*INT(MAX(AA79+(2),0)*N79/N79)&gt;=L79),MAX(AA79+(2),0)*N79,1000000000)))</f>
        <v>473</v>
      </c>
      <c r="AC79" s="42" t="n">
        <f aca="false">IF(L79=0,0,MIN(T79,X79,AB79))</f>
        <v>0</v>
      </c>
      <c r="AD79" s="15" t="n">
        <f aca="false">I79*INDEX(lg_bkg_3464,B79)</f>
        <v>0</v>
      </c>
      <c r="AE79" s="33" t="n">
        <f aca="false">I79*INDEX(lg_bvol_3464,B79)</f>
        <v>0</v>
      </c>
    </row>
    <row r="80" customFormat="false" ht="15" hidden="false" customHeight="false" outlineLevel="0" collapsed="false">
      <c r="A80" s="9" t="n">
        <v>6</v>
      </c>
      <c r="B80" s="9" t="n">
        <v>2</v>
      </c>
      <c r="C80" s="9" t="s">
        <v>16</v>
      </c>
      <c r="D80" s="10" t="n">
        <f aca="false">INDEX(cfg_ct,A80)</f>
        <v>3</v>
      </c>
      <c r="E80" s="10" t="n">
        <f aca="false">INDEX(cfg_n,A80)</f>
        <v>1</v>
      </c>
      <c r="F80" s="15" t="n">
        <f aca="false">INDEX(cfg_u_3463,A80,B80)</f>
        <v>66850</v>
      </c>
      <c r="G80" s="15" t="n">
        <f aca="false">F80/E80</f>
        <v>66850</v>
      </c>
      <c r="H80" s="10" t="n">
        <f aca="false">INDEX(lg_n_3463,B80)</f>
        <v>50</v>
      </c>
      <c r="I80" s="15" t="n">
        <f aca="false">ROUNDUP(G80/H80,0)</f>
        <v>1337</v>
      </c>
      <c r="J80" s="10" t="n">
        <f aca="false">INDEX(lg_layers_3463_40HC,B80)</f>
        <v>32</v>
      </c>
      <c r="K80" s="26" t="n">
        <f aca="false">INDEX(in_use_efficiency,1,B80)</f>
        <v>0.95</v>
      </c>
      <c r="L80" s="10" t="n">
        <f aca="false">IF(I80=0,0,ROUNDUP(I80/(K80*J80)-0.000000001,0))</f>
        <v>44</v>
      </c>
      <c r="M80" s="10" t="n">
        <f aca="false">INDEX(lg_a_3463,B80)</f>
        <v>1040</v>
      </c>
      <c r="N80" s="10" t="n">
        <f aca="false">INDEX(lg_b_3463,B80)</f>
        <v>523</v>
      </c>
      <c r="O80" s="10" t="n">
        <f aca="false">INDEX(lg_Wu_40HC,B80)</f>
        <v>2330</v>
      </c>
      <c r="P80" s="10" t="n">
        <f aca="false">INDEX(lg_Lu_40HC,B80)</f>
        <v>11930</v>
      </c>
      <c r="Q80" s="10" t="n">
        <f aca="false">IF(O80-0*M80&gt;=0,INT((O80-0*M80)/N80),-1)</f>
        <v>4</v>
      </c>
      <c r="R80" s="10" t="n">
        <f aca="false">IF(AND(Q80&gt;=0,Q80+0&gt;0),ROUNDUP(L80/(Q80+0*M80/N80),0),0)</f>
        <v>11</v>
      </c>
      <c r="S80" s="10" t="n">
        <f aca="false">IF(AND(Q80&gt;=0,Q80+0&gt;0),ROUNDUP(L80/(Q80*N80/M80+0),0),0)</f>
        <v>22</v>
      </c>
      <c r="T80" s="10" t="n">
        <f aca="false">IF(OR(Q80&lt;0,Q80+0=0),1000000000,MIN(IF(AND(MAX(R80+(-1),0)*M80&gt;0,Q80*INT(MAX(R80+(-1),0)*M80/M80)+0*INT(MAX(R80+(-1),0)*M80/N80)&gt;=L80),MAX(R80+(-1),0)*M80,1000000000),IF(AND(MAX(R80+(0),0)*M80&gt;0,Q80*INT(MAX(R80+(0),0)*M80/M80)+0*INT(MAX(R80+(0),0)*M80/N80)&gt;=L80),MAX(R80+(0),0)*M80,1000000000),IF(AND(MAX(R80+(1),0)*M80&gt;0,Q80*INT(MAX(R80+(1),0)*M80/M80)+0*INT(MAX(R80+(1),0)*M80/N80)&gt;=L80),MAX(R80+(1),0)*M80,1000000000),IF(AND(MAX(R80+(2),0)*M80&gt;0,Q80*INT(MAX(R80+(2),0)*M80/M80)+0*INT(MAX(R80+(2),0)*M80/N80)&gt;=L80),MAX(R80+(2),0)*M80,1000000000),IF(AND(MAX(S80+(-1),0)*N80&gt;0,Q80*INT(MAX(S80+(-1),0)*N80/M80)+0*INT(MAX(S80+(-1),0)*N80/N80)&gt;=L80),MAX(S80+(-1),0)*N80,1000000000),IF(AND(MAX(S80+(0),0)*N80&gt;0,Q80*INT(MAX(S80+(0),0)*N80/M80)+0*INT(MAX(S80+(0),0)*N80/N80)&gt;=L80),MAX(S80+(0),0)*N80,1000000000),IF(AND(MAX(S80+(1),0)*N80&gt;0,Q80*INT(MAX(S80+(1),0)*N80/M80)+0*INT(MAX(S80+(1),0)*N80/N80)&gt;=L80),MAX(S80+(1),0)*N80,1000000000),IF(AND(MAX(S80+(2),0)*N80&gt;0,Q80*INT(MAX(S80+(2),0)*N80/M80)+0*INT(MAX(S80+(2),0)*N80/N80)&gt;=L80),MAX(S80+(2),0)*N80,1000000000)))</f>
        <v>11440</v>
      </c>
      <c r="U80" s="10" t="n">
        <f aca="false">IF(O80-1*M80&gt;=0,INT((O80-1*M80)/N80),-1)</f>
        <v>2</v>
      </c>
      <c r="V80" s="10" t="n">
        <f aca="false">IF(AND(U80&gt;=0,U80+1&gt;0),ROUNDUP(L80/(U80+1*M80/N80),0),0)</f>
        <v>12</v>
      </c>
      <c r="W80" s="10" t="n">
        <f aca="false">IF(AND(U80&gt;=0,U80+1&gt;0),ROUNDUP(L80/(U80*N80/M80+1),0),0)</f>
        <v>22</v>
      </c>
      <c r="X80" s="10" t="n">
        <f aca="false">IF(OR(U80&lt;0,U80+1=0),1000000000,MIN(IF(AND(MAX(V80+(-1),0)*M80&gt;0,U80*INT(MAX(V80+(-1),0)*M80/M80)+1*INT(MAX(V80+(-1),0)*M80/N80)&gt;=L80),MAX(V80+(-1),0)*M80,1000000000),IF(AND(MAX(V80+(0),0)*M80&gt;0,U80*INT(MAX(V80+(0),0)*M80/M80)+1*INT(MAX(V80+(0),0)*M80/N80)&gt;=L80),MAX(V80+(0),0)*M80,1000000000),IF(AND(MAX(V80+(1),0)*M80&gt;0,U80*INT(MAX(V80+(1),0)*M80/M80)+1*INT(MAX(V80+(1),0)*M80/N80)&gt;=L80),MAX(V80+(1),0)*M80,1000000000),IF(AND(MAX(V80+(2),0)*M80&gt;0,U80*INT(MAX(V80+(2),0)*M80/M80)+1*INT(MAX(V80+(2),0)*M80/N80)&gt;=L80),MAX(V80+(2),0)*M80,1000000000),IF(AND(MAX(W80+(-1),0)*N80&gt;0,U80*INT(MAX(W80+(-1),0)*N80/M80)+1*INT(MAX(W80+(-1),0)*N80/N80)&gt;=L80),MAX(W80+(-1),0)*N80,1000000000),IF(AND(MAX(W80+(0),0)*N80&gt;0,U80*INT(MAX(W80+(0),0)*N80/M80)+1*INT(MAX(W80+(0),0)*N80/N80)&gt;=L80),MAX(W80+(0),0)*N80,1000000000),IF(AND(MAX(W80+(1),0)*N80&gt;0,U80*INT(MAX(W80+(1),0)*N80/M80)+1*INT(MAX(W80+(1),0)*N80/N80)&gt;=L80),MAX(W80+(1),0)*N80,1000000000),IF(AND(MAX(W80+(2),0)*N80&gt;0,U80*INT(MAX(W80+(2),0)*N80/M80)+1*INT(MAX(W80+(2),0)*N80/N80)&gt;=L80),MAX(W80+(2),0)*N80,1000000000)))</f>
        <v>11506</v>
      </c>
      <c r="Y80" s="10" t="n">
        <f aca="false">IF(O80-2*M80&gt;=0,INT((O80-2*M80)/N80),-1)</f>
        <v>0</v>
      </c>
      <c r="Z80" s="10" t="n">
        <f aca="false">IF(AND(Y80&gt;=0,Y80+2&gt;0),ROUNDUP(L80/(Y80+2*M80/N80),0),0)</f>
        <v>12</v>
      </c>
      <c r="AA80" s="10" t="n">
        <f aca="false">IF(AND(Y80&gt;=0,Y80+2&gt;0),ROUNDUP(L80/(Y80*N80/M80+2),0),0)</f>
        <v>22</v>
      </c>
      <c r="AB80" s="10" t="n">
        <f aca="false">IF(OR(Y80&lt;0,Y80+2=0),1000000000,MIN(IF(AND(MAX(Z80+(-1),0)*M80&gt;0,Y80*INT(MAX(Z80+(-1),0)*M80/M80)+2*INT(MAX(Z80+(-1),0)*M80/N80)&gt;=L80),MAX(Z80+(-1),0)*M80,1000000000),IF(AND(MAX(Z80+(0),0)*M80&gt;0,Y80*INT(MAX(Z80+(0),0)*M80/M80)+2*INT(MAX(Z80+(0),0)*M80/N80)&gt;=L80),MAX(Z80+(0),0)*M80,1000000000),IF(AND(MAX(Z80+(1),0)*M80&gt;0,Y80*INT(MAX(Z80+(1),0)*M80/M80)+2*INT(MAX(Z80+(1),0)*M80/N80)&gt;=L80),MAX(Z80+(1),0)*M80,1000000000),IF(AND(MAX(Z80+(2),0)*M80&gt;0,Y80*INT(MAX(Z80+(2),0)*M80/M80)+2*INT(MAX(Z80+(2),0)*M80/N80)&gt;=L80),MAX(Z80+(2),0)*M80,1000000000),IF(AND(MAX(AA80+(-1),0)*N80&gt;0,Y80*INT(MAX(AA80+(-1),0)*N80/M80)+2*INT(MAX(AA80+(-1),0)*N80/N80)&gt;=L80),MAX(AA80+(-1),0)*N80,1000000000),IF(AND(MAX(AA80+(0),0)*N80&gt;0,Y80*INT(MAX(AA80+(0),0)*N80/M80)+2*INT(MAX(AA80+(0),0)*N80/N80)&gt;=L80),MAX(AA80+(0),0)*N80,1000000000),IF(AND(MAX(AA80+(1),0)*N80&gt;0,Y80*INT(MAX(AA80+(1),0)*N80/M80)+2*INT(MAX(AA80+(1),0)*N80/N80)&gt;=L80),MAX(AA80+(1),0)*N80,1000000000),IF(AND(MAX(AA80+(2),0)*N80&gt;0,Y80*INT(MAX(AA80+(2),0)*N80/M80)+2*INT(MAX(AA80+(2),0)*N80/N80)&gt;=L80),MAX(AA80+(2),0)*N80,1000000000)))</f>
        <v>11506</v>
      </c>
      <c r="AC80" s="42" t="n">
        <f aca="false">IF(L80=0,0,MIN(T80,X80,AB80))</f>
        <v>11440</v>
      </c>
      <c r="AD80" s="15" t="n">
        <f aca="false">I80*INDEX(lg_bkg_3463,B80)</f>
        <v>13982.3882492</v>
      </c>
      <c r="AE80" s="33" t="n">
        <f aca="false">I80*INDEX(lg_bvol_3463,B80)</f>
        <v>58.1776832</v>
      </c>
    </row>
    <row r="81" customFormat="false" ht="15" hidden="false" customHeight="false" outlineLevel="0" collapsed="false">
      <c r="A81" s="9" t="n">
        <v>6</v>
      </c>
      <c r="B81" s="9" t="n">
        <v>2</v>
      </c>
      <c r="C81" s="9" t="s">
        <v>17</v>
      </c>
      <c r="D81" s="10" t="n">
        <f aca="false">INDEX(cfg_ct,A81)</f>
        <v>3</v>
      </c>
      <c r="E81" s="10" t="n">
        <f aca="false">INDEX(cfg_n,A81)</f>
        <v>1</v>
      </c>
      <c r="F81" s="15" t="n">
        <f aca="false">INDEX(cfg_u_3460,A81,B81)</f>
        <v>0</v>
      </c>
      <c r="G81" s="15" t="n">
        <f aca="false">F81/E81</f>
        <v>0</v>
      </c>
      <c r="H81" s="10" t="n">
        <f aca="false">INDEX(lg_n_3460,B81)</f>
        <v>50</v>
      </c>
      <c r="I81" s="15" t="n">
        <f aca="false">ROUNDUP(G81/H81,0)</f>
        <v>0</v>
      </c>
      <c r="J81" s="10" t="n">
        <f aca="false">INDEX(lg_layers_3460_40HC,B81)</f>
        <v>32</v>
      </c>
      <c r="K81" s="26" t="n">
        <f aca="false">INDEX(in_use_efficiency,1,B81)</f>
        <v>0.95</v>
      </c>
      <c r="L81" s="10" t="n">
        <f aca="false">IF(I81=0,0,ROUNDUP(I81/(K81*J81)-0.000000001,0))</f>
        <v>0</v>
      </c>
      <c r="M81" s="10" t="n">
        <f aca="false">INDEX(lg_a_3460,B81)</f>
        <v>840</v>
      </c>
      <c r="N81" s="10" t="n">
        <f aca="false">INDEX(lg_b_3460,B81)</f>
        <v>423</v>
      </c>
      <c r="O81" s="10" t="n">
        <f aca="false">INDEX(lg_Wu_40HC,B81)</f>
        <v>2330</v>
      </c>
      <c r="P81" s="10" t="n">
        <f aca="false">INDEX(lg_Lu_40HC,B81)</f>
        <v>11930</v>
      </c>
      <c r="Q81" s="10" t="n">
        <f aca="false">IF(O81-0*M81&gt;=0,INT((O81-0*M81)/N81),-1)</f>
        <v>5</v>
      </c>
      <c r="R81" s="10" t="n">
        <f aca="false">IF(AND(Q81&gt;=0,Q81+0&gt;0),ROUNDUP(L81/(Q81+0*M81/N81),0),0)</f>
        <v>0</v>
      </c>
      <c r="S81" s="10" t="n">
        <f aca="false">IF(AND(Q81&gt;=0,Q81+0&gt;0),ROUNDUP(L81/(Q81*N81/M81+0),0),0)</f>
        <v>0</v>
      </c>
      <c r="T81" s="10" t="n">
        <f aca="false">IF(OR(Q81&lt;0,Q81+0=0),1000000000,MIN(IF(AND(MAX(R81+(-1),0)*M81&gt;0,Q81*INT(MAX(R81+(-1),0)*M81/M81)+0*INT(MAX(R81+(-1),0)*M81/N81)&gt;=L81),MAX(R81+(-1),0)*M81,1000000000),IF(AND(MAX(R81+(0),0)*M81&gt;0,Q81*INT(MAX(R81+(0),0)*M81/M81)+0*INT(MAX(R81+(0),0)*M81/N81)&gt;=L81),MAX(R81+(0),0)*M81,1000000000),IF(AND(MAX(R81+(1),0)*M81&gt;0,Q81*INT(MAX(R81+(1),0)*M81/M81)+0*INT(MAX(R81+(1),0)*M81/N81)&gt;=L81),MAX(R81+(1),0)*M81,1000000000),IF(AND(MAX(R81+(2),0)*M81&gt;0,Q81*INT(MAX(R81+(2),0)*M81/M81)+0*INT(MAX(R81+(2),0)*M81/N81)&gt;=L81),MAX(R81+(2),0)*M81,1000000000),IF(AND(MAX(S81+(-1),0)*N81&gt;0,Q81*INT(MAX(S81+(-1),0)*N81/M81)+0*INT(MAX(S81+(-1),0)*N81/N81)&gt;=L81),MAX(S81+(-1),0)*N81,1000000000),IF(AND(MAX(S81+(0),0)*N81&gt;0,Q81*INT(MAX(S81+(0),0)*N81/M81)+0*INT(MAX(S81+(0),0)*N81/N81)&gt;=L81),MAX(S81+(0),0)*N81,1000000000),IF(AND(MAX(S81+(1),0)*N81&gt;0,Q81*INT(MAX(S81+(1),0)*N81/M81)+0*INT(MAX(S81+(1),0)*N81/N81)&gt;=L81),MAX(S81+(1),0)*N81,1000000000),IF(AND(MAX(S81+(2),0)*N81&gt;0,Q81*INT(MAX(S81+(2),0)*N81/M81)+0*INT(MAX(S81+(2),0)*N81/N81)&gt;=L81),MAX(S81+(2),0)*N81,1000000000)))</f>
        <v>423</v>
      </c>
      <c r="U81" s="10" t="n">
        <f aca="false">IF(O81-1*M81&gt;=0,INT((O81-1*M81)/N81),-1)</f>
        <v>3</v>
      </c>
      <c r="V81" s="10" t="n">
        <f aca="false">IF(AND(U81&gt;=0,U81+1&gt;0),ROUNDUP(L81/(U81+1*M81/N81),0),0)</f>
        <v>0</v>
      </c>
      <c r="W81" s="10" t="n">
        <f aca="false">IF(AND(U81&gt;=0,U81+1&gt;0),ROUNDUP(L81/(U81*N81/M81+1),0),0)</f>
        <v>0</v>
      </c>
      <c r="X81" s="10" t="n">
        <f aca="false">IF(OR(U81&lt;0,U81+1=0),1000000000,MIN(IF(AND(MAX(V81+(-1),0)*M81&gt;0,U81*INT(MAX(V81+(-1),0)*M81/M81)+1*INT(MAX(V81+(-1),0)*M81/N81)&gt;=L81),MAX(V81+(-1),0)*M81,1000000000),IF(AND(MAX(V81+(0),0)*M81&gt;0,U81*INT(MAX(V81+(0),0)*M81/M81)+1*INT(MAX(V81+(0),0)*M81/N81)&gt;=L81),MAX(V81+(0),0)*M81,1000000000),IF(AND(MAX(V81+(1),0)*M81&gt;0,U81*INT(MAX(V81+(1),0)*M81/M81)+1*INT(MAX(V81+(1),0)*M81/N81)&gt;=L81),MAX(V81+(1),0)*M81,1000000000),IF(AND(MAX(V81+(2),0)*M81&gt;0,U81*INT(MAX(V81+(2),0)*M81/M81)+1*INT(MAX(V81+(2),0)*M81/N81)&gt;=L81),MAX(V81+(2),0)*M81,1000000000),IF(AND(MAX(W81+(-1),0)*N81&gt;0,U81*INT(MAX(W81+(-1),0)*N81/M81)+1*INT(MAX(W81+(-1),0)*N81/N81)&gt;=L81),MAX(W81+(-1),0)*N81,1000000000),IF(AND(MAX(W81+(0),0)*N81&gt;0,U81*INT(MAX(W81+(0),0)*N81/M81)+1*INT(MAX(W81+(0),0)*N81/N81)&gt;=L81),MAX(W81+(0),0)*N81,1000000000),IF(AND(MAX(W81+(1),0)*N81&gt;0,U81*INT(MAX(W81+(1),0)*N81/M81)+1*INT(MAX(W81+(1),0)*N81/N81)&gt;=L81),MAX(W81+(1),0)*N81,1000000000),IF(AND(MAX(W81+(2),0)*N81&gt;0,U81*INT(MAX(W81+(2),0)*N81/M81)+1*INT(MAX(W81+(2),0)*N81/N81)&gt;=L81),MAX(W81+(2),0)*N81,1000000000)))</f>
        <v>423</v>
      </c>
      <c r="Y81" s="10" t="n">
        <f aca="false">IF(O81-2*M81&gt;=0,INT((O81-2*M81)/N81),-1)</f>
        <v>1</v>
      </c>
      <c r="Z81" s="10" t="n">
        <f aca="false">IF(AND(Y81&gt;=0,Y81+2&gt;0),ROUNDUP(L81/(Y81+2*M81/N81),0),0)</f>
        <v>0</v>
      </c>
      <c r="AA81" s="10" t="n">
        <f aca="false">IF(AND(Y81&gt;=0,Y81+2&gt;0),ROUNDUP(L81/(Y81*N81/M81+2),0),0)</f>
        <v>0</v>
      </c>
      <c r="AB81" s="10" t="n">
        <f aca="false">IF(OR(Y81&lt;0,Y81+2=0),1000000000,MIN(IF(AND(MAX(Z81+(-1),0)*M81&gt;0,Y81*INT(MAX(Z81+(-1),0)*M81/M81)+2*INT(MAX(Z81+(-1),0)*M81/N81)&gt;=L81),MAX(Z81+(-1),0)*M81,1000000000),IF(AND(MAX(Z81+(0),0)*M81&gt;0,Y81*INT(MAX(Z81+(0),0)*M81/M81)+2*INT(MAX(Z81+(0),0)*M81/N81)&gt;=L81),MAX(Z81+(0),0)*M81,1000000000),IF(AND(MAX(Z81+(1),0)*M81&gt;0,Y81*INT(MAX(Z81+(1),0)*M81/M81)+2*INT(MAX(Z81+(1),0)*M81/N81)&gt;=L81),MAX(Z81+(1),0)*M81,1000000000),IF(AND(MAX(Z81+(2),0)*M81&gt;0,Y81*INT(MAX(Z81+(2),0)*M81/M81)+2*INT(MAX(Z81+(2),0)*M81/N81)&gt;=L81),MAX(Z81+(2),0)*M81,1000000000),IF(AND(MAX(AA81+(-1),0)*N81&gt;0,Y81*INT(MAX(AA81+(-1),0)*N81/M81)+2*INT(MAX(AA81+(-1),0)*N81/N81)&gt;=L81),MAX(AA81+(-1),0)*N81,1000000000),IF(AND(MAX(AA81+(0),0)*N81&gt;0,Y81*INT(MAX(AA81+(0),0)*N81/M81)+2*INT(MAX(AA81+(0),0)*N81/N81)&gt;=L81),MAX(AA81+(0),0)*N81,1000000000),IF(AND(MAX(AA81+(1),0)*N81&gt;0,Y81*INT(MAX(AA81+(1),0)*N81/M81)+2*INT(MAX(AA81+(1),0)*N81/N81)&gt;=L81),MAX(AA81+(1),0)*N81,1000000000),IF(AND(MAX(AA81+(2),0)*N81&gt;0,Y81*INT(MAX(AA81+(2),0)*N81/M81)+2*INT(MAX(AA81+(2),0)*N81/N81)&gt;=L81),MAX(AA81+(2),0)*N81,1000000000)))</f>
        <v>423</v>
      </c>
      <c r="AC81" s="42" t="n">
        <f aca="false">IF(L81=0,0,MIN(T81,X81,AB81))</f>
        <v>0</v>
      </c>
      <c r="AD81" s="15" t="n">
        <f aca="false">I81*INDEX(lg_bkg_3460,B81)</f>
        <v>0</v>
      </c>
      <c r="AE81" s="33" t="n">
        <f aca="false">I81*INDEX(lg_bvol_3460,B81)</f>
        <v>0</v>
      </c>
    </row>
    <row r="82" customFormat="false" ht="15" hidden="false" customHeight="false" outlineLevel="0" collapsed="false">
      <c r="A82" s="9" t="n">
        <v>6</v>
      </c>
      <c r="B82" s="9" t="n">
        <v>3</v>
      </c>
      <c r="C82" s="9" t="s">
        <v>15</v>
      </c>
      <c r="D82" s="10" t="n">
        <f aca="false">INDEX(cfg_ct,A82)</f>
        <v>3</v>
      </c>
      <c r="E82" s="10" t="n">
        <f aca="false">INDEX(cfg_n,A82)</f>
        <v>1</v>
      </c>
      <c r="F82" s="15" t="n">
        <f aca="false">INDEX(cfg_u_3464,A82,B82)</f>
        <v>0</v>
      </c>
      <c r="G82" s="15" t="n">
        <f aca="false">F82/E82</f>
        <v>0</v>
      </c>
      <c r="H82" s="10" t="n">
        <f aca="false">INDEX(lg_n_3464,B82)</f>
        <v>50</v>
      </c>
      <c r="I82" s="15" t="n">
        <f aca="false">ROUNDUP(G82/H82,0)</f>
        <v>0</v>
      </c>
      <c r="J82" s="10" t="n">
        <f aca="false">INDEX(lg_layers_3464_40HC,B82)</f>
        <v>28</v>
      </c>
      <c r="K82" s="26" t="n">
        <f aca="false">INDEX(in_use_efficiency,1,B82)</f>
        <v>0.9</v>
      </c>
      <c r="L82" s="10" t="n">
        <f aca="false">IF(I82=0,0,ROUNDUP(I82/(K82*J82)-0.000000001,0))</f>
        <v>0</v>
      </c>
      <c r="M82" s="10" t="n">
        <f aca="false">INDEX(lg_a_3464,B82)</f>
        <v>940</v>
      </c>
      <c r="N82" s="10" t="n">
        <f aca="false">INDEX(lg_b_3464,B82)</f>
        <v>473</v>
      </c>
      <c r="O82" s="10" t="n">
        <f aca="false">INDEX(lg_Wu_40HC,B82)</f>
        <v>2330</v>
      </c>
      <c r="P82" s="10" t="n">
        <f aca="false">INDEX(lg_Lu_40HC,B82)</f>
        <v>11930</v>
      </c>
      <c r="Q82" s="10" t="n">
        <f aca="false">IF(O82-0*M82&gt;=0,INT((O82-0*M82)/N82),-1)</f>
        <v>4</v>
      </c>
      <c r="R82" s="10" t="n">
        <f aca="false">IF(AND(Q82&gt;=0,Q82+0&gt;0),ROUNDUP(L82/(Q82+0*M82/N82),0),0)</f>
        <v>0</v>
      </c>
      <c r="S82" s="10" t="n">
        <f aca="false">IF(AND(Q82&gt;=0,Q82+0&gt;0),ROUNDUP(L82/(Q82*N82/M82+0),0),0)</f>
        <v>0</v>
      </c>
      <c r="T82" s="10" t="n">
        <f aca="false">IF(OR(Q82&lt;0,Q82+0=0),1000000000,MIN(IF(AND(MAX(R82+(-1),0)*M82&gt;0,Q82*INT(MAX(R82+(-1),0)*M82/M82)+0*INT(MAX(R82+(-1),0)*M82/N82)&gt;=L82),MAX(R82+(-1),0)*M82,1000000000),IF(AND(MAX(R82+(0),0)*M82&gt;0,Q82*INT(MAX(R82+(0),0)*M82/M82)+0*INT(MAX(R82+(0),0)*M82/N82)&gt;=L82),MAX(R82+(0),0)*M82,1000000000),IF(AND(MAX(R82+(1),0)*M82&gt;0,Q82*INT(MAX(R82+(1),0)*M82/M82)+0*INT(MAX(R82+(1),0)*M82/N82)&gt;=L82),MAX(R82+(1),0)*M82,1000000000),IF(AND(MAX(R82+(2),0)*M82&gt;0,Q82*INT(MAX(R82+(2),0)*M82/M82)+0*INT(MAX(R82+(2),0)*M82/N82)&gt;=L82),MAX(R82+(2),0)*M82,1000000000),IF(AND(MAX(S82+(-1),0)*N82&gt;0,Q82*INT(MAX(S82+(-1),0)*N82/M82)+0*INT(MAX(S82+(-1),0)*N82/N82)&gt;=L82),MAX(S82+(-1),0)*N82,1000000000),IF(AND(MAX(S82+(0),0)*N82&gt;0,Q82*INT(MAX(S82+(0),0)*N82/M82)+0*INT(MAX(S82+(0),0)*N82/N82)&gt;=L82),MAX(S82+(0),0)*N82,1000000000),IF(AND(MAX(S82+(1),0)*N82&gt;0,Q82*INT(MAX(S82+(1),0)*N82/M82)+0*INT(MAX(S82+(1),0)*N82/N82)&gt;=L82),MAX(S82+(1),0)*N82,1000000000),IF(AND(MAX(S82+(2),0)*N82&gt;0,Q82*INT(MAX(S82+(2),0)*N82/M82)+0*INT(MAX(S82+(2),0)*N82/N82)&gt;=L82),MAX(S82+(2),0)*N82,1000000000)))</f>
        <v>473</v>
      </c>
      <c r="U82" s="10" t="n">
        <f aca="false">IF(O82-1*M82&gt;=0,INT((O82-1*M82)/N82),-1)</f>
        <v>2</v>
      </c>
      <c r="V82" s="10" t="n">
        <f aca="false">IF(AND(U82&gt;=0,U82+1&gt;0),ROUNDUP(L82/(U82+1*M82/N82),0),0)</f>
        <v>0</v>
      </c>
      <c r="W82" s="10" t="n">
        <f aca="false">IF(AND(U82&gt;=0,U82+1&gt;0),ROUNDUP(L82/(U82*N82/M82+1),0),0)</f>
        <v>0</v>
      </c>
      <c r="X82" s="10" t="n">
        <f aca="false">IF(OR(U82&lt;0,U82+1=0),1000000000,MIN(IF(AND(MAX(V82+(-1),0)*M82&gt;0,U82*INT(MAX(V82+(-1),0)*M82/M82)+1*INT(MAX(V82+(-1),0)*M82/N82)&gt;=L82),MAX(V82+(-1),0)*M82,1000000000),IF(AND(MAX(V82+(0),0)*M82&gt;0,U82*INT(MAX(V82+(0),0)*M82/M82)+1*INT(MAX(V82+(0),0)*M82/N82)&gt;=L82),MAX(V82+(0),0)*M82,1000000000),IF(AND(MAX(V82+(1),0)*M82&gt;0,U82*INT(MAX(V82+(1),0)*M82/M82)+1*INT(MAX(V82+(1),0)*M82/N82)&gt;=L82),MAX(V82+(1),0)*M82,1000000000),IF(AND(MAX(V82+(2),0)*M82&gt;0,U82*INT(MAX(V82+(2),0)*M82/M82)+1*INT(MAX(V82+(2),0)*M82/N82)&gt;=L82),MAX(V82+(2),0)*M82,1000000000),IF(AND(MAX(W82+(-1),0)*N82&gt;0,U82*INT(MAX(W82+(-1),0)*N82/M82)+1*INT(MAX(W82+(-1),0)*N82/N82)&gt;=L82),MAX(W82+(-1),0)*N82,1000000000),IF(AND(MAX(W82+(0),0)*N82&gt;0,U82*INT(MAX(W82+(0),0)*N82/M82)+1*INT(MAX(W82+(0),0)*N82/N82)&gt;=L82),MAX(W82+(0),0)*N82,1000000000),IF(AND(MAX(W82+(1),0)*N82&gt;0,U82*INT(MAX(W82+(1),0)*N82/M82)+1*INT(MAX(W82+(1),0)*N82/N82)&gt;=L82),MAX(W82+(1),0)*N82,1000000000),IF(AND(MAX(W82+(2),0)*N82&gt;0,U82*INT(MAX(W82+(2),0)*N82/M82)+1*INT(MAX(W82+(2),0)*N82/N82)&gt;=L82),MAX(W82+(2),0)*N82,1000000000)))</f>
        <v>473</v>
      </c>
      <c r="Y82" s="10" t="n">
        <f aca="false">IF(O82-2*M82&gt;=0,INT((O82-2*M82)/N82),-1)</f>
        <v>0</v>
      </c>
      <c r="Z82" s="10" t="n">
        <f aca="false">IF(AND(Y82&gt;=0,Y82+2&gt;0),ROUNDUP(L82/(Y82+2*M82/N82),0),0)</f>
        <v>0</v>
      </c>
      <c r="AA82" s="10" t="n">
        <f aca="false">IF(AND(Y82&gt;=0,Y82+2&gt;0),ROUNDUP(L82/(Y82*N82/M82+2),0),0)</f>
        <v>0</v>
      </c>
      <c r="AB82" s="10" t="n">
        <f aca="false">IF(OR(Y82&lt;0,Y82+2=0),1000000000,MIN(IF(AND(MAX(Z82+(-1),0)*M82&gt;0,Y82*INT(MAX(Z82+(-1),0)*M82/M82)+2*INT(MAX(Z82+(-1),0)*M82/N82)&gt;=L82),MAX(Z82+(-1),0)*M82,1000000000),IF(AND(MAX(Z82+(0),0)*M82&gt;0,Y82*INT(MAX(Z82+(0),0)*M82/M82)+2*INT(MAX(Z82+(0),0)*M82/N82)&gt;=L82),MAX(Z82+(0),0)*M82,1000000000),IF(AND(MAX(Z82+(1),0)*M82&gt;0,Y82*INT(MAX(Z82+(1),0)*M82/M82)+2*INT(MAX(Z82+(1),0)*M82/N82)&gt;=L82),MAX(Z82+(1),0)*M82,1000000000),IF(AND(MAX(Z82+(2),0)*M82&gt;0,Y82*INT(MAX(Z82+(2),0)*M82/M82)+2*INT(MAX(Z82+(2),0)*M82/N82)&gt;=L82),MAX(Z82+(2),0)*M82,1000000000),IF(AND(MAX(AA82+(-1),0)*N82&gt;0,Y82*INT(MAX(AA82+(-1),0)*N82/M82)+2*INT(MAX(AA82+(-1),0)*N82/N82)&gt;=L82),MAX(AA82+(-1),0)*N82,1000000000),IF(AND(MAX(AA82+(0),0)*N82&gt;0,Y82*INT(MAX(AA82+(0),0)*N82/M82)+2*INT(MAX(AA82+(0),0)*N82/N82)&gt;=L82),MAX(AA82+(0),0)*N82,1000000000),IF(AND(MAX(AA82+(1),0)*N82&gt;0,Y82*INT(MAX(AA82+(1),0)*N82/M82)+2*INT(MAX(AA82+(1),0)*N82/N82)&gt;=L82),MAX(AA82+(1),0)*N82,1000000000),IF(AND(MAX(AA82+(2),0)*N82&gt;0,Y82*INT(MAX(AA82+(2),0)*N82/M82)+2*INT(MAX(AA82+(2),0)*N82/N82)&gt;=L82),MAX(AA82+(2),0)*N82,1000000000)))</f>
        <v>473</v>
      </c>
      <c r="AC82" s="42" t="n">
        <f aca="false">IF(L82=0,0,MIN(T82,X82,AB82))</f>
        <v>0</v>
      </c>
      <c r="AD82" s="15" t="n">
        <f aca="false">I82*INDEX(lg_bkg_3464,B82)</f>
        <v>0</v>
      </c>
      <c r="AE82" s="33" t="n">
        <f aca="false">I82*INDEX(lg_bvol_3464,B82)</f>
        <v>0</v>
      </c>
    </row>
    <row r="83" customFormat="false" ht="15" hidden="false" customHeight="false" outlineLevel="0" collapsed="false">
      <c r="A83" s="9" t="n">
        <v>6</v>
      </c>
      <c r="B83" s="9" t="n">
        <v>3</v>
      </c>
      <c r="C83" s="9" t="s">
        <v>16</v>
      </c>
      <c r="D83" s="10" t="n">
        <f aca="false">INDEX(cfg_ct,A83)</f>
        <v>3</v>
      </c>
      <c r="E83" s="10" t="n">
        <f aca="false">INDEX(cfg_n,A83)</f>
        <v>1</v>
      </c>
      <c r="F83" s="15" t="n">
        <f aca="false">INDEX(cfg_u_3463,A83,B83)</f>
        <v>55400</v>
      </c>
      <c r="G83" s="15" t="n">
        <f aca="false">F83/E83</f>
        <v>55400</v>
      </c>
      <c r="H83" s="10" t="n">
        <f aca="false">INDEX(lg_n_3463,B83)</f>
        <v>50</v>
      </c>
      <c r="I83" s="15" t="n">
        <f aca="false">ROUNDUP(G83/H83,0)</f>
        <v>1108</v>
      </c>
      <c r="J83" s="10" t="n">
        <f aca="false">INDEX(lg_layers_3463_40HC,B83)</f>
        <v>28</v>
      </c>
      <c r="K83" s="26" t="n">
        <f aca="false">INDEX(in_use_efficiency,1,B83)</f>
        <v>0.9</v>
      </c>
      <c r="L83" s="10" t="n">
        <f aca="false">IF(I83=0,0,ROUNDUP(I83/(K83*J83)-0.000000001,0))</f>
        <v>44</v>
      </c>
      <c r="M83" s="10" t="n">
        <f aca="false">INDEX(lg_a_3463,B83)</f>
        <v>1040</v>
      </c>
      <c r="N83" s="10" t="n">
        <f aca="false">INDEX(lg_b_3463,B83)</f>
        <v>523</v>
      </c>
      <c r="O83" s="10" t="n">
        <f aca="false">INDEX(lg_Wu_40HC,B83)</f>
        <v>2330</v>
      </c>
      <c r="P83" s="10" t="n">
        <f aca="false">INDEX(lg_Lu_40HC,B83)</f>
        <v>11930</v>
      </c>
      <c r="Q83" s="10" t="n">
        <f aca="false">IF(O83-0*M83&gt;=0,INT((O83-0*M83)/N83),-1)</f>
        <v>4</v>
      </c>
      <c r="R83" s="10" t="n">
        <f aca="false">IF(AND(Q83&gt;=0,Q83+0&gt;0),ROUNDUP(L83/(Q83+0*M83/N83),0),0)</f>
        <v>11</v>
      </c>
      <c r="S83" s="10" t="n">
        <f aca="false">IF(AND(Q83&gt;=0,Q83+0&gt;0),ROUNDUP(L83/(Q83*N83/M83+0),0),0)</f>
        <v>22</v>
      </c>
      <c r="T83" s="10" t="n">
        <f aca="false">IF(OR(Q83&lt;0,Q83+0=0),1000000000,MIN(IF(AND(MAX(R83+(-1),0)*M83&gt;0,Q83*INT(MAX(R83+(-1),0)*M83/M83)+0*INT(MAX(R83+(-1),0)*M83/N83)&gt;=L83),MAX(R83+(-1),0)*M83,1000000000),IF(AND(MAX(R83+(0),0)*M83&gt;0,Q83*INT(MAX(R83+(0),0)*M83/M83)+0*INT(MAX(R83+(0),0)*M83/N83)&gt;=L83),MAX(R83+(0),0)*M83,1000000000),IF(AND(MAX(R83+(1),0)*M83&gt;0,Q83*INT(MAX(R83+(1),0)*M83/M83)+0*INT(MAX(R83+(1),0)*M83/N83)&gt;=L83),MAX(R83+(1),0)*M83,1000000000),IF(AND(MAX(R83+(2),0)*M83&gt;0,Q83*INT(MAX(R83+(2),0)*M83/M83)+0*INT(MAX(R83+(2),0)*M83/N83)&gt;=L83),MAX(R83+(2),0)*M83,1000000000),IF(AND(MAX(S83+(-1),0)*N83&gt;0,Q83*INT(MAX(S83+(-1),0)*N83/M83)+0*INT(MAX(S83+(-1),0)*N83/N83)&gt;=L83),MAX(S83+(-1),0)*N83,1000000000),IF(AND(MAX(S83+(0),0)*N83&gt;0,Q83*INT(MAX(S83+(0),0)*N83/M83)+0*INT(MAX(S83+(0),0)*N83/N83)&gt;=L83),MAX(S83+(0),0)*N83,1000000000),IF(AND(MAX(S83+(1),0)*N83&gt;0,Q83*INT(MAX(S83+(1),0)*N83/M83)+0*INT(MAX(S83+(1),0)*N83/N83)&gt;=L83),MAX(S83+(1),0)*N83,1000000000),IF(AND(MAX(S83+(2),0)*N83&gt;0,Q83*INT(MAX(S83+(2),0)*N83/M83)+0*INT(MAX(S83+(2),0)*N83/N83)&gt;=L83),MAX(S83+(2),0)*N83,1000000000)))</f>
        <v>11440</v>
      </c>
      <c r="U83" s="10" t="n">
        <f aca="false">IF(O83-1*M83&gt;=0,INT((O83-1*M83)/N83),-1)</f>
        <v>2</v>
      </c>
      <c r="V83" s="10" t="n">
        <f aca="false">IF(AND(U83&gt;=0,U83+1&gt;0),ROUNDUP(L83/(U83+1*M83/N83),0),0)</f>
        <v>12</v>
      </c>
      <c r="W83" s="10" t="n">
        <f aca="false">IF(AND(U83&gt;=0,U83+1&gt;0),ROUNDUP(L83/(U83*N83/M83+1),0),0)</f>
        <v>22</v>
      </c>
      <c r="X83" s="10" t="n">
        <f aca="false">IF(OR(U83&lt;0,U83+1=0),1000000000,MIN(IF(AND(MAX(V83+(-1),0)*M83&gt;0,U83*INT(MAX(V83+(-1),0)*M83/M83)+1*INT(MAX(V83+(-1),0)*M83/N83)&gt;=L83),MAX(V83+(-1),0)*M83,1000000000),IF(AND(MAX(V83+(0),0)*M83&gt;0,U83*INT(MAX(V83+(0),0)*M83/M83)+1*INT(MAX(V83+(0),0)*M83/N83)&gt;=L83),MAX(V83+(0),0)*M83,1000000000),IF(AND(MAX(V83+(1),0)*M83&gt;0,U83*INT(MAX(V83+(1),0)*M83/M83)+1*INT(MAX(V83+(1),0)*M83/N83)&gt;=L83),MAX(V83+(1),0)*M83,1000000000),IF(AND(MAX(V83+(2),0)*M83&gt;0,U83*INT(MAX(V83+(2),0)*M83/M83)+1*INT(MAX(V83+(2),0)*M83/N83)&gt;=L83),MAX(V83+(2),0)*M83,1000000000),IF(AND(MAX(W83+(-1),0)*N83&gt;0,U83*INT(MAX(W83+(-1),0)*N83/M83)+1*INT(MAX(W83+(-1),0)*N83/N83)&gt;=L83),MAX(W83+(-1),0)*N83,1000000000),IF(AND(MAX(W83+(0),0)*N83&gt;0,U83*INT(MAX(W83+(0),0)*N83/M83)+1*INT(MAX(W83+(0),0)*N83/N83)&gt;=L83),MAX(W83+(0),0)*N83,1000000000),IF(AND(MAX(W83+(1),0)*N83&gt;0,U83*INT(MAX(W83+(1),0)*N83/M83)+1*INT(MAX(W83+(1),0)*N83/N83)&gt;=L83),MAX(W83+(1),0)*N83,1000000000),IF(AND(MAX(W83+(2),0)*N83&gt;0,U83*INT(MAX(W83+(2),0)*N83/M83)+1*INT(MAX(W83+(2),0)*N83/N83)&gt;=L83),MAX(W83+(2),0)*N83,1000000000)))</f>
        <v>11506</v>
      </c>
      <c r="Y83" s="10" t="n">
        <f aca="false">IF(O83-2*M83&gt;=0,INT((O83-2*M83)/N83),-1)</f>
        <v>0</v>
      </c>
      <c r="Z83" s="10" t="n">
        <f aca="false">IF(AND(Y83&gt;=0,Y83+2&gt;0),ROUNDUP(L83/(Y83+2*M83/N83),0),0)</f>
        <v>12</v>
      </c>
      <c r="AA83" s="10" t="n">
        <f aca="false">IF(AND(Y83&gt;=0,Y83+2&gt;0),ROUNDUP(L83/(Y83*N83/M83+2),0),0)</f>
        <v>22</v>
      </c>
      <c r="AB83" s="10" t="n">
        <f aca="false">IF(OR(Y83&lt;0,Y83+2=0),1000000000,MIN(IF(AND(MAX(Z83+(-1),0)*M83&gt;0,Y83*INT(MAX(Z83+(-1),0)*M83/M83)+2*INT(MAX(Z83+(-1),0)*M83/N83)&gt;=L83),MAX(Z83+(-1),0)*M83,1000000000),IF(AND(MAX(Z83+(0),0)*M83&gt;0,Y83*INT(MAX(Z83+(0),0)*M83/M83)+2*INT(MAX(Z83+(0),0)*M83/N83)&gt;=L83),MAX(Z83+(0),0)*M83,1000000000),IF(AND(MAX(Z83+(1),0)*M83&gt;0,Y83*INT(MAX(Z83+(1),0)*M83/M83)+2*INT(MAX(Z83+(1),0)*M83/N83)&gt;=L83),MAX(Z83+(1),0)*M83,1000000000),IF(AND(MAX(Z83+(2),0)*M83&gt;0,Y83*INT(MAX(Z83+(2),0)*M83/M83)+2*INT(MAX(Z83+(2),0)*M83/N83)&gt;=L83),MAX(Z83+(2),0)*M83,1000000000),IF(AND(MAX(AA83+(-1),0)*N83&gt;0,Y83*INT(MAX(AA83+(-1),0)*N83/M83)+2*INT(MAX(AA83+(-1),0)*N83/N83)&gt;=L83),MAX(AA83+(-1),0)*N83,1000000000),IF(AND(MAX(AA83+(0),0)*N83&gt;0,Y83*INT(MAX(AA83+(0),0)*N83/M83)+2*INT(MAX(AA83+(0),0)*N83/N83)&gt;=L83),MAX(AA83+(0),0)*N83,1000000000),IF(AND(MAX(AA83+(1),0)*N83&gt;0,Y83*INT(MAX(AA83+(1),0)*N83/M83)+2*INT(MAX(AA83+(1),0)*N83/N83)&gt;=L83),MAX(AA83+(1),0)*N83,1000000000),IF(AND(MAX(AA83+(2),0)*N83&gt;0,Y83*INT(MAX(AA83+(2),0)*N83/M83)+2*INT(MAX(AA83+(2),0)*N83/N83)&gt;=L83),MAX(AA83+(2),0)*N83,1000000000)))</f>
        <v>11506</v>
      </c>
      <c r="AC83" s="42" t="n">
        <f aca="false">IF(L83=0,0,MIN(T83,X83,AB83))</f>
        <v>11440</v>
      </c>
      <c r="AD83" s="15" t="n">
        <f aca="false">I83*INDEX(lg_bkg_3463,B83)</f>
        <v>13227.0274432</v>
      </c>
      <c r="AE83" s="33" t="n">
        <f aca="false">I83*INDEX(lg_bvol_3463,B83)</f>
        <v>54.2397024</v>
      </c>
    </row>
    <row r="84" customFormat="false" ht="15" hidden="false" customHeight="false" outlineLevel="0" collapsed="false">
      <c r="A84" s="9" t="n">
        <v>6</v>
      </c>
      <c r="B84" s="9" t="n">
        <v>3</v>
      </c>
      <c r="C84" s="9" t="s">
        <v>17</v>
      </c>
      <c r="D84" s="10" t="n">
        <f aca="false">INDEX(cfg_ct,A84)</f>
        <v>3</v>
      </c>
      <c r="E84" s="10" t="n">
        <f aca="false">INDEX(cfg_n,A84)</f>
        <v>1</v>
      </c>
      <c r="F84" s="15" t="n">
        <f aca="false">INDEX(cfg_u_3460,A84,B84)</f>
        <v>0</v>
      </c>
      <c r="G84" s="15" t="n">
        <f aca="false">F84/E84</f>
        <v>0</v>
      </c>
      <c r="H84" s="10" t="n">
        <f aca="false">INDEX(lg_n_3460,B84)</f>
        <v>50</v>
      </c>
      <c r="I84" s="15" t="n">
        <f aca="false">ROUNDUP(G84/H84,0)</f>
        <v>0</v>
      </c>
      <c r="J84" s="10" t="n">
        <f aca="false">INDEX(lg_layers_3460_40HC,B84)</f>
        <v>28</v>
      </c>
      <c r="K84" s="26" t="n">
        <f aca="false">INDEX(in_use_efficiency,1,B84)</f>
        <v>0.9</v>
      </c>
      <c r="L84" s="10" t="n">
        <f aca="false">IF(I84=0,0,ROUNDUP(I84/(K84*J84)-0.000000001,0))</f>
        <v>0</v>
      </c>
      <c r="M84" s="10" t="n">
        <f aca="false">INDEX(lg_a_3460,B84)</f>
        <v>840</v>
      </c>
      <c r="N84" s="10" t="n">
        <f aca="false">INDEX(lg_b_3460,B84)</f>
        <v>423</v>
      </c>
      <c r="O84" s="10" t="n">
        <f aca="false">INDEX(lg_Wu_40HC,B84)</f>
        <v>2330</v>
      </c>
      <c r="P84" s="10" t="n">
        <f aca="false">INDEX(lg_Lu_40HC,B84)</f>
        <v>11930</v>
      </c>
      <c r="Q84" s="10" t="n">
        <f aca="false">IF(O84-0*M84&gt;=0,INT((O84-0*M84)/N84),-1)</f>
        <v>5</v>
      </c>
      <c r="R84" s="10" t="n">
        <f aca="false">IF(AND(Q84&gt;=0,Q84+0&gt;0),ROUNDUP(L84/(Q84+0*M84/N84),0),0)</f>
        <v>0</v>
      </c>
      <c r="S84" s="10" t="n">
        <f aca="false">IF(AND(Q84&gt;=0,Q84+0&gt;0),ROUNDUP(L84/(Q84*N84/M84+0),0),0)</f>
        <v>0</v>
      </c>
      <c r="T84" s="10" t="n">
        <f aca="false">IF(OR(Q84&lt;0,Q84+0=0),1000000000,MIN(IF(AND(MAX(R84+(-1),0)*M84&gt;0,Q84*INT(MAX(R84+(-1),0)*M84/M84)+0*INT(MAX(R84+(-1),0)*M84/N84)&gt;=L84),MAX(R84+(-1),0)*M84,1000000000),IF(AND(MAX(R84+(0),0)*M84&gt;0,Q84*INT(MAX(R84+(0),0)*M84/M84)+0*INT(MAX(R84+(0),0)*M84/N84)&gt;=L84),MAX(R84+(0),0)*M84,1000000000),IF(AND(MAX(R84+(1),0)*M84&gt;0,Q84*INT(MAX(R84+(1),0)*M84/M84)+0*INT(MAX(R84+(1),0)*M84/N84)&gt;=L84),MAX(R84+(1),0)*M84,1000000000),IF(AND(MAX(R84+(2),0)*M84&gt;0,Q84*INT(MAX(R84+(2),0)*M84/M84)+0*INT(MAX(R84+(2),0)*M84/N84)&gt;=L84),MAX(R84+(2),0)*M84,1000000000),IF(AND(MAX(S84+(-1),0)*N84&gt;0,Q84*INT(MAX(S84+(-1),0)*N84/M84)+0*INT(MAX(S84+(-1),0)*N84/N84)&gt;=L84),MAX(S84+(-1),0)*N84,1000000000),IF(AND(MAX(S84+(0),0)*N84&gt;0,Q84*INT(MAX(S84+(0),0)*N84/M84)+0*INT(MAX(S84+(0),0)*N84/N84)&gt;=L84),MAX(S84+(0),0)*N84,1000000000),IF(AND(MAX(S84+(1),0)*N84&gt;0,Q84*INT(MAX(S84+(1),0)*N84/M84)+0*INT(MAX(S84+(1),0)*N84/N84)&gt;=L84),MAX(S84+(1),0)*N84,1000000000),IF(AND(MAX(S84+(2),0)*N84&gt;0,Q84*INT(MAX(S84+(2),0)*N84/M84)+0*INT(MAX(S84+(2),0)*N84/N84)&gt;=L84),MAX(S84+(2),0)*N84,1000000000)))</f>
        <v>423</v>
      </c>
      <c r="U84" s="10" t="n">
        <f aca="false">IF(O84-1*M84&gt;=0,INT((O84-1*M84)/N84),-1)</f>
        <v>3</v>
      </c>
      <c r="V84" s="10" t="n">
        <f aca="false">IF(AND(U84&gt;=0,U84+1&gt;0),ROUNDUP(L84/(U84+1*M84/N84),0),0)</f>
        <v>0</v>
      </c>
      <c r="W84" s="10" t="n">
        <f aca="false">IF(AND(U84&gt;=0,U84+1&gt;0),ROUNDUP(L84/(U84*N84/M84+1),0),0)</f>
        <v>0</v>
      </c>
      <c r="X84" s="10" t="n">
        <f aca="false">IF(OR(U84&lt;0,U84+1=0),1000000000,MIN(IF(AND(MAX(V84+(-1),0)*M84&gt;0,U84*INT(MAX(V84+(-1),0)*M84/M84)+1*INT(MAX(V84+(-1),0)*M84/N84)&gt;=L84),MAX(V84+(-1),0)*M84,1000000000),IF(AND(MAX(V84+(0),0)*M84&gt;0,U84*INT(MAX(V84+(0),0)*M84/M84)+1*INT(MAX(V84+(0),0)*M84/N84)&gt;=L84),MAX(V84+(0),0)*M84,1000000000),IF(AND(MAX(V84+(1),0)*M84&gt;0,U84*INT(MAX(V84+(1),0)*M84/M84)+1*INT(MAX(V84+(1),0)*M84/N84)&gt;=L84),MAX(V84+(1),0)*M84,1000000000),IF(AND(MAX(V84+(2),0)*M84&gt;0,U84*INT(MAX(V84+(2),0)*M84/M84)+1*INT(MAX(V84+(2),0)*M84/N84)&gt;=L84),MAX(V84+(2),0)*M84,1000000000),IF(AND(MAX(W84+(-1),0)*N84&gt;0,U84*INT(MAX(W84+(-1),0)*N84/M84)+1*INT(MAX(W84+(-1),0)*N84/N84)&gt;=L84),MAX(W84+(-1),0)*N84,1000000000),IF(AND(MAX(W84+(0),0)*N84&gt;0,U84*INT(MAX(W84+(0),0)*N84/M84)+1*INT(MAX(W84+(0),0)*N84/N84)&gt;=L84),MAX(W84+(0),0)*N84,1000000000),IF(AND(MAX(W84+(1),0)*N84&gt;0,U84*INT(MAX(W84+(1),0)*N84/M84)+1*INT(MAX(W84+(1),0)*N84/N84)&gt;=L84),MAX(W84+(1),0)*N84,1000000000),IF(AND(MAX(W84+(2),0)*N84&gt;0,U84*INT(MAX(W84+(2),0)*N84/M84)+1*INT(MAX(W84+(2),0)*N84/N84)&gt;=L84),MAX(W84+(2),0)*N84,1000000000)))</f>
        <v>423</v>
      </c>
      <c r="Y84" s="10" t="n">
        <f aca="false">IF(O84-2*M84&gt;=0,INT((O84-2*M84)/N84),-1)</f>
        <v>1</v>
      </c>
      <c r="Z84" s="10" t="n">
        <f aca="false">IF(AND(Y84&gt;=0,Y84+2&gt;0),ROUNDUP(L84/(Y84+2*M84/N84),0),0)</f>
        <v>0</v>
      </c>
      <c r="AA84" s="10" t="n">
        <f aca="false">IF(AND(Y84&gt;=0,Y84+2&gt;0),ROUNDUP(L84/(Y84*N84/M84+2),0),0)</f>
        <v>0</v>
      </c>
      <c r="AB84" s="10" t="n">
        <f aca="false">IF(OR(Y84&lt;0,Y84+2=0),1000000000,MIN(IF(AND(MAX(Z84+(-1),0)*M84&gt;0,Y84*INT(MAX(Z84+(-1),0)*M84/M84)+2*INT(MAX(Z84+(-1),0)*M84/N84)&gt;=L84),MAX(Z84+(-1),0)*M84,1000000000),IF(AND(MAX(Z84+(0),0)*M84&gt;0,Y84*INT(MAX(Z84+(0),0)*M84/M84)+2*INT(MAX(Z84+(0),0)*M84/N84)&gt;=L84),MAX(Z84+(0),0)*M84,1000000000),IF(AND(MAX(Z84+(1),0)*M84&gt;0,Y84*INT(MAX(Z84+(1),0)*M84/M84)+2*INT(MAX(Z84+(1),0)*M84/N84)&gt;=L84),MAX(Z84+(1),0)*M84,1000000000),IF(AND(MAX(Z84+(2),0)*M84&gt;0,Y84*INT(MAX(Z84+(2),0)*M84/M84)+2*INT(MAX(Z84+(2),0)*M84/N84)&gt;=L84),MAX(Z84+(2),0)*M84,1000000000),IF(AND(MAX(AA84+(-1),0)*N84&gt;0,Y84*INT(MAX(AA84+(-1),0)*N84/M84)+2*INT(MAX(AA84+(-1),0)*N84/N84)&gt;=L84),MAX(AA84+(-1),0)*N84,1000000000),IF(AND(MAX(AA84+(0),0)*N84&gt;0,Y84*INT(MAX(AA84+(0),0)*N84/M84)+2*INT(MAX(AA84+(0),0)*N84/N84)&gt;=L84),MAX(AA84+(0),0)*N84,1000000000),IF(AND(MAX(AA84+(1),0)*N84&gt;0,Y84*INT(MAX(AA84+(1),0)*N84/M84)+2*INT(MAX(AA84+(1),0)*N84/N84)&gt;=L84),MAX(AA84+(1),0)*N84,1000000000),IF(AND(MAX(AA84+(2),0)*N84&gt;0,Y84*INT(MAX(AA84+(2),0)*N84/M84)+2*INT(MAX(AA84+(2),0)*N84/N84)&gt;=L84),MAX(AA84+(2),0)*N84,1000000000)))</f>
        <v>423</v>
      </c>
      <c r="AC84" s="42" t="n">
        <f aca="false">IF(L84=0,0,MIN(T84,X84,AB84))</f>
        <v>0</v>
      </c>
      <c r="AD84" s="15" t="n">
        <f aca="false">I84*INDEX(lg_bkg_3460,B84)</f>
        <v>0</v>
      </c>
      <c r="AE84" s="33" t="n">
        <f aca="false">I84*INDEX(lg_bvol_3460,B84)</f>
        <v>0</v>
      </c>
    </row>
    <row r="85" customFormat="false" ht="15" hidden="false" customHeight="false" outlineLevel="0" collapsed="false">
      <c r="A85" s="9" t="n">
        <v>7</v>
      </c>
      <c r="B85" s="9" t="n">
        <v>1</v>
      </c>
      <c r="C85" s="9" t="s">
        <v>15</v>
      </c>
      <c r="D85" s="10" t="n">
        <f aca="false">INDEX(cfg_ct,A85)</f>
        <v>3</v>
      </c>
      <c r="E85" s="10" t="n">
        <f aca="false">INDEX(cfg_n,A85)</f>
        <v>1</v>
      </c>
      <c r="F85" s="15" t="n">
        <f aca="false">INDEX(cfg_u_3464,A85,B85)</f>
        <v>0</v>
      </c>
      <c r="G85" s="15" t="n">
        <f aca="false">F85/E85</f>
        <v>0</v>
      </c>
      <c r="H85" s="10" t="n">
        <f aca="false">INDEX(lg_n_3464,B85)</f>
        <v>50</v>
      </c>
      <c r="I85" s="15" t="n">
        <f aca="false">ROUNDUP(G85/H85,0)</f>
        <v>0</v>
      </c>
      <c r="J85" s="10" t="n">
        <f aca="false">INDEX(lg_layers_3464_40HC,B85)</f>
        <v>34</v>
      </c>
      <c r="K85" s="26" t="n">
        <f aca="false">INDEX(in_use_efficiency,1,B85)</f>
        <v>0.97</v>
      </c>
      <c r="L85" s="10" t="n">
        <f aca="false">IF(I85=0,0,ROUNDUP(I85/(K85*J85)-0.000000001,0))</f>
        <v>0</v>
      </c>
      <c r="M85" s="10" t="n">
        <f aca="false">INDEX(lg_a_3464,B85)</f>
        <v>940</v>
      </c>
      <c r="N85" s="10" t="n">
        <f aca="false">INDEX(lg_b_3464,B85)</f>
        <v>473</v>
      </c>
      <c r="O85" s="10" t="n">
        <f aca="false">INDEX(lg_Wu_40HC,B85)</f>
        <v>2330</v>
      </c>
      <c r="P85" s="10" t="n">
        <f aca="false">INDEX(lg_Lu_40HC,B85)</f>
        <v>11930</v>
      </c>
      <c r="Q85" s="10" t="n">
        <f aca="false">IF(O85-0*M85&gt;=0,INT((O85-0*M85)/N85),-1)</f>
        <v>4</v>
      </c>
      <c r="R85" s="10" t="n">
        <f aca="false">IF(AND(Q85&gt;=0,Q85+0&gt;0),ROUNDUP(L85/(Q85+0*M85/N85),0),0)</f>
        <v>0</v>
      </c>
      <c r="S85" s="10" t="n">
        <f aca="false">IF(AND(Q85&gt;=0,Q85+0&gt;0),ROUNDUP(L85/(Q85*N85/M85+0),0),0)</f>
        <v>0</v>
      </c>
      <c r="T85" s="10" t="n">
        <f aca="false">IF(OR(Q85&lt;0,Q85+0=0),1000000000,MIN(IF(AND(MAX(R85+(-1),0)*M85&gt;0,Q85*INT(MAX(R85+(-1),0)*M85/M85)+0*INT(MAX(R85+(-1),0)*M85/N85)&gt;=L85),MAX(R85+(-1),0)*M85,1000000000),IF(AND(MAX(R85+(0),0)*M85&gt;0,Q85*INT(MAX(R85+(0),0)*M85/M85)+0*INT(MAX(R85+(0),0)*M85/N85)&gt;=L85),MAX(R85+(0),0)*M85,1000000000),IF(AND(MAX(R85+(1),0)*M85&gt;0,Q85*INT(MAX(R85+(1),0)*M85/M85)+0*INT(MAX(R85+(1),0)*M85/N85)&gt;=L85),MAX(R85+(1),0)*M85,1000000000),IF(AND(MAX(R85+(2),0)*M85&gt;0,Q85*INT(MAX(R85+(2),0)*M85/M85)+0*INT(MAX(R85+(2),0)*M85/N85)&gt;=L85),MAX(R85+(2),0)*M85,1000000000),IF(AND(MAX(S85+(-1),0)*N85&gt;0,Q85*INT(MAX(S85+(-1),0)*N85/M85)+0*INT(MAX(S85+(-1),0)*N85/N85)&gt;=L85),MAX(S85+(-1),0)*N85,1000000000),IF(AND(MAX(S85+(0),0)*N85&gt;0,Q85*INT(MAX(S85+(0),0)*N85/M85)+0*INT(MAX(S85+(0),0)*N85/N85)&gt;=L85),MAX(S85+(0),0)*N85,1000000000),IF(AND(MAX(S85+(1),0)*N85&gt;0,Q85*INT(MAX(S85+(1),0)*N85/M85)+0*INT(MAX(S85+(1),0)*N85/N85)&gt;=L85),MAX(S85+(1),0)*N85,1000000000),IF(AND(MAX(S85+(2),0)*N85&gt;0,Q85*INT(MAX(S85+(2),0)*N85/M85)+0*INT(MAX(S85+(2),0)*N85/N85)&gt;=L85),MAX(S85+(2),0)*N85,1000000000)))</f>
        <v>473</v>
      </c>
      <c r="U85" s="10" t="n">
        <f aca="false">IF(O85-1*M85&gt;=0,INT((O85-1*M85)/N85),-1)</f>
        <v>2</v>
      </c>
      <c r="V85" s="10" t="n">
        <f aca="false">IF(AND(U85&gt;=0,U85+1&gt;0),ROUNDUP(L85/(U85+1*M85/N85),0),0)</f>
        <v>0</v>
      </c>
      <c r="W85" s="10" t="n">
        <f aca="false">IF(AND(U85&gt;=0,U85+1&gt;0),ROUNDUP(L85/(U85*N85/M85+1),0),0)</f>
        <v>0</v>
      </c>
      <c r="X85" s="10" t="n">
        <f aca="false">IF(OR(U85&lt;0,U85+1=0),1000000000,MIN(IF(AND(MAX(V85+(-1),0)*M85&gt;0,U85*INT(MAX(V85+(-1),0)*M85/M85)+1*INT(MAX(V85+(-1),0)*M85/N85)&gt;=L85),MAX(V85+(-1),0)*M85,1000000000),IF(AND(MAX(V85+(0),0)*M85&gt;0,U85*INT(MAX(V85+(0),0)*M85/M85)+1*INT(MAX(V85+(0),0)*M85/N85)&gt;=L85),MAX(V85+(0),0)*M85,1000000000),IF(AND(MAX(V85+(1),0)*M85&gt;0,U85*INT(MAX(V85+(1),0)*M85/M85)+1*INT(MAX(V85+(1),0)*M85/N85)&gt;=L85),MAX(V85+(1),0)*M85,1000000000),IF(AND(MAX(V85+(2),0)*M85&gt;0,U85*INT(MAX(V85+(2),0)*M85/M85)+1*INT(MAX(V85+(2),0)*M85/N85)&gt;=L85),MAX(V85+(2),0)*M85,1000000000),IF(AND(MAX(W85+(-1),0)*N85&gt;0,U85*INT(MAX(W85+(-1),0)*N85/M85)+1*INT(MAX(W85+(-1),0)*N85/N85)&gt;=L85),MAX(W85+(-1),0)*N85,1000000000),IF(AND(MAX(W85+(0),0)*N85&gt;0,U85*INT(MAX(W85+(0),0)*N85/M85)+1*INT(MAX(W85+(0),0)*N85/N85)&gt;=L85),MAX(W85+(0),0)*N85,1000000000),IF(AND(MAX(W85+(1),0)*N85&gt;0,U85*INT(MAX(W85+(1),0)*N85/M85)+1*INT(MAX(W85+(1),0)*N85/N85)&gt;=L85),MAX(W85+(1),0)*N85,1000000000),IF(AND(MAX(W85+(2),0)*N85&gt;0,U85*INT(MAX(W85+(2),0)*N85/M85)+1*INT(MAX(W85+(2),0)*N85/N85)&gt;=L85),MAX(W85+(2),0)*N85,1000000000)))</f>
        <v>473</v>
      </c>
      <c r="Y85" s="10" t="n">
        <f aca="false">IF(O85-2*M85&gt;=0,INT((O85-2*M85)/N85),-1)</f>
        <v>0</v>
      </c>
      <c r="Z85" s="10" t="n">
        <f aca="false">IF(AND(Y85&gt;=0,Y85+2&gt;0),ROUNDUP(L85/(Y85+2*M85/N85),0),0)</f>
        <v>0</v>
      </c>
      <c r="AA85" s="10" t="n">
        <f aca="false">IF(AND(Y85&gt;=0,Y85+2&gt;0),ROUNDUP(L85/(Y85*N85/M85+2),0),0)</f>
        <v>0</v>
      </c>
      <c r="AB85" s="10" t="n">
        <f aca="false">IF(OR(Y85&lt;0,Y85+2=0),1000000000,MIN(IF(AND(MAX(Z85+(-1),0)*M85&gt;0,Y85*INT(MAX(Z85+(-1),0)*M85/M85)+2*INT(MAX(Z85+(-1),0)*M85/N85)&gt;=L85),MAX(Z85+(-1),0)*M85,1000000000),IF(AND(MAX(Z85+(0),0)*M85&gt;0,Y85*INT(MAX(Z85+(0),0)*M85/M85)+2*INT(MAX(Z85+(0),0)*M85/N85)&gt;=L85),MAX(Z85+(0),0)*M85,1000000000),IF(AND(MAX(Z85+(1),0)*M85&gt;0,Y85*INT(MAX(Z85+(1),0)*M85/M85)+2*INT(MAX(Z85+(1),0)*M85/N85)&gt;=L85),MAX(Z85+(1),0)*M85,1000000000),IF(AND(MAX(Z85+(2),0)*M85&gt;0,Y85*INT(MAX(Z85+(2),0)*M85/M85)+2*INT(MAX(Z85+(2),0)*M85/N85)&gt;=L85),MAX(Z85+(2),0)*M85,1000000000),IF(AND(MAX(AA85+(-1),0)*N85&gt;0,Y85*INT(MAX(AA85+(-1),0)*N85/M85)+2*INT(MAX(AA85+(-1),0)*N85/N85)&gt;=L85),MAX(AA85+(-1),0)*N85,1000000000),IF(AND(MAX(AA85+(0),0)*N85&gt;0,Y85*INT(MAX(AA85+(0),0)*N85/M85)+2*INT(MAX(AA85+(0),0)*N85/N85)&gt;=L85),MAX(AA85+(0),0)*N85,1000000000),IF(AND(MAX(AA85+(1),0)*N85&gt;0,Y85*INT(MAX(AA85+(1),0)*N85/M85)+2*INT(MAX(AA85+(1),0)*N85/N85)&gt;=L85),MAX(AA85+(1),0)*N85,1000000000),IF(AND(MAX(AA85+(2),0)*N85&gt;0,Y85*INT(MAX(AA85+(2),0)*N85/M85)+2*INT(MAX(AA85+(2),0)*N85/N85)&gt;=L85),MAX(AA85+(2),0)*N85,1000000000)))</f>
        <v>473</v>
      </c>
      <c r="AC85" s="42" t="n">
        <f aca="false">IF(L85=0,0,MIN(T85,X85,AB85))</f>
        <v>0</v>
      </c>
      <c r="AD85" s="15" t="n">
        <f aca="false">I85*INDEX(lg_bkg_3464,B85)</f>
        <v>0</v>
      </c>
      <c r="AE85" s="33" t="n">
        <f aca="false">I85*INDEX(lg_bvol_3464,B85)</f>
        <v>0</v>
      </c>
    </row>
    <row r="86" customFormat="false" ht="15" hidden="false" customHeight="false" outlineLevel="0" collapsed="false">
      <c r="A86" s="9" t="n">
        <v>7</v>
      </c>
      <c r="B86" s="9" t="n">
        <v>1</v>
      </c>
      <c r="C86" s="9" t="s">
        <v>16</v>
      </c>
      <c r="D86" s="10" t="n">
        <f aca="false">INDEX(cfg_ct,A86)</f>
        <v>3</v>
      </c>
      <c r="E86" s="10" t="n">
        <f aca="false">INDEX(cfg_n,A86)</f>
        <v>1</v>
      </c>
      <c r="F86" s="15" t="n">
        <f aca="false">INDEX(cfg_u_3463,A86,B86)</f>
        <v>0</v>
      </c>
      <c r="G86" s="15" t="n">
        <f aca="false">F86/E86</f>
        <v>0</v>
      </c>
      <c r="H86" s="10" t="n">
        <f aca="false">INDEX(lg_n_3463,B86)</f>
        <v>50</v>
      </c>
      <c r="I86" s="15" t="n">
        <f aca="false">ROUNDUP(G86/H86,0)</f>
        <v>0</v>
      </c>
      <c r="J86" s="10" t="n">
        <f aca="false">INDEX(lg_layers_3463_40HC,B86)</f>
        <v>34</v>
      </c>
      <c r="K86" s="26" t="n">
        <f aca="false">INDEX(in_use_efficiency,1,B86)</f>
        <v>0.97</v>
      </c>
      <c r="L86" s="10" t="n">
        <f aca="false">IF(I86=0,0,ROUNDUP(I86/(K86*J86)-0.000000001,0))</f>
        <v>0</v>
      </c>
      <c r="M86" s="10" t="n">
        <f aca="false">INDEX(lg_a_3463,B86)</f>
        <v>1040</v>
      </c>
      <c r="N86" s="10" t="n">
        <f aca="false">INDEX(lg_b_3463,B86)</f>
        <v>523</v>
      </c>
      <c r="O86" s="10" t="n">
        <f aca="false">INDEX(lg_Wu_40HC,B86)</f>
        <v>2330</v>
      </c>
      <c r="P86" s="10" t="n">
        <f aca="false">INDEX(lg_Lu_40HC,B86)</f>
        <v>11930</v>
      </c>
      <c r="Q86" s="10" t="n">
        <f aca="false">IF(O86-0*M86&gt;=0,INT((O86-0*M86)/N86),-1)</f>
        <v>4</v>
      </c>
      <c r="R86" s="10" t="n">
        <f aca="false">IF(AND(Q86&gt;=0,Q86+0&gt;0),ROUNDUP(L86/(Q86+0*M86/N86),0),0)</f>
        <v>0</v>
      </c>
      <c r="S86" s="10" t="n">
        <f aca="false">IF(AND(Q86&gt;=0,Q86+0&gt;0),ROUNDUP(L86/(Q86*N86/M86+0),0),0)</f>
        <v>0</v>
      </c>
      <c r="T86" s="10" t="n">
        <f aca="false">IF(OR(Q86&lt;0,Q86+0=0),1000000000,MIN(IF(AND(MAX(R86+(-1),0)*M86&gt;0,Q86*INT(MAX(R86+(-1),0)*M86/M86)+0*INT(MAX(R86+(-1),0)*M86/N86)&gt;=L86),MAX(R86+(-1),0)*M86,1000000000),IF(AND(MAX(R86+(0),0)*M86&gt;0,Q86*INT(MAX(R86+(0),0)*M86/M86)+0*INT(MAX(R86+(0),0)*M86/N86)&gt;=L86),MAX(R86+(0),0)*M86,1000000000),IF(AND(MAX(R86+(1),0)*M86&gt;0,Q86*INT(MAX(R86+(1),0)*M86/M86)+0*INT(MAX(R86+(1),0)*M86/N86)&gt;=L86),MAX(R86+(1),0)*M86,1000000000),IF(AND(MAX(R86+(2),0)*M86&gt;0,Q86*INT(MAX(R86+(2),0)*M86/M86)+0*INT(MAX(R86+(2),0)*M86/N86)&gt;=L86),MAX(R86+(2),0)*M86,1000000000),IF(AND(MAX(S86+(-1),0)*N86&gt;0,Q86*INT(MAX(S86+(-1),0)*N86/M86)+0*INT(MAX(S86+(-1),0)*N86/N86)&gt;=L86),MAX(S86+(-1),0)*N86,1000000000),IF(AND(MAX(S86+(0),0)*N86&gt;0,Q86*INT(MAX(S86+(0),0)*N86/M86)+0*INT(MAX(S86+(0),0)*N86/N86)&gt;=L86),MAX(S86+(0),0)*N86,1000000000),IF(AND(MAX(S86+(1),0)*N86&gt;0,Q86*INT(MAX(S86+(1),0)*N86/M86)+0*INT(MAX(S86+(1),0)*N86/N86)&gt;=L86),MAX(S86+(1),0)*N86,1000000000),IF(AND(MAX(S86+(2),0)*N86&gt;0,Q86*INT(MAX(S86+(2),0)*N86/M86)+0*INT(MAX(S86+(2),0)*N86/N86)&gt;=L86),MAX(S86+(2),0)*N86,1000000000)))</f>
        <v>523</v>
      </c>
      <c r="U86" s="10" t="n">
        <f aca="false">IF(O86-1*M86&gt;=0,INT((O86-1*M86)/N86),-1)</f>
        <v>2</v>
      </c>
      <c r="V86" s="10" t="n">
        <f aca="false">IF(AND(U86&gt;=0,U86+1&gt;0),ROUNDUP(L86/(U86+1*M86/N86),0),0)</f>
        <v>0</v>
      </c>
      <c r="W86" s="10" t="n">
        <f aca="false">IF(AND(U86&gt;=0,U86+1&gt;0),ROUNDUP(L86/(U86*N86/M86+1),0),0)</f>
        <v>0</v>
      </c>
      <c r="X86" s="10" t="n">
        <f aca="false">IF(OR(U86&lt;0,U86+1=0),1000000000,MIN(IF(AND(MAX(V86+(-1),0)*M86&gt;0,U86*INT(MAX(V86+(-1),0)*M86/M86)+1*INT(MAX(V86+(-1),0)*M86/N86)&gt;=L86),MAX(V86+(-1),0)*M86,1000000000),IF(AND(MAX(V86+(0),0)*M86&gt;0,U86*INT(MAX(V86+(0),0)*M86/M86)+1*INT(MAX(V86+(0),0)*M86/N86)&gt;=L86),MAX(V86+(0),0)*M86,1000000000),IF(AND(MAX(V86+(1),0)*M86&gt;0,U86*INT(MAX(V86+(1),0)*M86/M86)+1*INT(MAX(V86+(1),0)*M86/N86)&gt;=L86),MAX(V86+(1),0)*M86,1000000000),IF(AND(MAX(V86+(2),0)*M86&gt;0,U86*INT(MAX(V86+(2),0)*M86/M86)+1*INT(MAX(V86+(2),0)*M86/N86)&gt;=L86),MAX(V86+(2),0)*M86,1000000000),IF(AND(MAX(W86+(-1),0)*N86&gt;0,U86*INT(MAX(W86+(-1),0)*N86/M86)+1*INT(MAX(W86+(-1),0)*N86/N86)&gt;=L86),MAX(W86+(-1),0)*N86,1000000000),IF(AND(MAX(W86+(0),0)*N86&gt;0,U86*INT(MAX(W86+(0),0)*N86/M86)+1*INT(MAX(W86+(0),0)*N86/N86)&gt;=L86),MAX(W86+(0),0)*N86,1000000000),IF(AND(MAX(W86+(1),0)*N86&gt;0,U86*INT(MAX(W86+(1),0)*N86/M86)+1*INT(MAX(W86+(1),0)*N86/N86)&gt;=L86),MAX(W86+(1),0)*N86,1000000000),IF(AND(MAX(W86+(2),0)*N86&gt;0,U86*INT(MAX(W86+(2),0)*N86/M86)+1*INT(MAX(W86+(2),0)*N86/N86)&gt;=L86),MAX(W86+(2),0)*N86,1000000000)))</f>
        <v>523</v>
      </c>
      <c r="Y86" s="10" t="n">
        <f aca="false">IF(O86-2*M86&gt;=0,INT((O86-2*M86)/N86),-1)</f>
        <v>0</v>
      </c>
      <c r="Z86" s="10" t="n">
        <f aca="false">IF(AND(Y86&gt;=0,Y86+2&gt;0),ROUNDUP(L86/(Y86+2*M86/N86),0),0)</f>
        <v>0</v>
      </c>
      <c r="AA86" s="10" t="n">
        <f aca="false">IF(AND(Y86&gt;=0,Y86+2&gt;0),ROUNDUP(L86/(Y86*N86/M86+2),0),0)</f>
        <v>0</v>
      </c>
      <c r="AB86" s="10" t="n">
        <f aca="false">IF(OR(Y86&lt;0,Y86+2=0),1000000000,MIN(IF(AND(MAX(Z86+(-1),0)*M86&gt;0,Y86*INT(MAX(Z86+(-1),0)*M86/M86)+2*INT(MAX(Z86+(-1),0)*M86/N86)&gt;=L86),MAX(Z86+(-1),0)*M86,1000000000),IF(AND(MAX(Z86+(0),0)*M86&gt;0,Y86*INT(MAX(Z86+(0),0)*M86/M86)+2*INT(MAX(Z86+(0),0)*M86/N86)&gt;=L86),MAX(Z86+(0),0)*M86,1000000000),IF(AND(MAX(Z86+(1),0)*M86&gt;0,Y86*INT(MAX(Z86+(1),0)*M86/M86)+2*INT(MAX(Z86+(1),0)*M86/N86)&gt;=L86),MAX(Z86+(1),0)*M86,1000000000),IF(AND(MAX(Z86+(2),0)*M86&gt;0,Y86*INT(MAX(Z86+(2),0)*M86/M86)+2*INT(MAX(Z86+(2),0)*M86/N86)&gt;=L86),MAX(Z86+(2),0)*M86,1000000000),IF(AND(MAX(AA86+(-1),0)*N86&gt;0,Y86*INT(MAX(AA86+(-1),0)*N86/M86)+2*INT(MAX(AA86+(-1),0)*N86/N86)&gt;=L86),MAX(AA86+(-1),0)*N86,1000000000),IF(AND(MAX(AA86+(0),0)*N86&gt;0,Y86*INT(MAX(AA86+(0),0)*N86/M86)+2*INT(MAX(AA86+(0),0)*N86/N86)&gt;=L86),MAX(AA86+(0),0)*N86,1000000000),IF(AND(MAX(AA86+(1),0)*N86&gt;0,Y86*INT(MAX(AA86+(1),0)*N86/M86)+2*INT(MAX(AA86+(1),0)*N86/N86)&gt;=L86),MAX(AA86+(1),0)*N86,1000000000),IF(AND(MAX(AA86+(2),0)*N86&gt;0,Y86*INT(MAX(AA86+(2),0)*N86/M86)+2*INT(MAX(AA86+(2),0)*N86/N86)&gt;=L86),MAX(AA86+(2),0)*N86,1000000000)))</f>
        <v>523</v>
      </c>
      <c r="AC86" s="42" t="n">
        <f aca="false">IF(L86=0,0,MIN(T86,X86,AB86))</f>
        <v>0</v>
      </c>
      <c r="AD86" s="15" t="n">
        <f aca="false">I86*INDEX(lg_bkg_3463,B86)</f>
        <v>0</v>
      </c>
      <c r="AE86" s="33" t="n">
        <f aca="false">I86*INDEX(lg_bvol_3463,B86)</f>
        <v>0</v>
      </c>
    </row>
    <row r="87" customFormat="false" ht="15" hidden="false" customHeight="false" outlineLevel="0" collapsed="false">
      <c r="A87" s="9" t="n">
        <v>7</v>
      </c>
      <c r="B87" s="9" t="n">
        <v>1</v>
      </c>
      <c r="C87" s="9" t="s">
        <v>17</v>
      </c>
      <c r="D87" s="10" t="n">
        <f aca="false">INDEX(cfg_ct,A87)</f>
        <v>3</v>
      </c>
      <c r="E87" s="10" t="n">
        <f aca="false">INDEX(cfg_n,A87)</f>
        <v>1</v>
      </c>
      <c r="F87" s="15" t="n">
        <f aca="false">INDEX(cfg_u_3460,A87,B87)</f>
        <v>115400</v>
      </c>
      <c r="G87" s="15" t="n">
        <f aca="false">F87/E87</f>
        <v>115400</v>
      </c>
      <c r="H87" s="10" t="n">
        <f aca="false">INDEX(lg_n_3460,B87)</f>
        <v>50</v>
      </c>
      <c r="I87" s="15" t="n">
        <f aca="false">ROUNDUP(G87/H87,0)</f>
        <v>2308</v>
      </c>
      <c r="J87" s="10" t="n">
        <f aca="false">INDEX(lg_layers_3460_40HC,B87)</f>
        <v>34</v>
      </c>
      <c r="K87" s="26" t="n">
        <f aca="false">INDEX(in_use_efficiency,1,B87)</f>
        <v>0.97</v>
      </c>
      <c r="L87" s="10" t="n">
        <f aca="false">IF(I87=0,0,ROUNDUP(I87/(K87*J87)-0.000000001,0))</f>
        <v>70</v>
      </c>
      <c r="M87" s="10" t="n">
        <f aca="false">INDEX(lg_a_3460,B87)</f>
        <v>840</v>
      </c>
      <c r="N87" s="10" t="n">
        <f aca="false">INDEX(lg_b_3460,B87)</f>
        <v>423</v>
      </c>
      <c r="O87" s="10" t="n">
        <f aca="false">INDEX(lg_Wu_40HC,B87)</f>
        <v>2330</v>
      </c>
      <c r="P87" s="10" t="n">
        <f aca="false">INDEX(lg_Lu_40HC,B87)</f>
        <v>11930</v>
      </c>
      <c r="Q87" s="10" t="n">
        <f aca="false">IF(O87-0*M87&gt;=0,INT((O87-0*M87)/N87),-1)</f>
        <v>5</v>
      </c>
      <c r="R87" s="10" t="n">
        <f aca="false">IF(AND(Q87&gt;=0,Q87+0&gt;0),ROUNDUP(L87/(Q87+0*M87/N87),0),0)</f>
        <v>14</v>
      </c>
      <c r="S87" s="10" t="n">
        <f aca="false">IF(AND(Q87&gt;=0,Q87+0&gt;0),ROUNDUP(L87/(Q87*N87/M87+0),0),0)</f>
        <v>28</v>
      </c>
      <c r="T87" s="10" t="n">
        <f aca="false">IF(OR(Q87&lt;0,Q87+0=0),1000000000,MIN(IF(AND(MAX(R87+(-1),0)*M87&gt;0,Q87*INT(MAX(R87+(-1),0)*M87/M87)+0*INT(MAX(R87+(-1),0)*M87/N87)&gt;=L87),MAX(R87+(-1),0)*M87,1000000000),IF(AND(MAX(R87+(0),0)*M87&gt;0,Q87*INT(MAX(R87+(0),0)*M87/M87)+0*INT(MAX(R87+(0),0)*M87/N87)&gt;=L87),MAX(R87+(0),0)*M87,1000000000),IF(AND(MAX(R87+(1),0)*M87&gt;0,Q87*INT(MAX(R87+(1),0)*M87/M87)+0*INT(MAX(R87+(1),0)*M87/N87)&gt;=L87),MAX(R87+(1),0)*M87,1000000000),IF(AND(MAX(R87+(2),0)*M87&gt;0,Q87*INT(MAX(R87+(2),0)*M87/M87)+0*INT(MAX(R87+(2),0)*M87/N87)&gt;=L87),MAX(R87+(2),0)*M87,1000000000),IF(AND(MAX(S87+(-1),0)*N87&gt;0,Q87*INT(MAX(S87+(-1),0)*N87/M87)+0*INT(MAX(S87+(-1),0)*N87/N87)&gt;=L87),MAX(S87+(-1),0)*N87,1000000000),IF(AND(MAX(S87+(0),0)*N87&gt;0,Q87*INT(MAX(S87+(0),0)*N87/M87)+0*INT(MAX(S87+(0),0)*N87/N87)&gt;=L87),MAX(S87+(0),0)*N87,1000000000),IF(AND(MAX(S87+(1),0)*N87&gt;0,Q87*INT(MAX(S87+(1),0)*N87/M87)+0*INT(MAX(S87+(1),0)*N87/N87)&gt;=L87),MAX(S87+(1),0)*N87,1000000000),IF(AND(MAX(S87+(2),0)*N87&gt;0,Q87*INT(MAX(S87+(2),0)*N87/M87)+0*INT(MAX(S87+(2),0)*N87/N87)&gt;=L87),MAX(S87+(2),0)*N87,1000000000)))</f>
        <v>11760</v>
      </c>
      <c r="U87" s="10" t="n">
        <f aca="false">IF(O87-1*M87&gt;=0,INT((O87-1*M87)/N87),-1)</f>
        <v>3</v>
      </c>
      <c r="V87" s="10" t="n">
        <f aca="false">IF(AND(U87&gt;=0,U87+1&gt;0),ROUNDUP(L87/(U87+1*M87/N87),0),0)</f>
        <v>15</v>
      </c>
      <c r="W87" s="10" t="n">
        <f aca="false">IF(AND(U87&gt;=0,U87+1&gt;0),ROUNDUP(L87/(U87*N87/M87+1),0),0)</f>
        <v>28</v>
      </c>
      <c r="X87" s="10" t="n">
        <f aca="false">IF(OR(U87&lt;0,U87+1=0),1000000000,MIN(IF(AND(MAX(V87+(-1),0)*M87&gt;0,U87*INT(MAX(V87+(-1),0)*M87/M87)+1*INT(MAX(V87+(-1),0)*M87/N87)&gt;=L87),MAX(V87+(-1),0)*M87,1000000000),IF(AND(MAX(V87+(0),0)*M87&gt;0,U87*INT(MAX(V87+(0),0)*M87/M87)+1*INT(MAX(V87+(0),0)*M87/N87)&gt;=L87),MAX(V87+(0),0)*M87,1000000000),IF(AND(MAX(V87+(1),0)*M87&gt;0,U87*INT(MAX(V87+(1),0)*M87/M87)+1*INT(MAX(V87+(1),0)*M87/N87)&gt;=L87),MAX(V87+(1),0)*M87,1000000000),IF(AND(MAX(V87+(2),0)*M87&gt;0,U87*INT(MAX(V87+(2),0)*M87/M87)+1*INT(MAX(V87+(2),0)*M87/N87)&gt;=L87),MAX(V87+(2),0)*M87,1000000000),IF(AND(MAX(W87+(-1),0)*N87&gt;0,U87*INT(MAX(W87+(-1),0)*N87/M87)+1*INT(MAX(W87+(-1),0)*N87/N87)&gt;=L87),MAX(W87+(-1),0)*N87,1000000000),IF(AND(MAX(W87+(0),0)*N87&gt;0,U87*INT(MAX(W87+(0),0)*N87/M87)+1*INT(MAX(W87+(0),0)*N87/N87)&gt;=L87),MAX(W87+(0),0)*N87,1000000000),IF(AND(MAX(W87+(1),0)*N87&gt;0,U87*INT(MAX(W87+(1),0)*N87/M87)+1*INT(MAX(W87+(1),0)*N87/N87)&gt;=L87),MAX(W87+(1),0)*N87,1000000000),IF(AND(MAX(W87+(2),0)*N87&gt;0,U87*INT(MAX(W87+(2),0)*N87/M87)+1*INT(MAX(W87+(2),0)*N87/N87)&gt;=L87),MAX(W87+(2),0)*N87,1000000000)))</f>
        <v>11844</v>
      </c>
      <c r="Y87" s="10" t="n">
        <f aca="false">IF(O87-2*M87&gt;=0,INT((O87-2*M87)/N87),-1)</f>
        <v>1</v>
      </c>
      <c r="Z87" s="10" t="n">
        <f aca="false">IF(AND(Y87&gt;=0,Y87+2&gt;0),ROUNDUP(L87/(Y87+2*M87/N87),0),0)</f>
        <v>15</v>
      </c>
      <c r="AA87" s="10" t="n">
        <f aca="false">IF(AND(Y87&gt;=0,Y87+2&gt;0),ROUNDUP(L87/(Y87*N87/M87+2),0),0)</f>
        <v>28</v>
      </c>
      <c r="AB87" s="10" t="n">
        <f aca="false">IF(OR(Y87&lt;0,Y87+2=0),1000000000,MIN(IF(AND(MAX(Z87+(-1),0)*M87&gt;0,Y87*INT(MAX(Z87+(-1),0)*M87/M87)+2*INT(MAX(Z87+(-1),0)*M87/N87)&gt;=L87),MAX(Z87+(-1),0)*M87,1000000000),IF(AND(MAX(Z87+(0),0)*M87&gt;0,Y87*INT(MAX(Z87+(0),0)*M87/M87)+2*INT(MAX(Z87+(0),0)*M87/N87)&gt;=L87),MAX(Z87+(0),0)*M87,1000000000),IF(AND(MAX(Z87+(1),0)*M87&gt;0,Y87*INT(MAX(Z87+(1),0)*M87/M87)+2*INT(MAX(Z87+(1),0)*M87/N87)&gt;=L87),MAX(Z87+(1),0)*M87,1000000000),IF(AND(MAX(Z87+(2),0)*M87&gt;0,Y87*INT(MAX(Z87+(2),0)*M87/M87)+2*INT(MAX(Z87+(2),0)*M87/N87)&gt;=L87),MAX(Z87+(2),0)*M87,1000000000),IF(AND(MAX(AA87+(-1),0)*N87&gt;0,Y87*INT(MAX(AA87+(-1),0)*N87/M87)+2*INT(MAX(AA87+(-1),0)*N87/N87)&gt;=L87),MAX(AA87+(-1),0)*N87,1000000000),IF(AND(MAX(AA87+(0),0)*N87&gt;0,Y87*INT(MAX(AA87+(0),0)*N87/M87)+2*INT(MAX(AA87+(0),0)*N87/N87)&gt;=L87),MAX(AA87+(0),0)*N87,1000000000),IF(AND(MAX(AA87+(1),0)*N87&gt;0,Y87*INT(MAX(AA87+(1),0)*N87/M87)+2*INT(MAX(AA87+(1),0)*N87/N87)&gt;=L87),MAX(AA87+(1),0)*N87,1000000000),IF(AND(MAX(AA87+(2),0)*N87&gt;0,Y87*INT(MAX(AA87+(2),0)*N87/M87)+2*INT(MAX(AA87+(2),0)*N87/N87)&gt;=L87),MAX(AA87+(2),0)*N87,1000000000)))</f>
        <v>11844</v>
      </c>
      <c r="AC87" s="42" t="n">
        <f aca="false">IF(L87=0,0,MIN(T87,X87,AB87))</f>
        <v>11760</v>
      </c>
      <c r="AD87" s="15" t="n">
        <f aca="false">I87*INDEX(lg_bkg_3460,B87)</f>
        <v>15053.126816</v>
      </c>
      <c r="AE87" s="33" t="n">
        <f aca="false">I87*INDEX(lg_bvol_3460,B87)</f>
        <v>61.505892</v>
      </c>
    </row>
    <row r="88" customFormat="false" ht="15" hidden="false" customHeight="false" outlineLevel="0" collapsed="false">
      <c r="A88" s="9" t="n">
        <v>7</v>
      </c>
      <c r="B88" s="9" t="n">
        <v>2</v>
      </c>
      <c r="C88" s="9" t="s">
        <v>15</v>
      </c>
      <c r="D88" s="10" t="n">
        <f aca="false">INDEX(cfg_ct,A88)</f>
        <v>3</v>
      </c>
      <c r="E88" s="10" t="n">
        <f aca="false">INDEX(cfg_n,A88)</f>
        <v>1</v>
      </c>
      <c r="F88" s="15" t="n">
        <f aca="false">INDEX(cfg_u_3464,A88,B88)</f>
        <v>0</v>
      </c>
      <c r="G88" s="15" t="n">
        <f aca="false">F88/E88</f>
        <v>0</v>
      </c>
      <c r="H88" s="10" t="n">
        <f aca="false">INDEX(lg_n_3464,B88)</f>
        <v>50</v>
      </c>
      <c r="I88" s="15" t="n">
        <f aca="false">ROUNDUP(G88/H88,0)</f>
        <v>0</v>
      </c>
      <c r="J88" s="10" t="n">
        <f aca="false">INDEX(lg_layers_3464_40HC,B88)</f>
        <v>32</v>
      </c>
      <c r="K88" s="26" t="n">
        <f aca="false">INDEX(in_use_efficiency,1,B88)</f>
        <v>0.95</v>
      </c>
      <c r="L88" s="10" t="n">
        <f aca="false">IF(I88=0,0,ROUNDUP(I88/(K88*J88)-0.000000001,0))</f>
        <v>0</v>
      </c>
      <c r="M88" s="10" t="n">
        <f aca="false">INDEX(lg_a_3464,B88)</f>
        <v>940</v>
      </c>
      <c r="N88" s="10" t="n">
        <f aca="false">INDEX(lg_b_3464,B88)</f>
        <v>473</v>
      </c>
      <c r="O88" s="10" t="n">
        <f aca="false">INDEX(lg_Wu_40HC,B88)</f>
        <v>2330</v>
      </c>
      <c r="P88" s="10" t="n">
        <f aca="false">INDEX(lg_Lu_40HC,B88)</f>
        <v>11930</v>
      </c>
      <c r="Q88" s="10" t="n">
        <f aca="false">IF(O88-0*M88&gt;=0,INT((O88-0*M88)/N88),-1)</f>
        <v>4</v>
      </c>
      <c r="R88" s="10" t="n">
        <f aca="false">IF(AND(Q88&gt;=0,Q88+0&gt;0),ROUNDUP(L88/(Q88+0*M88/N88),0),0)</f>
        <v>0</v>
      </c>
      <c r="S88" s="10" t="n">
        <f aca="false">IF(AND(Q88&gt;=0,Q88+0&gt;0),ROUNDUP(L88/(Q88*N88/M88+0),0),0)</f>
        <v>0</v>
      </c>
      <c r="T88" s="10" t="n">
        <f aca="false">IF(OR(Q88&lt;0,Q88+0=0),1000000000,MIN(IF(AND(MAX(R88+(-1),0)*M88&gt;0,Q88*INT(MAX(R88+(-1),0)*M88/M88)+0*INT(MAX(R88+(-1),0)*M88/N88)&gt;=L88),MAX(R88+(-1),0)*M88,1000000000),IF(AND(MAX(R88+(0),0)*M88&gt;0,Q88*INT(MAX(R88+(0),0)*M88/M88)+0*INT(MAX(R88+(0),0)*M88/N88)&gt;=L88),MAX(R88+(0),0)*M88,1000000000),IF(AND(MAX(R88+(1),0)*M88&gt;0,Q88*INT(MAX(R88+(1),0)*M88/M88)+0*INT(MAX(R88+(1),0)*M88/N88)&gt;=L88),MAX(R88+(1),0)*M88,1000000000),IF(AND(MAX(R88+(2),0)*M88&gt;0,Q88*INT(MAX(R88+(2),0)*M88/M88)+0*INT(MAX(R88+(2),0)*M88/N88)&gt;=L88),MAX(R88+(2),0)*M88,1000000000),IF(AND(MAX(S88+(-1),0)*N88&gt;0,Q88*INT(MAX(S88+(-1),0)*N88/M88)+0*INT(MAX(S88+(-1),0)*N88/N88)&gt;=L88),MAX(S88+(-1),0)*N88,1000000000),IF(AND(MAX(S88+(0),0)*N88&gt;0,Q88*INT(MAX(S88+(0),0)*N88/M88)+0*INT(MAX(S88+(0),0)*N88/N88)&gt;=L88),MAX(S88+(0),0)*N88,1000000000),IF(AND(MAX(S88+(1),0)*N88&gt;0,Q88*INT(MAX(S88+(1),0)*N88/M88)+0*INT(MAX(S88+(1),0)*N88/N88)&gt;=L88),MAX(S88+(1),0)*N88,1000000000),IF(AND(MAX(S88+(2),0)*N88&gt;0,Q88*INT(MAX(S88+(2),0)*N88/M88)+0*INT(MAX(S88+(2),0)*N88/N88)&gt;=L88),MAX(S88+(2),0)*N88,1000000000)))</f>
        <v>473</v>
      </c>
      <c r="U88" s="10" t="n">
        <f aca="false">IF(O88-1*M88&gt;=0,INT((O88-1*M88)/N88),-1)</f>
        <v>2</v>
      </c>
      <c r="V88" s="10" t="n">
        <f aca="false">IF(AND(U88&gt;=0,U88+1&gt;0),ROUNDUP(L88/(U88+1*M88/N88),0),0)</f>
        <v>0</v>
      </c>
      <c r="W88" s="10" t="n">
        <f aca="false">IF(AND(U88&gt;=0,U88+1&gt;0),ROUNDUP(L88/(U88*N88/M88+1),0),0)</f>
        <v>0</v>
      </c>
      <c r="X88" s="10" t="n">
        <f aca="false">IF(OR(U88&lt;0,U88+1=0),1000000000,MIN(IF(AND(MAX(V88+(-1),0)*M88&gt;0,U88*INT(MAX(V88+(-1),0)*M88/M88)+1*INT(MAX(V88+(-1),0)*M88/N88)&gt;=L88),MAX(V88+(-1),0)*M88,1000000000),IF(AND(MAX(V88+(0),0)*M88&gt;0,U88*INT(MAX(V88+(0),0)*M88/M88)+1*INT(MAX(V88+(0),0)*M88/N88)&gt;=L88),MAX(V88+(0),0)*M88,1000000000),IF(AND(MAX(V88+(1),0)*M88&gt;0,U88*INT(MAX(V88+(1),0)*M88/M88)+1*INT(MAX(V88+(1),0)*M88/N88)&gt;=L88),MAX(V88+(1),0)*M88,1000000000),IF(AND(MAX(V88+(2),0)*M88&gt;0,U88*INT(MAX(V88+(2),0)*M88/M88)+1*INT(MAX(V88+(2),0)*M88/N88)&gt;=L88),MAX(V88+(2),0)*M88,1000000000),IF(AND(MAX(W88+(-1),0)*N88&gt;0,U88*INT(MAX(W88+(-1),0)*N88/M88)+1*INT(MAX(W88+(-1),0)*N88/N88)&gt;=L88),MAX(W88+(-1),0)*N88,1000000000),IF(AND(MAX(W88+(0),0)*N88&gt;0,U88*INT(MAX(W88+(0),0)*N88/M88)+1*INT(MAX(W88+(0),0)*N88/N88)&gt;=L88),MAX(W88+(0),0)*N88,1000000000),IF(AND(MAX(W88+(1),0)*N88&gt;0,U88*INT(MAX(W88+(1),0)*N88/M88)+1*INT(MAX(W88+(1),0)*N88/N88)&gt;=L88),MAX(W88+(1),0)*N88,1000000000),IF(AND(MAX(W88+(2),0)*N88&gt;0,U88*INT(MAX(W88+(2),0)*N88/M88)+1*INT(MAX(W88+(2),0)*N88/N88)&gt;=L88),MAX(W88+(2),0)*N88,1000000000)))</f>
        <v>473</v>
      </c>
      <c r="Y88" s="10" t="n">
        <f aca="false">IF(O88-2*M88&gt;=0,INT((O88-2*M88)/N88),-1)</f>
        <v>0</v>
      </c>
      <c r="Z88" s="10" t="n">
        <f aca="false">IF(AND(Y88&gt;=0,Y88+2&gt;0),ROUNDUP(L88/(Y88+2*M88/N88),0),0)</f>
        <v>0</v>
      </c>
      <c r="AA88" s="10" t="n">
        <f aca="false">IF(AND(Y88&gt;=0,Y88+2&gt;0),ROUNDUP(L88/(Y88*N88/M88+2),0),0)</f>
        <v>0</v>
      </c>
      <c r="AB88" s="10" t="n">
        <f aca="false">IF(OR(Y88&lt;0,Y88+2=0),1000000000,MIN(IF(AND(MAX(Z88+(-1),0)*M88&gt;0,Y88*INT(MAX(Z88+(-1),0)*M88/M88)+2*INT(MAX(Z88+(-1),0)*M88/N88)&gt;=L88),MAX(Z88+(-1),0)*M88,1000000000),IF(AND(MAX(Z88+(0),0)*M88&gt;0,Y88*INT(MAX(Z88+(0),0)*M88/M88)+2*INT(MAX(Z88+(0),0)*M88/N88)&gt;=L88),MAX(Z88+(0),0)*M88,1000000000),IF(AND(MAX(Z88+(1),0)*M88&gt;0,Y88*INT(MAX(Z88+(1),0)*M88/M88)+2*INT(MAX(Z88+(1),0)*M88/N88)&gt;=L88),MAX(Z88+(1),0)*M88,1000000000),IF(AND(MAX(Z88+(2),0)*M88&gt;0,Y88*INT(MAX(Z88+(2),0)*M88/M88)+2*INT(MAX(Z88+(2),0)*M88/N88)&gt;=L88),MAX(Z88+(2),0)*M88,1000000000),IF(AND(MAX(AA88+(-1),0)*N88&gt;0,Y88*INT(MAX(AA88+(-1),0)*N88/M88)+2*INT(MAX(AA88+(-1),0)*N88/N88)&gt;=L88),MAX(AA88+(-1),0)*N88,1000000000),IF(AND(MAX(AA88+(0),0)*N88&gt;0,Y88*INT(MAX(AA88+(0),0)*N88/M88)+2*INT(MAX(AA88+(0),0)*N88/N88)&gt;=L88),MAX(AA88+(0),0)*N88,1000000000),IF(AND(MAX(AA88+(1),0)*N88&gt;0,Y88*INT(MAX(AA88+(1),0)*N88/M88)+2*INT(MAX(AA88+(1),0)*N88/N88)&gt;=L88),MAX(AA88+(1),0)*N88,1000000000),IF(AND(MAX(AA88+(2),0)*N88&gt;0,Y88*INT(MAX(AA88+(2),0)*N88/M88)+2*INT(MAX(AA88+(2),0)*N88/N88)&gt;=L88),MAX(AA88+(2),0)*N88,1000000000)))</f>
        <v>473</v>
      </c>
      <c r="AC88" s="42" t="n">
        <f aca="false">IF(L88=0,0,MIN(T88,X88,AB88))</f>
        <v>0</v>
      </c>
      <c r="AD88" s="15" t="n">
        <f aca="false">I88*INDEX(lg_bkg_3464,B88)</f>
        <v>0</v>
      </c>
      <c r="AE88" s="33" t="n">
        <f aca="false">I88*INDEX(lg_bvol_3464,B88)</f>
        <v>0</v>
      </c>
    </row>
    <row r="89" customFormat="false" ht="15" hidden="false" customHeight="false" outlineLevel="0" collapsed="false">
      <c r="A89" s="9" t="n">
        <v>7</v>
      </c>
      <c r="B89" s="9" t="n">
        <v>2</v>
      </c>
      <c r="C89" s="9" t="s">
        <v>16</v>
      </c>
      <c r="D89" s="10" t="n">
        <f aca="false">INDEX(cfg_ct,A89)</f>
        <v>3</v>
      </c>
      <c r="E89" s="10" t="n">
        <f aca="false">INDEX(cfg_n,A89)</f>
        <v>1</v>
      </c>
      <c r="F89" s="15" t="n">
        <f aca="false">INDEX(cfg_u_3463,A89,B89)</f>
        <v>0</v>
      </c>
      <c r="G89" s="15" t="n">
        <f aca="false">F89/E89</f>
        <v>0</v>
      </c>
      <c r="H89" s="10" t="n">
        <f aca="false">INDEX(lg_n_3463,B89)</f>
        <v>50</v>
      </c>
      <c r="I89" s="15" t="n">
        <f aca="false">ROUNDUP(G89/H89,0)</f>
        <v>0</v>
      </c>
      <c r="J89" s="10" t="n">
        <f aca="false">INDEX(lg_layers_3463_40HC,B89)</f>
        <v>32</v>
      </c>
      <c r="K89" s="26" t="n">
        <f aca="false">INDEX(in_use_efficiency,1,B89)</f>
        <v>0.95</v>
      </c>
      <c r="L89" s="10" t="n">
        <f aca="false">IF(I89=0,0,ROUNDUP(I89/(K89*J89)-0.000000001,0))</f>
        <v>0</v>
      </c>
      <c r="M89" s="10" t="n">
        <f aca="false">INDEX(lg_a_3463,B89)</f>
        <v>1040</v>
      </c>
      <c r="N89" s="10" t="n">
        <f aca="false">INDEX(lg_b_3463,B89)</f>
        <v>523</v>
      </c>
      <c r="O89" s="10" t="n">
        <f aca="false">INDEX(lg_Wu_40HC,B89)</f>
        <v>2330</v>
      </c>
      <c r="P89" s="10" t="n">
        <f aca="false">INDEX(lg_Lu_40HC,B89)</f>
        <v>11930</v>
      </c>
      <c r="Q89" s="10" t="n">
        <f aca="false">IF(O89-0*M89&gt;=0,INT((O89-0*M89)/N89),-1)</f>
        <v>4</v>
      </c>
      <c r="R89" s="10" t="n">
        <f aca="false">IF(AND(Q89&gt;=0,Q89+0&gt;0),ROUNDUP(L89/(Q89+0*M89/N89),0),0)</f>
        <v>0</v>
      </c>
      <c r="S89" s="10" t="n">
        <f aca="false">IF(AND(Q89&gt;=0,Q89+0&gt;0),ROUNDUP(L89/(Q89*N89/M89+0),0),0)</f>
        <v>0</v>
      </c>
      <c r="T89" s="10" t="n">
        <f aca="false">IF(OR(Q89&lt;0,Q89+0=0),1000000000,MIN(IF(AND(MAX(R89+(-1),0)*M89&gt;0,Q89*INT(MAX(R89+(-1),0)*M89/M89)+0*INT(MAX(R89+(-1),0)*M89/N89)&gt;=L89),MAX(R89+(-1),0)*M89,1000000000),IF(AND(MAX(R89+(0),0)*M89&gt;0,Q89*INT(MAX(R89+(0),0)*M89/M89)+0*INT(MAX(R89+(0),0)*M89/N89)&gt;=L89),MAX(R89+(0),0)*M89,1000000000),IF(AND(MAX(R89+(1),0)*M89&gt;0,Q89*INT(MAX(R89+(1),0)*M89/M89)+0*INT(MAX(R89+(1),0)*M89/N89)&gt;=L89),MAX(R89+(1),0)*M89,1000000000),IF(AND(MAX(R89+(2),0)*M89&gt;0,Q89*INT(MAX(R89+(2),0)*M89/M89)+0*INT(MAX(R89+(2),0)*M89/N89)&gt;=L89),MAX(R89+(2),0)*M89,1000000000),IF(AND(MAX(S89+(-1),0)*N89&gt;0,Q89*INT(MAX(S89+(-1),0)*N89/M89)+0*INT(MAX(S89+(-1),0)*N89/N89)&gt;=L89),MAX(S89+(-1),0)*N89,1000000000),IF(AND(MAX(S89+(0),0)*N89&gt;0,Q89*INT(MAX(S89+(0),0)*N89/M89)+0*INT(MAX(S89+(0),0)*N89/N89)&gt;=L89),MAX(S89+(0),0)*N89,1000000000),IF(AND(MAX(S89+(1),0)*N89&gt;0,Q89*INT(MAX(S89+(1),0)*N89/M89)+0*INT(MAX(S89+(1),0)*N89/N89)&gt;=L89),MAX(S89+(1),0)*N89,1000000000),IF(AND(MAX(S89+(2),0)*N89&gt;0,Q89*INT(MAX(S89+(2),0)*N89/M89)+0*INT(MAX(S89+(2),0)*N89/N89)&gt;=L89),MAX(S89+(2),0)*N89,1000000000)))</f>
        <v>523</v>
      </c>
      <c r="U89" s="10" t="n">
        <f aca="false">IF(O89-1*M89&gt;=0,INT((O89-1*M89)/N89),-1)</f>
        <v>2</v>
      </c>
      <c r="V89" s="10" t="n">
        <f aca="false">IF(AND(U89&gt;=0,U89+1&gt;0),ROUNDUP(L89/(U89+1*M89/N89),0),0)</f>
        <v>0</v>
      </c>
      <c r="W89" s="10" t="n">
        <f aca="false">IF(AND(U89&gt;=0,U89+1&gt;0),ROUNDUP(L89/(U89*N89/M89+1),0),0)</f>
        <v>0</v>
      </c>
      <c r="X89" s="10" t="n">
        <f aca="false">IF(OR(U89&lt;0,U89+1=0),1000000000,MIN(IF(AND(MAX(V89+(-1),0)*M89&gt;0,U89*INT(MAX(V89+(-1),0)*M89/M89)+1*INT(MAX(V89+(-1),0)*M89/N89)&gt;=L89),MAX(V89+(-1),0)*M89,1000000000),IF(AND(MAX(V89+(0),0)*M89&gt;0,U89*INT(MAX(V89+(0),0)*M89/M89)+1*INT(MAX(V89+(0),0)*M89/N89)&gt;=L89),MAX(V89+(0),0)*M89,1000000000),IF(AND(MAX(V89+(1),0)*M89&gt;0,U89*INT(MAX(V89+(1),0)*M89/M89)+1*INT(MAX(V89+(1),0)*M89/N89)&gt;=L89),MAX(V89+(1),0)*M89,1000000000),IF(AND(MAX(V89+(2),0)*M89&gt;0,U89*INT(MAX(V89+(2),0)*M89/M89)+1*INT(MAX(V89+(2),0)*M89/N89)&gt;=L89),MAX(V89+(2),0)*M89,1000000000),IF(AND(MAX(W89+(-1),0)*N89&gt;0,U89*INT(MAX(W89+(-1),0)*N89/M89)+1*INT(MAX(W89+(-1),0)*N89/N89)&gt;=L89),MAX(W89+(-1),0)*N89,1000000000),IF(AND(MAX(W89+(0),0)*N89&gt;0,U89*INT(MAX(W89+(0),0)*N89/M89)+1*INT(MAX(W89+(0),0)*N89/N89)&gt;=L89),MAX(W89+(0),0)*N89,1000000000),IF(AND(MAX(W89+(1),0)*N89&gt;0,U89*INT(MAX(W89+(1),0)*N89/M89)+1*INT(MAX(W89+(1),0)*N89/N89)&gt;=L89),MAX(W89+(1),0)*N89,1000000000),IF(AND(MAX(W89+(2),0)*N89&gt;0,U89*INT(MAX(W89+(2),0)*N89/M89)+1*INT(MAX(W89+(2),0)*N89/N89)&gt;=L89),MAX(W89+(2),0)*N89,1000000000)))</f>
        <v>523</v>
      </c>
      <c r="Y89" s="10" t="n">
        <f aca="false">IF(O89-2*M89&gt;=0,INT((O89-2*M89)/N89),-1)</f>
        <v>0</v>
      </c>
      <c r="Z89" s="10" t="n">
        <f aca="false">IF(AND(Y89&gt;=0,Y89+2&gt;0),ROUNDUP(L89/(Y89+2*M89/N89),0),0)</f>
        <v>0</v>
      </c>
      <c r="AA89" s="10" t="n">
        <f aca="false">IF(AND(Y89&gt;=0,Y89+2&gt;0),ROUNDUP(L89/(Y89*N89/M89+2),0),0)</f>
        <v>0</v>
      </c>
      <c r="AB89" s="10" t="n">
        <f aca="false">IF(OR(Y89&lt;0,Y89+2=0),1000000000,MIN(IF(AND(MAX(Z89+(-1),0)*M89&gt;0,Y89*INT(MAX(Z89+(-1),0)*M89/M89)+2*INT(MAX(Z89+(-1),0)*M89/N89)&gt;=L89),MAX(Z89+(-1),0)*M89,1000000000),IF(AND(MAX(Z89+(0),0)*M89&gt;0,Y89*INT(MAX(Z89+(0),0)*M89/M89)+2*INT(MAX(Z89+(0),0)*M89/N89)&gt;=L89),MAX(Z89+(0),0)*M89,1000000000),IF(AND(MAX(Z89+(1),0)*M89&gt;0,Y89*INT(MAX(Z89+(1),0)*M89/M89)+2*INT(MAX(Z89+(1),0)*M89/N89)&gt;=L89),MAX(Z89+(1),0)*M89,1000000000),IF(AND(MAX(Z89+(2),0)*M89&gt;0,Y89*INT(MAX(Z89+(2),0)*M89/M89)+2*INT(MAX(Z89+(2),0)*M89/N89)&gt;=L89),MAX(Z89+(2),0)*M89,1000000000),IF(AND(MAX(AA89+(-1),0)*N89&gt;0,Y89*INT(MAX(AA89+(-1),0)*N89/M89)+2*INT(MAX(AA89+(-1),0)*N89/N89)&gt;=L89),MAX(AA89+(-1),0)*N89,1000000000),IF(AND(MAX(AA89+(0),0)*N89&gt;0,Y89*INT(MAX(AA89+(0),0)*N89/M89)+2*INT(MAX(AA89+(0),0)*N89/N89)&gt;=L89),MAX(AA89+(0),0)*N89,1000000000),IF(AND(MAX(AA89+(1),0)*N89&gt;0,Y89*INT(MAX(AA89+(1),0)*N89/M89)+2*INT(MAX(AA89+(1),0)*N89/N89)&gt;=L89),MAX(AA89+(1),0)*N89,1000000000),IF(AND(MAX(AA89+(2),0)*N89&gt;0,Y89*INT(MAX(AA89+(2),0)*N89/M89)+2*INT(MAX(AA89+(2),0)*N89/N89)&gt;=L89),MAX(AA89+(2),0)*N89,1000000000)))</f>
        <v>523</v>
      </c>
      <c r="AC89" s="42" t="n">
        <f aca="false">IF(L89=0,0,MIN(T89,X89,AB89))</f>
        <v>0</v>
      </c>
      <c r="AD89" s="15" t="n">
        <f aca="false">I89*INDEX(lg_bkg_3463,B89)</f>
        <v>0</v>
      </c>
      <c r="AE89" s="33" t="n">
        <f aca="false">I89*INDEX(lg_bvol_3463,B89)</f>
        <v>0</v>
      </c>
    </row>
    <row r="90" customFormat="false" ht="15" hidden="false" customHeight="false" outlineLevel="0" collapsed="false">
      <c r="A90" s="9" t="n">
        <v>7</v>
      </c>
      <c r="B90" s="9" t="n">
        <v>2</v>
      </c>
      <c r="C90" s="9" t="s">
        <v>17</v>
      </c>
      <c r="D90" s="10" t="n">
        <f aca="false">INDEX(cfg_ct,A90)</f>
        <v>3</v>
      </c>
      <c r="E90" s="10" t="n">
        <f aca="false">INDEX(cfg_n,A90)</f>
        <v>1</v>
      </c>
      <c r="F90" s="15" t="n">
        <f aca="false">INDEX(cfg_u_3460,A90,B90)</f>
        <v>106400</v>
      </c>
      <c r="G90" s="15" t="n">
        <f aca="false">F90/E90</f>
        <v>106400</v>
      </c>
      <c r="H90" s="10" t="n">
        <f aca="false">INDEX(lg_n_3460,B90)</f>
        <v>50</v>
      </c>
      <c r="I90" s="15" t="n">
        <f aca="false">ROUNDUP(G90/H90,0)</f>
        <v>2128</v>
      </c>
      <c r="J90" s="10" t="n">
        <f aca="false">INDEX(lg_layers_3460_40HC,B90)</f>
        <v>32</v>
      </c>
      <c r="K90" s="26" t="n">
        <f aca="false">INDEX(in_use_efficiency,1,B90)</f>
        <v>0.95</v>
      </c>
      <c r="L90" s="10" t="n">
        <f aca="false">IF(I90=0,0,ROUNDUP(I90/(K90*J90)-0.000000001,0))</f>
        <v>70</v>
      </c>
      <c r="M90" s="10" t="n">
        <f aca="false">INDEX(lg_a_3460,B90)</f>
        <v>840</v>
      </c>
      <c r="N90" s="10" t="n">
        <f aca="false">INDEX(lg_b_3460,B90)</f>
        <v>423</v>
      </c>
      <c r="O90" s="10" t="n">
        <f aca="false">INDEX(lg_Wu_40HC,B90)</f>
        <v>2330</v>
      </c>
      <c r="P90" s="10" t="n">
        <f aca="false">INDEX(lg_Lu_40HC,B90)</f>
        <v>11930</v>
      </c>
      <c r="Q90" s="10" t="n">
        <f aca="false">IF(O90-0*M90&gt;=0,INT((O90-0*M90)/N90),-1)</f>
        <v>5</v>
      </c>
      <c r="R90" s="10" t="n">
        <f aca="false">IF(AND(Q90&gt;=0,Q90+0&gt;0),ROUNDUP(L90/(Q90+0*M90/N90),0),0)</f>
        <v>14</v>
      </c>
      <c r="S90" s="10" t="n">
        <f aca="false">IF(AND(Q90&gt;=0,Q90+0&gt;0),ROUNDUP(L90/(Q90*N90/M90+0),0),0)</f>
        <v>28</v>
      </c>
      <c r="T90" s="10" t="n">
        <f aca="false">IF(OR(Q90&lt;0,Q90+0=0),1000000000,MIN(IF(AND(MAX(R90+(-1),0)*M90&gt;0,Q90*INT(MAX(R90+(-1),0)*M90/M90)+0*INT(MAX(R90+(-1),0)*M90/N90)&gt;=L90),MAX(R90+(-1),0)*M90,1000000000),IF(AND(MAX(R90+(0),0)*M90&gt;0,Q90*INT(MAX(R90+(0),0)*M90/M90)+0*INT(MAX(R90+(0),0)*M90/N90)&gt;=L90),MAX(R90+(0),0)*M90,1000000000),IF(AND(MAX(R90+(1),0)*M90&gt;0,Q90*INT(MAX(R90+(1),0)*M90/M90)+0*INT(MAX(R90+(1),0)*M90/N90)&gt;=L90),MAX(R90+(1),0)*M90,1000000000),IF(AND(MAX(R90+(2),0)*M90&gt;0,Q90*INT(MAX(R90+(2),0)*M90/M90)+0*INT(MAX(R90+(2),0)*M90/N90)&gt;=L90),MAX(R90+(2),0)*M90,1000000000),IF(AND(MAX(S90+(-1),0)*N90&gt;0,Q90*INT(MAX(S90+(-1),0)*N90/M90)+0*INT(MAX(S90+(-1),0)*N90/N90)&gt;=L90),MAX(S90+(-1),0)*N90,1000000000),IF(AND(MAX(S90+(0),0)*N90&gt;0,Q90*INT(MAX(S90+(0),0)*N90/M90)+0*INT(MAX(S90+(0),0)*N90/N90)&gt;=L90),MAX(S90+(0),0)*N90,1000000000),IF(AND(MAX(S90+(1),0)*N90&gt;0,Q90*INT(MAX(S90+(1),0)*N90/M90)+0*INT(MAX(S90+(1),0)*N90/N90)&gt;=L90),MAX(S90+(1),0)*N90,1000000000),IF(AND(MAX(S90+(2),0)*N90&gt;0,Q90*INT(MAX(S90+(2),0)*N90/M90)+0*INT(MAX(S90+(2),0)*N90/N90)&gt;=L90),MAX(S90+(2),0)*N90,1000000000)))</f>
        <v>11760</v>
      </c>
      <c r="U90" s="10" t="n">
        <f aca="false">IF(O90-1*M90&gt;=0,INT((O90-1*M90)/N90),-1)</f>
        <v>3</v>
      </c>
      <c r="V90" s="10" t="n">
        <f aca="false">IF(AND(U90&gt;=0,U90+1&gt;0),ROUNDUP(L90/(U90+1*M90/N90),0),0)</f>
        <v>15</v>
      </c>
      <c r="W90" s="10" t="n">
        <f aca="false">IF(AND(U90&gt;=0,U90+1&gt;0),ROUNDUP(L90/(U90*N90/M90+1),0),0)</f>
        <v>28</v>
      </c>
      <c r="X90" s="10" t="n">
        <f aca="false">IF(OR(U90&lt;0,U90+1=0),1000000000,MIN(IF(AND(MAX(V90+(-1),0)*M90&gt;0,U90*INT(MAX(V90+(-1),0)*M90/M90)+1*INT(MAX(V90+(-1),0)*M90/N90)&gt;=L90),MAX(V90+(-1),0)*M90,1000000000),IF(AND(MAX(V90+(0),0)*M90&gt;0,U90*INT(MAX(V90+(0),0)*M90/M90)+1*INT(MAX(V90+(0),0)*M90/N90)&gt;=L90),MAX(V90+(0),0)*M90,1000000000),IF(AND(MAX(V90+(1),0)*M90&gt;0,U90*INT(MAX(V90+(1),0)*M90/M90)+1*INT(MAX(V90+(1),0)*M90/N90)&gt;=L90),MAX(V90+(1),0)*M90,1000000000),IF(AND(MAX(V90+(2),0)*M90&gt;0,U90*INT(MAX(V90+(2),0)*M90/M90)+1*INT(MAX(V90+(2),0)*M90/N90)&gt;=L90),MAX(V90+(2),0)*M90,1000000000),IF(AND(MAX(W90+(-1),0)*N90&gt;0,U90*INT(MAX(W90+(-1),0)*N90/M90)+1*INT(MAX(W90+(-1),0)*N90/N90)&gt;=L90),MAX(W90+(-1),0)*N90,1000000000),IF(AND(MAX(W90+(0),0)*N90&gt;0,U90*INT(MAX(W90+(0),0)*N90/M90)+1*INT(MAX(W90+(0),0)*N90/N90)&gt;=L90),MAX(W90+(0),0)*N90,1000000000),IF(AND(MAX(W90+(1),0)*N90&gt;0,U90*INT(MAX(W90+(1),0)*N90/M90)+1*INT(MAX(W90+(1),0)*N90/N90)&gt;=L90),MAX(W90+(1),0)*N90,1000000000),IF(AND(MAX(W90+(2),0)*N90&gt;0,U90*INT(MAX(W90+(2),0)*N90/M90)+1*INT(MAX(W90+(2),0)*N90/N90)&gt;=L90),MAX(W90+(2),0)*N90,1000000000)))</f>
        <v>11844</v>
      </c>
      <c r="Y90" s="10" t="n">
        <f aca="false">IF(O90-2*M90&gt;=0,INT((O90-2*M90)/N90),-1)</f>
        <v>1</v>
      </c>
      <c r="Z90" s="10" t="n">
        <f aca="false">IF(AND(Y90&gt;=0,Y90+2&gt;0),ROUNDUP(L90/(Y90+2*M90/N90),0),0)</f>
        <v>15</v>
      </c>
      <c r="AA90" s="10" t="n">
        <f aca="false">IF(AND(Y90&gt;=0,Y90+2&gt;0),ROUNDUP(L90/(Y90*N90/M90+2),0),0)</f>
        <v>28</v>
      </c>
      <c r="AB90" s="10" t="n">
        <f aca="false">IF(OR(Y90&lt;0,Y90+2=0),1000000000,MIN(IF(AND(MAX(Z90+(-1),0)*M90&gt;0,Y90*INT(MAX(Z90+(-1),0)*M90/M90)+2*INT(MAX(Z90+(-1),0)*M90/N90)&gt;=L90),MAX(Z90+(-1),0)*M90,1000000000),IF(AND(MAX(Z90+(0),0)*M90&gt;0,Y90*INT(MAX(Z90+(0),0)*M90/M90)+2*INT(MAX(Z90+(0),0)*M90/N90)&gt;=L90),MAX(Z90+(0),0)*M90,1000000000),IF(AND(MAX(Z90+(1),0)*M90&gt;0,Y90*INT(MAX(Z90+(1),0)*M90/M90)+2*INT(MAX(Z90+(1),0)*M90/N90)&gt;=L90),MAX(Z90+(1),0)*M90,1000000000),IF(AND(MAX(Z90+(2),0)*M90&gt;0,Y90*INT(MAX(Z90+(2),0)*M90/M90)+2*INT(MAX(Z90+(2),0)*M90/N90)&gt;=L90),MAX(Z90+(2),0)*M90,1000000000),IF(AND(MAX(AA90+(-1),0)*N90&gt;0,Y90*INT(MAX(AA90+(-1),0)*N90/M90)+2*INT(MAX(AA90+(-1),0)*N90/N90)&gt;=L90),MAX(AA90+(-1),0)*N90,1000000000),IF(AND(MAX(AA90+(0),0)*N90&gt;0,Y90*INT(MAX(AA90+(0),0)*N90/M90)+2*INT(MAX(AA90+(0),0)*N90/N90)&gt;=L90),MAX(AA90+(0),0)*N90,1000000000),IF(AND(MAX(AA90+(1),0)*N90&gt;0,Y90*INT(MAX(AA90+(1),0)*N90/M90)+2*INT(MAX(AA90+(1),0)*N90/N90)&gt;=L90),MAX(AA90+(1),0)*N90,1000000000),IF(AND(MAX(AA90+(2),0)*N90&gt;0,Y90*INT(MAX(AA90+(2),0)*N90/M90)+2*INT(MAX(AA90+(2),0)*N90/N90)&gt;=L90),MAX(AA90+(2),0)*N90,1000000000)))</f>
        <v>11844</v>
      </c>
      <c r="AC90" s="42" t="n">
        <f aca="false">IF(L90=0,0,MIN(T90,X90,AB90))</f>
        <v>11760</v>
      </c>
      <c r="AD90" s="15" t="n">
        <f aca="false">I90*INDEX(lg_bkg_3460,B90)</f>
        <v>14562.4564288</v>
      </c>
      <c r="AE90" s="33" t="n">
        <f aca="false">I90*INDEX(lg_bvol_3460,B90)</f>
        <v>60.4896768</v>
      </c>
    </row>
    <row r="91" customFormat="false" ht="15" hidden="false" customHeight="false" outlineLevel="0" collapsed="false">
      <c r="A91" s="9" t="n">
        <v>7</v>
      </c>
      <c r="B91" s="9" t="n">
        <v>3</v>
      </c>
      <c r="C91" s="9" t="s">
        <v>15</v>
      </c>
      <c r="D91" s="10" t="n">
        <f aca="false">INDEX(cfg_ct,A91)</f>
        <v>3</v>
      </c>
      <c r="E91" s="10" t="n">
        <f aca="false">INDEX(cfg_n,A91)</f>
        <v>1</v>
      </c>
      <c r="F91" s="15" t="n">
        <f aca="false">INDEX(cfg_u_3464,A91,B91)</f>
        <v>0</v>
      </c>
      <c r="G91" s="15" t="n">
        <f aca="false">F91/E91</f>
        <v>0</v>
      </c>
      <c r="H91" s="10" t="n">
        <f aca="false">INDEX(lg_n_3464,B91)</f>
        <v>50</v>
      </c>
      <c r="I91" s="15" t="n">
        <f aca="false">ROUNDUP(G91/H91,0)</f>
        <v>0</v>
      </c>
      <c r="J91" s="10" t="n">
        <f aca="false">INDEX(lg_layers_3464_40HC,B91)</f>
        <v>28</v>
      </c>
      <c r="K91" s="26" t="n">
        <f aca="false">INDEX(in_use_efficiency,1,B91)</f>
        <v>0.9</v>
      </c>
      <c r="L91" s="10" t="n">
        <f aca="false">IF(I91=0,0,ROUNDUP(I91/(K91*J91)-0.000000001,0))</f>
        <v>0</v>
      </c>
      <c r="M91" s="10" t="n">
        <f aca="false">INDEX(lg_a_3464,B91)</f>
        <v>940</v>
      </c>
      <c r="N91" s="10" t="n">
        <f aca="false">INDEX(lg_b_3464,B91)</f>
        <v>473</v>
      </c>
      <c r="O91" s="10" t="n">
        <f aca="false">INDEX(lg_Wu_40HC,B91)</f>
        <v>2330</v>
      </c>
      <c r="P91" s="10" t="n">
        <f aca="false">INDEX(lg_Lu_40HC,B91)</f>
        <v>11930</v>
      </c>
      <c r="Q91" s="10" t="n">
        <f aca="false">IF(O91-0*M91&gt;=0,INT((O91-0*M91)/N91),-1)</f>
        <v>4</v>
      </c>
      <c r="R91" s="10" t="n">
        <f aca="false">IF(AND(Q91&gt;=0,Q91+0&gt;0),ROUNDUP(L91/(Q91+0*M91/N91),0),0)</f>
        <v>0</v>
      </c>
      <c r="S91" s="10" t="n">
        <f aca="false">IF(AND(Q91&gt;=0,Q91+0&gt;0),ROUNDUP(L91/(Q91*N91/M91+0),0),0)</f>
        <v>0</v>
      </c>
      <c r="T91" s="10" t="n">
        <f aca="false">IF(OR(Q91&lt;0,Q91+0=0),1000000000,MIN(IF(AND(MAX(R91+(-1),0)*M91&gt;0,Q91*INT(MAX(R91+(-1),0)*M91/M91)+0*INT(MAX(R91+(-1),0)*M91/N91)&gt;=L91),MAX(R91+(-1),0)*M91,1000000000),IF(AND(MAX(R91+(0),0)*M91&gt;0,Q91*INT(MAX(R91+(0),0)*M91/M91)+0*INT(MAX(R91+(0),0)*M91/N91)&gt;=L91),MAX(R91+(0),0)*M91,1000000000),IF(AND(MAX(R91+(1),0)*M91&gt;0,Q91*INT(MAX(R91+(1),0)*M91/M91)+0*INT(MAX(R91+(1),0)*M91/N91)&gt;=L91),MAX(R91+(1),0)*M91,1000000000),IF(AND(MAX(R91+(2),0)*M91&gt;0,Q91*INT(MAX(R91+(2),0)*M91/M91)+0*INT(MAX(R91+(2),0)*M91/N91)&gt;=L91),MAX(R91+(2),0)*M91,1000000000),IF(AND(MAX(S91+(-1),0)*N91&gt;0,Q91*INT(MAX(S91+(-1),0)*N91/M91)+0*INT(MAX(S91+(-1),0)*N91/N91)&gt;=L91),MAX(S91+(-1),0)*N91,1000000000),IF(AND(MAX(S91+(0),0)*N91&gt;0,Q91*INT(MAX(S91+(0),0)*N91/M91)+0*INT(MAX(S91+(0),0)*N91/N91)&gt;=L91),MAX(S91+(0),0)*N91,1000000000),IF(AND(MAX(S91+(1),0)*N91&gt;0,Q91*INT(MAX(S91+(1),0)*N91/M91)+0*INT(MAX(S91+(1),0)*N91/N91)&gt;=L91),MAX(S91+(1),0)*N91,1000000000),IF(AND(MAX(S91+(2),0)*N91&gt;0,Q91*INT(MAX(S91+(2),0)*N91/M91)+0*INT(MAX(S91+(2),0)*N91/N91)&gt;=L91),MAX(S91+(2),0)*N91,1000000000)))</f>
        <v>473</v>
      </c>
      <c r="U91" s="10" t="n">
        <f aca="false">IF(O91-1*M91&gt;=0,INT((O91-1*M91)/N91),-1)</f>
        <v>2</v>
      </c>
      <c r="V91" s="10" t="n">
        <f aca="false">IF(AND(U91&gt;=0,U91+1&gt;0),ROUNDUP(L91/(U91+1*M91/N91),0),0)</f>
        <v>0</v>
      </c>
      <c r="W91" s="10" t="n">
        <f aca="false">IF(AND(U91&gt;=0,U91+1&gt;0),ROUNDUP(L91/(U91*N91/M91+1),0),0)</f>
        <v>0</v>
      </c>
      <c r="X91" s="10" t="n">
        <f aca="false">IF(OR(U91&lt;0,U91+1=0),1000000000,MIN(IF(AND(MAX(V91+(-1),0)*M91&gt;0,U91*INT(MAX(V91+(-1),0)*M91/M91)+1*INT(MAX(V91+(-1),0)*M91/N91)&gt;=L91),MAX(V91+(-1),0)*M91,1000000000),IF(AND(MAX(V91+(0),0)*M91&gt;0,U91*INT(MAX(V91+(0),0)*M91/M91)+1*INT(MAX(V91+(0),0)*M91/N91)&gt;=L91),MAX(V91+(0),0)*M91,1000000000),IF(AND(MAX(V91+(1),0)*M91&gt;0,U91*INT(MAX(V91+(1),0)*M91/M91)+1*INT(MAX(V91+(1),0)*M91/N91)&gt;=L91),MAX(V91+(1),0)*M91,1000000000),IF(AND(MAX(V91+(2),0)*M91&gt;0,U91*INT(MAX(V91+(2),0)*M91/M91)+1*INT(MAX(V91+(2),0)*M91/N91)&gt;=L91),MAX(V91+(2),0)*M91,1000000000),IF(AND(MAX(W91+(-1),0)*N91&gt;0,U91*INT(MAX(W91+(-1),0)*N91/M91)+1*INT(MAX(W91+(-1),0)*N91/N91)&gt;=L91),MAX(W91+(-1),0)*N91,1000000000),IF(AND(MAX(W91+(0),0)*N91&gt;0,U91*INT(MAX(W91+(0),0)*N91/M91)+1*INT(MAX(W91+(0),0)*N91/N91)&gt;=L91),MAX(W91+(0),0)*N91,1000000000),IF(AND(MAX(W91+(1),0)*N91&gt;0,U91*INT(MAX(W91+(1),0)*N91/M91)+1*INT(MAX(W91+(1),0)*N91/N91)&gt;=L91),MAX(W91+(1),0)*N91,1000000000),IF(AND(MAX(W91+(2),0)*N91&gt;0,U91*INT(MAX(W91+(2),0)*N91/M91)+1*INT(MAX(W91+(2),0)*N91/N91)&gt;=L91),MAX(W91+(2),0)*N91,1000000000)))</f>
        <v>473</v>
      </c>
      <c r="Y91" s="10" t="n">
        <f aca="false">IF(O91-2*M91&gt;=0,INT((O91-2*M91)/N91),-1)</f>
        <v>0</v>
      </c>
      <c r="Z91" s="10" t="n">
        <f aca="false">IF(AND(Y91&gt;=0,Y91+2&gt;0),ROUNDUP(L91/(Y91+2*M91/N91),0),0)</f>
        <v>0</v>
      </c>
      <c r="AA91" s="10" t="n">
        <f aca="false">IF(AND(Y91&gt;=0,Y91+2&gt;0),ROUNDUP(L91/(Y91*N91/M91+2),0),0)</f>
        <v>0</v>
      </c>
      <c r="AB91" s="10" t="n">
        <f aca="false">IF(OR(Y91&lt;0,Y91+2=0),1000000000,MIN(IF(AND(MAX(Z91+(-1),0)*M91&gt;0,Y91*INT(MAX(Z91+(-1),0)*M91/M91)+2*INT(MAX(Z91+(-1),0)*M91/N91)&gt;=L91),MAX(Z91+(-1),0)*M91,1000000000),IF(AND(MAX(Z91+(0),0)*M91&gt;0,Y91*INT(MAX(Z91+(0),0)*M91/M91)+2*INT(MAX(Z91+(0),0)*M91/N91)&gt;=L91),MAX(Z91+(0),0)*M91,1000000000),IF(AND(MAX(Z91+(1),0)*M91&gt;0,Y91*INT(MAX(Z91+(1),0)*M91/M91)+2*INT(MAX(Z91+(1),0)*M91/N91)&gt;=L91),MAX(Z91+(1),0)*M91,1000000000),IF(AND(MAX(Z91+(2),0)*M91&gt;0,Y91*INT(MAX(Z91+(2),0)*M91/M91)+2*INT(MAX(Z91+(2),0)*M91/N91)&gt;=L91),MAX(Z91+(2),0)*M91,1000000000),IF(AND(MAX(AA91+(-1),0)*N91&gt;0,Y91*INT(MAX(AA91+(-1),0)*N91/M91)+2*INT(MAX(AA91+(-1),0)*N91/N91)&gt;=L91),MAX(AA91+(-1),0)*N91,1000000000),IF(AND(MAX(AA91+(0),0)*N91&gt;0,Y91*INT(MAX(AA91+(0),0)*N91/M91)+2*INT(MAX(AA91+(0),0)*N91/N91)&gt;=L91),MAX(AA91+(0),0)*N91,1000000000),IF(AND(MAX(AA91+(1),0)*N91&gt;0,Y91*INT(MAX(AA91+(1),0)*N91/M91)+2*INT(MAX(AA91+(1),0)*N91/N91)&gt;=L91),MAX(AA91+(1),0)*N91,1000000000),IF(AND(MAX(AA91+(2),0)*N91&gt;0,Y91*INT(MAX(AA91+(2),0)*N91/M91)+2*INT(MAX(AA91+(2),0)*N91/N91)&gt;=L91),MAX(AA91+(2),0)*N91,1000000000)))</f>
        <v>473</v>
      </c>
      <c r="AC91" s="42" t="n">
        <f aca="false">IF(L91=0,0,MIN(T91,X91,AB91))</f>
        <v>0</v>
      </c>
      <c r="AD91" s="15" t="n">
        <f aca="false">I91*INDEX(lg_bkg_3464,B91)</f>
        <v>0</v>
      </c>
      <c r="AE91" s="33" t="n">
        <f aca="false">I91*INDEX(lg_bvol_3464,B91)</f>
        <v>0</v>
      </c>
    </row>
    <row r="92" customFormat="false" ht="15" hidden="false" customHeight="false" outlineLevel="0" collapsed="false">
      <c r="A92" s="9" t="n">
        <v>7</v>
      </c>
      <c r="B92" s="9" t="n">
        <v>3</v>
      </c>
      <c r="C92" s="9" t="s">
        <v>16</v>
      </c>
      <c r="D92" s="10" t="n">
        <f aca="false">INDEX(cfg_ct,A92)</f>
        <v>3</v>
      </c>
      <c r="E92" s="10" t="n">
        <f aca="false">INDEX(cfg_n,A92)</f>
        <v>1</v>
      </c>
      <c r="F92" s="15" t="n">
        <f aca="false">INDEX(cfg_u_3463,A92,B92)</f>
        <v>0</v>
      </c>
      <c r="G92" s="15" t="n">
        <f aca="false">F92/E92</f>
        <v>0</v>
      </c>
      <c r="H92" s="10" t="n">
        <f aca="false">INDEX(lg_n_3463,B92)</f>
        <v>50</v>
      </c>
      <c r="I92" s="15" t="n">
        <f aca="false">ROUNDUP(G92/H92,0)</f>
        <v>0</v>
      </c>
      <c r="J92" s="10" t="n">
        <f aca="false">INDEX(lg_layers_3463_40HC,B92)</f>
        <v>28</v>
      </c>
      <c r="K92" s="26" t="n">
        <f aca="false">INDEX(in_use_efficiency,1,B92)</f>
        <v>0.9</v>
      </c>
      <c r="L92" s="10" t="n">
        <f aca="false">IF(I92=0,0,ROUNDUP(I92/(K92*J92)-0.000000001,0))</f>
        <v>0</v>
      </c>
      <c r="M92" s="10" t="n">
        <f aca="false">INDEX(lg_a_3463,B92)</f>
        <v>1040</v>
      </c>
      <c r="N92" s="10" t="n">
        <f aca="false">INDEX(lg_b_3463,B92)</f>
        <v>523</v>
      </c>
      <c r="O92" s="10" t="n">
        <f aca="false">INDEX(lg_Wu_40HC,B92)</f>
        <v>2330</v>
      </c>
      <c r="P92" s="10" t="n">
        <f aca="false">INDEX(lg_Lu_40HC,B92)</f>
        <v>11930</v>
      </c>
      <c r="Q92" s="10" t="n">
        <f aca="false">IF(O92-0*M92&gt;=0,INT((O92-0*M92)/N92),-1)</f>
        <v>4</v>
      </c>
      <c r="R92" s="10" t="n">
        <f aca="false">IF(AND(Q92&gt;=0,Q92+0&gt;0),ROUNDUP(L92/(Q92+0*M92/N92),0),0)</f>
        <v>0</v>
      </c>
      <c r="S92" s="10" t="n">
        <f aca="false">IF(AND(Q92&gt;=0,Q92+0&gt;0),ROUNDUP(L92/(Q92*N92/M92+0),0),0)</f>
        <v>0</v>
      </c>
      <c r="T92" s="10" t="n">
        <f aca="false">IF(OR(Q92&lt;0,Q92+0=0),1000000000,MIN(IF(AND(MAX(R92+(-1),0)*M92&gt;0,Q92*INT(MAX(R92+(-1),0)*M92/M92)+0*INT(MAX(R92+(-1),0)*M92/N92)&gt;=L92),MAX(R92+(-1),0)*M92,1000000000),IF(AND(MAX(R92+(0),0)*M92&gt;0,Q92*INT(MAX(R92+(0),0)*M92/M92)+0*INT(MAX(R92+(0),0)*M92/N92)&gt;=L92),MAX(R92+(0),0)*M92,1000000000),IF(AND(MAX(R92+(1),0)*M92&gt;0,Q92*INT(MAX(R92+(1),0)*M92/M92)+0*INT(MAX(R92+(1),0)*M92/N92)&gt;=L92),MAX(R92+(1),0)*M92,1000000000),IF(AND(MAX(R92+(2),0)*M92&gt;0,Q92*INT(MAX(R92+(2),0)*M92/M92)+0*INT(MAX(R92+(2),0)*M92/N92)&gt;=L92),MAX(R92+(2),0)*M92,1000000000),IF(AND(MAX(S92+(-1),0)*N92&gt;0,Q92*INT(MAX(S92+(-1),0)*N92/M92)+0*INT(MAX(S92+(-1),0)*N92/N92)&gt;=L92),MAX(S92+(-1),0)*N92,1000000000),IF(AND(MAX(S92+(0),0)*N92&gt;0,Q92*INT(MAX(S92+(0),0)*N92/M92)+0*INT(MAX(S92+(0),0)*N92/N92)&gt;=L92),MAX(S92+(0),0)*N92,1000000000),IF(AND(MAX(S92+(1),0)*N92&gt;0,Q92*INT(MAX(S92+(1),0)*N92/M92)+0*INT(MAX(S92+(1),0)*N92/N92)&gt;=L92),MAX(S92+(1),0)*N92,1000000000),IF(AND(MAX(S92+(2),0)*N92&gt;0,Q92*INT(MAX(S92+(2),0)*N92/M92)+0*INT(MAX(S92+(2),0)*N92/N92)&gt;=L92),MAX(S92+(2),0)*N92,1000000000)))</f>
        <v>523</v>
      </c>
      <c r="U92" s="10" t="n">
        <f aca="false">IF(O92-1*M92&gt;=0,INT((O92-1*M92)/N92),-1)</f>
        <v>2</v>
      </c>
      <c r="V92" s="10" t="n">
        <f aca="false">IF(AND(U92&gt;=0,U92+1&gt;0),ROUNDUP(L92/(U92+1*M92/N92),0),0)</f>
        <v>0</v>
      </c>
      <c r="W92" s="10" t="n">
        <f aca="false">IF(AND(U92&gt;=0,U92+1&gt;0),ROUNDUP(L92/(U92*N92/M92+1),0),0)</f>
        <v>0</v>
      </c>
      <c r="X92" s="10" t="n">
        <f aca="false">IF(OR(U92&lt;0,U92+1=0),1000000000,MIN(IF(AND(MAX(V92+(-1),0)*M92&gt;0,U92*INT(MAX(V92+(-1),0)*M92/M92)+1*INT(MAX(V92+(-1),0)*M92/N92)&gt;=L92),MAX(V92+(-1),0)*M92,1000000000),IF(AND(MAX(V92+(0),0)*M92&gt;0,U92*INT(MAX(V92+(0),0)*M92/M92)+1*INT(MAX(V92+(0),0)*M92/N92)&gt;=L92),MAX(V92+(0),0)*M92,1000000000),IF(AND(MAX(V92+(1),0)*M92&gt;0,U92*INT(MAX(V92+(1),0)*M92/M92)+1*INT(MAX(V92+(1),0)*M92/N92)&gt;=L92),MAX(V92+(1),0)*M92,1000000000),IF(AND(MAX(V92+(2),0)*M92&gt;0,U92*INT(MAX(V92+(2),0)*M92/M92)+1*INT(MAX(V92+(2),0)*M92/N92)&gt;=L92),MAX(V92+(2),0)*M92,1000000000),IF(AND(MAX(W92+(-1),0)*N92&gt;0,U92*INT(MAX(W92+(-1),0)*N92/M92)+1*INT(MAX(W92+(-1),0)*N92/N92)&gt;=L92),MAX(W92+(-1),0)*N92,1000000000),IF(AND(MAX(W92+(0),0)*N92&gt;0,U92*INT(MAX(W92+(0),0)*N92/M92)+1*INT(MAX(W92+(0),0)*N92/N92)&gt;=L92),MAX(W92+(0),0)*N92,1000000000),IF(AND(MAX(W92+(1),0)*N92&gt;0,U92*INT(MAX(W92+(1),0)*N92/M92)+1*INT(MAX(W92+(1),0)*N92/N92)&gt;=L92),MAX(W92+(1),0)*N92,1000000000),IF(AND(MAX(W92+(2),0)*N92&gt;0,U92*INT(MAX(W92+(2),0)*N92/M92)+1*INT(MAX(W92+(2),0)*N92/N92)&gt;=L92),MAX(W92+(2),0)*N92,1000000000)))</f>
        <v>523</v>
      </c>
      <c r="Y92" s="10" t="n">
        <f aca="false">IF(O92-2*M92&gt;=0,INT((O92-2*M92)/N92),-1)</f>
        <v>0</v>
      </c>
      <c r="Z92" s="10" t="n">
        <f aca="false">IF(AND(Y92&gt;=0,Y92+2&gt;0),ROUNDUP(L92/(Y92+2*M92/N92),0),0)</f>
        <v>0</v>
      </c>
      <c r="AA92" s="10" t="n">
        <f aca="false">IF(AND(Y92&gt;=0,Y92+2&gt;0),ROUNDUP(L92/(Y92*N92/M92+2),0),0)</f>
        <v>0</v>
      </c>
      <c r="AB92" s="10" t="n">
        <f aca="false">IF(OR(Y92&lt;0,Y92+2=0),1000000000,MIN(IF(AND(MAX(Z92+(-1),0)*M92&gt;0,Y92*INT(MAX(Z92+(-1),0)*M92/M92)+2*INT(MAX(Z92+(-1),0)*M92/N92)&gt;=L92),MAX(Z92+(-1),0)*M92,1000000000),IF(AND(MAX(Z92+(0),0)*M92&gt;0,Y92*INT(MAX(Z92+(0),0)*M92/M92)+2*INT(MAX(Z92+(0),0)*M92/N92)&gt;=L92),MAX(Z92+(0),0)*M92,1000000000),IF(AND(MAX(Z92+(1),0)*M92&gt;0,Y92*INT(MAX(Z92+(1),0)*M92/M92)+2*INT(MAX(Z92+(1),0)*M92/N92)&gt;=L92),MAX(Z92+(1),0)*M92,1000000000),IF(AND(MAX(Z92+(2),0)*M92&gt;0,Y92*INT(MAX(Z92+(2),0)*M92/M92)+2*INT(MAX(Z92+(2),0)*M92/N92)&gt;=L92),MAX(Z92+(2),0)*M92,1000000000),IF(AND(MAX(AA92+(-1),0)*N92&gt;0,Y92*INT(MAX(AA92+(-1),0)*N92/M92)+2*INT(MAX(AA92+(-1),0)*N92/N92)&gt;=L92),MAX(AA92+(-1),0)*N92,1000000000),IF(AND(MAX(AA92+(0),0)*N92&gt;0,Y92*INT(MAX(AA92+(0),0)*N92/M92)+2*INT(MAX(AA92+(0),0)*N92/N92)&gt;=L92),MAX(AA92+(0),0)*N92,1000000000),IF(AND(MAX(AA92+(1),0)*N92&gt;0,Y92*INT(MAX(AA92+(1),0)*N92/M92)+2*INT(MAX(AA92+(1),0)*N92/N92)&gt;=L92),MAX(AA92+(1),0)*N92,1000000000),IF(AND(MAX(AA92+(2),0)*N92&gt;0,Y92*INT(MAX(AA92+(2),0)*N92/M92)+2*INT(MAX(AA92+(2),0)*N92/N92)&gt;=L92),MAX(AA92+(2),0)*N92,1000000000)))</f>
        <v>523</v>
      </c>
      <c r="AC92" s="42" t="n">
        <f aca="false">IF(L92=0,0,MIN(T92,X92,AB92))</f>
        <v>0</v>
      </c>
      <c r="AD92" s="15" t="n">
        <f aca="false">I92*INDEX(lg_bkg_3463,B92)</f>
        <v>0</v>
      </c>
      <c r="AE92" s="33" t="n">
        <f aca="false">I92*INDEX(lg_bvol_3463,B92)</f>
        <v>0</v>
      </c>
    </row>
    <row r="93" customFormat="false" ht="15" hidden="false" customHeight="false" outlineLevel="0" collapsed="false">
      <c r="A93" s="9" t="n">
        <v>7</v>
      </c>
      <c r="B93" s="9" t="n">
        <v>3</v>
      </c>
      <c r="C93" s="9" t="s">
        <v>17</v>
      </c>
      <c r="D93" s="10" t="n">
        <f aca="false">INDEX(cfg_ct,A93)</f>
        <v>3</v>
      </c>
      <c r="E93" s="10" t="n">
        <f aca="false">INDEX(cfg_n,A93)</f>
        <v>1</v>
      </c>
      <c r="F93" s="15" t="n">
        <f aca="false">INDEX(cfg_u_3460,A93,B93)</f>
        <v>88200</v>
      </c>
      <c r="G93" s="15" t="n">
        <f aca="false">F93/E93</f>
        <v>88200</v>
      </c>
      <c r="H93" s="10" t="n">
        <f aca="false">INDEX(lg_n_3460,B93)</f>
        <v>50</v>
      </c>
      <c r="I93" s="15" t="n">
        <f aca="false">ROUNDUP(G93/H93,0)</f>
        <v>1764</v>
      </c>
      <c r="J93" s="10" t="n">
        <f aca="false">INDEX(lg_layers_3460_40HC,B93)</f>
        <v>28</v>
      </c>
      <c r="K93" s="26" t="n">
        <f aca="false">INDEX(in_use_efficiency,1,B93)</f>
        <v>0.9</v>
      </c>
      <c r="L93" s="10" t="n">
        <f aca="false">IF(I93=0,0,ROUNDUP(I93/(K93*J93)-0.000000001,0))</f>
        <v>70</v>
      </c>
      <c r="M93" s="10" t="n">
        <f aca="false">INDEX(lg_a_3460,B93)</f>
        <v>840</v>
      </c>
      <c r="N93" s="10" t="n">
        <f aca="false">INDEX(lg_b_3460,B93)</f>
        <v>423</v>
      </c>
      <c r="O93" s="10" t="n">
        <f aca="false">INDEX(lg_Wu_40HC,B93)</f>
        <v>2330</v>
      </c>
      <c r="P93" s="10" t="n">
        <f aca="false">INDEX(lg_Lu_40HC,B93)</f>
        <v>11930</v>
      </c>
      <c r="Q93" s="10" t="n">
        <f aca="false">IF(O93-0*M93&gt;=0,INT((O93-0*M93)/N93),-1)</f>
        <v>5</v>
      </c>
      <c r="R93" s="10" t="n">
        <f aca="false">IF(AND(Q93&gt;=0,Q93+0&gt;0),ROUNDUP(L93/(Q93+0*M93/N93),0),0)</f>
        <v>14</v>
      </c>
      <c r="S93" s="10" t="n">
        <f aca="false">IF(AND(Q93&gt;=0,Q93+0&gt;0),ROUNDUP(L93/(Q93*N93/M93+0),0),0)</f>
        <v>28</v>
      </c>
      <c r="T93" s="10" t="n">
        <f aca="false">IF(OR(Q93&lt;0,Q93+0=0),1000000000,MIN(IF(AND(MAX(R93+(-1),0)*M93&gt;0,Q93*INT(MAX(R93+(-1),0)*M93/M93)+0*INT(MAX(R93+(-1),0)*M93/N93)&gt;=L93),MAX(R93+(-1),0)*M93,1000000000),IF(AND(MAX(R93+(0),0)*M93&gt;0,Q93*INT(MAX(R93+(0),0)*M93/M93)+0*INT(MAX(R93+(0),0)*M93/N93)&gt;=L93),MAX(R93+(0),0)*M93,1000000000),IF(AND(MAX(R93+(1),0)*M93&gt;0,Q93*INT(MAX(R93+(1),0)*M93/M93)+0*INT(MAX(R93+(1),0)*M93/N93)&gt;=L93),MAX(R93+(1),0)*M93,1000000000),IF(AND(MAX(R93+(2),0)*M93&gt;0,Q93*INT(MAX(R93+(2),0)*M93/M93)+0*INT(MAX(R93+(2),0)*M93/N93)&gt;=L93),MAX(R93+(2),0)*M93,1000000000),IF(AND(MAX(S93+(-1),0)*N93&gt;0,Q93*INT(MAX(S93+(-1),0)*N93/M93)+0*INT(MAX(S93+(-1),0)*N93/N93)&gt;=L93),MAX(S93+(-1),0)*N93,1000000000),IF(AND(MAX(S93+(0),0)*N93&gt;0,Q93*INT(MAX(S93+(0),0)*N93/M93)+0*INT(MAX(S93+(0),0)*N93/N93)&gt;=L93),MAX(S93+(0),0)*N93,1000000000),IF(AND(MAX(S93+(1),0)*N93&gt;0,Q93*INT(MAX(S93+(1),0)*N93/M93)+0*INT(MAX(S93+(1),0)*N93/N93)&gt;=L93),MAX(S93+(1),0)*N93,1000000000),IF(AND(MAX(S93+(2),0)*N93&gt;0,Q93*INT(MAX(S93+(2),0)*N93/M93)+0*INT(MAX(S93+(2),0)*N93/N93)&gt;=L93),MAX(S93+(2),0)*N93,1000000000)))</f>
        <v>11760</v>
      </c>
      <c r="U93" s="10" t="n">
        <f aca="false">IF(O93-1*M93&gt;=0,INT((O93-1*M93)/N93),-1)</f>
        <v>3</v>
      </c>
      <c r="V93" s="10" t="n">
        <f aca="false">IF(AND(U93&gt;=0,U93+1&gt;0),ROUNDUP(L93/(U93+1*M93/N93),0),0)</f>
        <v>15</v>
      </c>
      <c r="W93" s="10" t="n">
        <f aca="false">IF(AND(U93&gt;=0,U93+1&gt;0),ROUNDUP(L93/(U93*N93/M93+1),0),0)</f>
        <v>28</v>
      </c>
      <c r="X93" s="10" t="n">
        <f aca="false">IF(OR(U93&lt;0,U93+1=0),1000000000,MIN(IF(AND(MAX(V93+(-1),0)*M93&gt;0,U93*INT(MAX(V93+(-1),0)*M93/M93)+1*INT(MAX(V93+(-1),0)*M93/N93)&gt;=L93),MAX(V93+(-1),0)*M93,1000000000),IF(AND(MAX(V93+(0),0)*M93&gt;0,U93*INT(MAX(V93+(0),0)*M93/M93)+1*INT(MAX(V93+(0),0)*M93/N93)&gt;=L93),MAX(V93+(0),0)*M93,1000000000),IF(AND(MAX(V93+(1),0)*M93&gt;0,U93*INT(MAX(V93+(1),0)*M93/M93)+1*INT(MAX(V93+(1),0)*M93/N93)&gt;=L93),MAX(V93+(1),0)*M93,1000000000),IF(AND(MAX(V93+(2),0)*M93&gt;0,U93*INT(MAX(V93+(2),0)*M93/M93)+1*INT(MAX(V93+(2),0)*M93/N93)&gt;=L93),MAX(V93+(2),0)*M93,1000000000),IF(AND(MAX(W93+(-1),0)*N93&gt;0,U93*INT(MAX(W93+(-1),0)*N93/M93)+1*INT(MAX(W93+(-1),0)*N93/N93)&gt;=L93),MAX(W93+(-1),0)*N93,1000000000),IF(AND(MAX(W93+(0),0)*N93&gt;0,U93*INT(MAX(W93+(0),0)*N93/M93)+1*INT(MAX(W93+(0),0)*N93/N93)&gt;=L93),MAX(W93+(0),0)*N93,1000000000),IF(AND(MAX(W93+(1),0)*N93&gt;0,U93*INT(MAX(W93+(1),0)*N93/M93)+1*INT(MAX(W93+(1),0)*N93/N93)&gt;=L93),MAX(W93+(1),0)*N93,1000000000),IF(AND(MAX(W93+(2),0)*N93&gt;0,U93*INT(MAX(W93+(2),0)*N93/M93)+1*INT(MAX(W93+(2),0)*N93/N93)&gt;=L93),MAX(W93+(2),0)*N93,1000000000)))</f>
        <v>11844</v>
      </c>
      <c r="Y93" s="10" t="n">
        <f aca="false">IF(O93-2*M93&gt;=0,INT((O93-2*M93)/N93),-1)</f>
        <v>1</v>
      </c>
      <c r="Z93" s="10" t="n">
        <f aca="false">IF(AND(Y93&gt;=0,Y93+2&gt;0),ROUNDUP(L93/(Y93+2*M93/N93),0),0)</f>
        <v>15</v>
      </c>
      <c r="AA93" s="10" t="n">
        <f aca="false">IF(AND(Y93&gt;=0,Y93+2&gt;0),ROUNDUP(L93/(Y93*N93/M93+2),0),0)</f>
        <v>28</v>
      </c>
      <c r="AB93" s="10" t="n">
        <f aca="false">IF(OR(Y93&lt;0,Y93+2=0),1000000000,MIN(IF(AND(MAX(Z93+(-1),0)*M93&gt;0,Y93*INT(MAX(Z93+(-1),0)*M93/M93)+2*INT(MAX(Z93+(-1),0)*M93/N93)&gt;=L93),MAX(Z93+(-1),0)*M93,1000000000),IF(AND(MAX(Z93+(0),0)*M93&gt;0,Y93*INT(MAX(Z93+(0),0)*M93/M93)+2*INT(MAX(Z93+(0),0)*M93/N93)&gt;=L93),MAX(Z93+(0),0)*M93,1000000000),IF(AND(MAX(Z93+(1),0)*M93&gt;0,Y93*INT(MAX(Z93+(1),0)*M93/M93)+2*INT(MAX(Z93+(1),0)*M93/N93)&gt;=L93),MAX(Z93+(1),0)*M93,1000000000),IF(AND(MAX(Z93+(2),0)*M93&gt;0,Y93*INT(MAX(Z93+(2),0)*M93/M93)+2*INT(MAX(Z93+(2),0)*M93/N93)&gt;=L93),MAX(Z93+(2),0)*M93,1000000000),IF(AND(MAX(AA93+(-1),0)*N93&gt;0,Y93*INT(MAX(AA93+(-1),0)*N93/M93)+2*INT(MAX(AA93+(-1),0)*N93/N93)&gt;=L93),MAX(AA93+(-1),0)*N93,1000000000),IF(AND(MAX(AA93+(0),0)*N93&gt;0,Y93*INT(MAX(AA93+(0),0)*N93/M93)+2*INT(MAX(AA93+(0),0)*N93/N93)&gt;=L93),MAX(AA93+(0),0)*N93,1000000000),IF(AND(MAX(AA93+(1),0)*N93&gt;0,Y93*INT(MAX(AA93+(1),0)*N93/M93)+2*INT(MAX(AA93+(1),0)*N93/N93)&gt;=L93),MAX(AA93+(1),0)*N93,1000000000),IF(AND(MAX(AA93+(2),0)*N93&gt;0,Y93*INT(MAX(AA93+(2),0)*N93/M93)+2*INT(MAX(AA93+(2),0)*N93/N93)&gt;=L93),MAX(AA93+(2),0)*N93,1000000000)))</f>
        <v>11844</v>
      </c>
      <c r="AC93" s="42" t="n">
        <f aca="false">IF(L93=0,0,MIN(T93,X93,AB93))</f>
        <v>11760</v>
      </c>
      <c r="AD93" s="15" t="n">
        <f aca="false">I93*INDEX(lg_bkg_3460,B93)</f>
        <v>13770.8113536</v>
      </c>
      <c r="AE93" s="33" t="n">
        <f aca="false">I93*INDEX(lg_bvol_3460,B93)</f>
        <v>56.4106032</v>
      </c>
    </row>
    <row r="94" customFormat="false" ht="15" hidden="false" customHeight="false" outlineLevel="0" collapsed="false">
      <c r="A94" s="9" t="n">
        <v>8</v>
      </c>
      <c r="B94" s="9" t="n">
        <v>1</v>
      </c>
      <c r="C94" s="9" t="s">
        <v>15</v>
      </c>
      <c r="D94" s="10" t="n">
        <f aca="false">INDEX(cfg_ct,A94)</f>
        <v>2</v>
      </c>
      <c r="E94" s="10" t="n">
        <f aca="false">INDEX(cfg_n,A94)</f>
        <v>1</v>
      </c>
      <c r="F94" s="15" t="n">
        <f aca="false">INDEX(cfg_u_3464,A94,B94)</f>
        <v>24700</v>
      </c>
      <c r="G94" s="15" t="n">
        <f aca="false">F94/E94</f>
        <v>24700</v>
      </c>
      <c r="H94" s="10" t="n">
        <f aca="false">INDEX(lg_n_3464,B94)</f>
        <v>50</v>
      </c>
      <c r="I94" s="15" t="n">
        <f aca="false">ROUNDUP(G94/H94,0)</f>
        <v>494</v>
      </c>
      <c r="J94" s="10" t="n">
        <f aca="false">INDEX(lg_layers_3464_40GP,B94)</f>
        <v>30</v>
      </c>
      <c r="K94" s="26" t="n">
        <f aca="false">INDEX(in_use_efficiency,1,B94)</f>
        <v>0.97</v>
      </c>
      <c r="L94" s="10" t="n">
        <f aca="false">IF(I94=0,0,ROUNDUP(I94/(K94*J94)-0.000000001,0))</f>
        <v>17</v>
      </c>
      <c r="M94" s="10" t="n">
        <f aca="false">INDEX(lg_a_3464,B94)</f>
        <v>940</v>
      </c>
      <c r="N94" s="10" t="n">
        <f aca="false">INDEX(lg_b_3464,B94)</f>
        <v>473</v>
      </c>
      <c r="O94" s="10" t="n">
        <f aca="false">INDEX(lg_Wu_40GP,B94)</f>
        <v>2330</v>
      </c>
      <c r="P94" s="10" t="n">
        <f aca="false">INDEX(lg_Lu_40GP,B94)</f>
        <v>11930</v>
      </c>
      <c r="Q94" s="10" t="n">
        <f aca="false">IF(O94-0*M94&gt;=0,INT((O94-0*M94)/N94),-1)</f>
        <v>4</v>
      </c>
      <c r="R94" s="10" t="n">
        <f aca="false">IF(AND(Q94&gt;=0,Q94+0&gt;0),ROUNDUP(L94/(Q94+0*M94/N94),0),0)</f>
        <v>5</v>
      </c>
      <c r="S94" s="10" t="n">
        <f aca="false">IF(AND(Q94&gt;=0,Q94+0&gt;0),ROUNDUP(L94/(Q94*N94/M94+0),0),0)</f>
        <v>9</v>
      </c>
      <c r="T94" s="10" t="n">
        <f aca="false">IF(OR(Q94&lt;0,Q94+0=0),1000000000,MIN(IF(AND(MAX(R94+(-1),0)*M94&gt;0,Q94*INT(MAX(R94+(-1),0)*M94/M94)+0*INT(MAX(R94+(-1),0)*M94/N94)&gt;=L94),MAX(R94+(-1),0)*M94,1000000000),IF(AND(MAX(R94+(0),0)*M94&gt;0,Q94*INT(MAX(R94+(0),0)*M94/M94)+0*INT(MAX(R94+(0),0)*M94/N94)&gt;=L94),MAX(R94+(0),0)*M94,1000000000),IF(AND(MAX(R94+(1),0)*M94&gt;0,Q94*INT(MAX(R94+(1),0)*M94/M94)+0*INT(MAX(R94+(1),0)*M94/N94)&gt;=L94),MAX(R94+(1),0)*M94,1000000000),IF(AND(MAX(R94+(2),0)*M94&gt;0,Q94*INT(MAX(R94+(2),0)*M94/M94)+0*INT(MAX(R94+(2),0)*M94/N94)&gt;=L94),MAX(R94+(2),0)*M94,1000000000),IF(AND(MAX(S94+(-1),0)*N94&gt;0,Q94*INT(MAX(S94+(-1),0)*N94/M94)+0*INT(MAX(S94+(-1),0)*N94/N94)&gt;=L94),MAX(S94+(-1),0)*N94,1000000000),IF(AND(MAX(S94+(0),0)*N94&gt;0,Q94*INT(MAX(S94+(0),0)*N94/M94)+0*INT(MAX(S94+(0),0)*N94/N94)&gt;=L94),MAX(S94+(0),0)*N94,1000000000),IF(AND(MAX(S94+(1),0)*N94&gt;0,Q94*INT(MAX(S94+(1),0)*N94/M94)+0*INT(MAX(S94+(1),0)*N94/N94)&gt;=L94),MAX(S94+(1),0)*N94,1000000000),IF(AND(MAX(S94+(2),0)*N94&gt;0,Q94*INT(MAX(S94+(2),0)*N94/M94)+0*INT(MAX(S94+(2),0)*N94/N94)&gt;=L94),MAX(S94+(2),0)*N94,1000000000)))</f>
        <v>4700</v>
      </c>
      <c r="U94" s="10" t="n">
        <f aca="false">IF(O94-1*M94&gt;=0,INT((O94-1*M94)/N94),-1)</f>
        <v>2</v>
      </c>
      <c r="V94" s="10" t="n">
        <f aca="false">IF(AND(U94&gt;=0,U94+1&gt;0),ROUNDUP(L94/(U94+1*M94/N94),0),0)</f>
        <v>5</v>
      </c>
      <c r="W94" s="10" t="n">
        <f aca="false">IF(AND(U94&gt;=0,U94+1&gt;0),ROUNDUP(L94/(U94*N94/M94+1),0),0)</f>
        <v>9</v>
      </c>
      <c r="X94" s="10" t="n">
        <f aca="false">IF(OR(U94&lt;0,U94+1=0),1000000000,MIN(IF(AND(MAX(V94+(-1),0)*M94&gt;0,U94*INT(MAX(V94+(-1),0)*M94/M94)+1*INT(MAX(V94+(-1),0)*M94/N94)&gt;=L94),MAX(V94+(-1),0)*M94,1000000000),IF(AND(MAX(V94+(0),0)*M94&gt;0,U94*INT(MAX(V94+(0),0)*M94/M94)+1*INT(MAX(V94+(0),0)*M94/N94)&gt;=L94),MAX(V94+(0),0)*M94,1000000000),IF(AND(MAX(V94+(1),0)*M94&gt;0,U94*INT(MAX(V94+(1),0)*M94/M94)+1*INT(MAX(V94+(1),0)*M94/N94)&gt;=L94),MAX(V94+(1),0)*M94,1000000000),IF(AND(MAX(V94+(2),0)*M94&gt;0,U94*INT(MAX(V94+(2),0)*M94/M94)+1*INT(MAX(V94+(2),0)*M94/N94)&gt;=L94),MAX(V94+(2),0)*M94,1000000000),IF(AND(MAX(W94+(-1),0)*N94&gt;0,U94*INT(MAX(W94+(-1),0)*N94/M94)+1*INT(MAX(W94+(-1),0)*N94/N94)&gt;=L94),MAX(W94+(-1),0)*N94,1000000000),IF(AND(MAX(W94+(0),0)*N94&gt;0,U94*INT(MAX(W94+(0),0)*N94/M94)+1*INT(MAX(W94+(0),0)*N94/N94)&gt;=L94),MAX(W94+(0),0)*N94,1000000000),IF(AND(MAX(W94+(1),0)*N94&gt;0,U94*INT(MAX(W94+(1),0)*N94/M94)+1*INT(MAX(W94+(1),0)*N94/N94)&gt;=L94),MAX(W94+(1),0)*N94,1000000000),IF(AND(MAX(W94+(2),0)*N94&gt;0,U94*INT(MAX(W94+(2),0)*N94/M94)+1*INT(MAX(W94+(2),0)*N94/N94)&gt;=L94),MAX(W94+(2),0)*N94,1000000000)))</f>
        <v>4257</v>
      </c>
      <c r="Y94" s="10" t="n">
        <f aca="false">IF(O94-2*M94&gt;=0,INT((O94-2*M94)/N94),-1)</f>
        <v>0</v>
      </c>
      <c r="Z94" s="10" t="n">
        <f aca="false">IF(AND(Y94&gt;=0,Y94+2&gt;0),ROUNDUP(L94/(Y94+2*M94/N94),0),0)</f>
        <v>5</v>
      </c>
      <c r="AA94" s="10" t="n">
        <f aca="false">IF(AND(Y94&gt;=0,Y94+2&gt;0),ROUNDUP(L94/(Y94*N94/M94+2),0),0)</f>
        <v>9</v>
      </c>
      <c r="AB94" s="10" t="n">
        <f aca="false">IF(OR(Y94&lt;0,Y94+2=0),1000000000,MIN(IF(AND(MAX(Z94+(-1),0)*M94&gt;0,Y94*INT(MAX(Z94+(-1),0)*M94/M94)+2*INT(MAX(Z94+(-1),0)*M94/N94)&gt;=L94),MAX(Z94+(-1),0)*M94,1000000000),IF(AND(MAX(Z94+(0),0)*M94&gt;0,Y94*INT(MAX(Z94+(0),0)*M94/M94)+2*INT(MAX(Z94+(0),0)*M94/N94)&gt;=L94),MAX(Z94+(0),0)*M94,1000000000),IF(AND(MAX(Z94+(1),0)*M94&gt;0,Y94*INT(MAX(Z94+(1),0)*M94/M94)+2*INT(MAX(Z94+(1),0)*M94/N94)&gt;=L94),MAX(Z94+(1),0)*M94,1000000000),IF(AND(MAX(Z94+(2),0)*M94&gt;0,Y94*INT(MAX(Z94+(2),0)*M94/M94)+2*INT(MAX(Z94+(2),0)*M94/N94)&gt;=L94),MAX(Z94+(2),0)*M94,1000000000),IF(AND(MAX(AA94+(-1),0)*N94&gt;0,Y94*INT(MAX(AA94+(-1),0)*N94/M94)+2*INT(MAX(AA94+(-1),0)*N94/N94)&gt;=L94),MAX(AA94+(-1),0)*N94,1000000000),IF(AND(MAX(AA94+(0),0)*N94&gt;0,Y94*INT(MAX(AA94+(0),0)*N94/M94)+2*INT(MAX(AA94+(0),0)*N94/N94)&gt;=L94),MAX(AA94+(0),0)*N94,1000000000),IF(AND(MAX(AA94+(1),0)*N94&gt;0,Y94*INT(MAX(AA94+(1),0)*N94/M94)+2*INT(MAX(AA94+(1),0)*N94/N94)&gt;=L94),MAX(AA94+(1),0)*N94,1000000000),IF(AND(MAX(AA94+(2),0)*N94&gt;0,Y94*INT(MAX(AA94+(2),0)*N94/M94)+2*INT(MAX(AA94+(2),0)*N94/N94)&gt;=L94),MAX(AA94+(2),0)*N94,1000000000)))</f>
        <v>4257</v>
      </c>
      <c r="AC94" s="42" t="n">
        <f aca="false">IF(L94=0,0,MIN(T94,X94,AB94))</f>
        <v>4257</v>
      </c>
      <c r="AD94" s="15" t="n">
        <f aca="false">I94*INDEX(lg_bkg_3464,B94)</f>
        <v>4026.827168</v>
      </c>
      <c r="AE94" s="33" t="n">
        <f aca="false">I94*INDEX(lg_bvol_3464,B94)</f>
        <v>16.473171</v>
      </c>
    </row>
    <row r="95" customFormat="false" ht="15" hidden="false" customHeight="false" outlineLevel="0" collapsed="false">
      <c r="A95" s="9" t="n">
        <v>8</v>
      </c>
      <c r="B95" s="9" t="n">
        <v>1</v>
      </c>
      <c r="C95" s="9" t="s">
        <v>16</v>
      </c>
      <c r="D95" s="10" t="n">
        <f aca="false">INDEX(cfg_ct,A95)</f>
        <v>2</v>
      </c>
      <c r="E95" s="10" t="n">
        <f aca="false">INDEX(cfg_n,A95)</f>
        <v>1</v>
      </c>
      <c r="F95" s="15" t="n">
        <f aca="false">INDEX(cfg_u_3463,A95,B95)</f>
        <v>24700</v>
      </c>
      <c r="G95" s="15" t="n">
        <f aca="false">F95/E95</f>
        <v>24700</v>
      </c>
      <c r="H95" s="10" t="n">
        <f aca="false">INDEX(lg_n_3463,B95)</f>
        <v>50</v>
      </c>
      <c r="I95" s="15" t="n">
        <f aca="false">ROUNDUP(G95/H95,0)</f>
        <v>494</v>
      </c>
      <c r="J95" s="10" t="n">
        <f aca="false">INDEX(lg_layers_3463_40GP,B95)</f>
        <v>30</v>
      </c>
      <c r="K95" s="26" t="n">
        <f aca="false">INDEX(in_use_efficiency,1,B95)</f>
        <v>0.97</v>
      </c>
      <c r="L95" s="10" t="n">
        <f aca="false">IF(I95=0,0,ROUNDUP(I95/(K95*J95)-0.000000001,0))</f>
        <v>17</v>
      </c>
      <c r="M95" s="10" t="n">
        <f aca="false">INDEX(lg_a_3463,B95)</f>
        <v>1040</v>
      </c>
      <c r="N95" s="10" t="n">
        <f aca="false">INDEX(lg_b_3463,B95)</f>
        <v>523</v>
      </c>
      <c r="O95" s="10" t="n">
        <f aca="false">INDEX(lg_Wu_40GP,B95)</f>
        <v>2330</v>
      </c>
      <c r="P95" s="10" t="n">
        <f aca="false">INDEX(lg_Lu_40GP,B95)</f>
        <v>11930</v>
      </c>
      <c r="Q95" s="10" t="n">
        <f aca="false">IF(O95-0*M95&gt;=0,INT((O95-0*M95)/N95),-1)</f>
        <v>4</v>
      </c>
      <c r="R95" s="10" t="n">
        <f aca="false">IF(AND(Q95&gt;=0,Q95+0&gt;0),ROUNDUP(L95/(Q95+0*M95/N95),0),0)</f>
        <v>5</v>
      </c>
      <c r="S95" s="10" t="n">
        <f aca="false">IF(AND(Q95&gt;=0,Q95+0&gt;0),ROUNDUP(L95/(Q95*N95/M95+0),0),0)</f>
        <v>9</v>
      </c>
      <c r="T95" s="10" t="n">
        <f aca="false">IF(OR(Q95&lt;0,Q95+0=0),1000000000,MIN(IF(AND(MAX(R95+(-1),0)*M95&gt;0,Q95*INT(MAX(R95+(-1),0)*M95/M95)+0*INT(MAX(R95+(-1),0)*M95/N95)&gt;=L95),MAX(R95+(-1),0)*M95,1000000000),IF(AND(MAX(R95+(0),0)*M95&gt;0,Q95*INT(MAX(R95+(0),0)*M95/M95)+0*INT(MAX(R95+(0),0)*M95/N95)&gt;=L95),MAX(R95+(0),0)*M95,1000000000),IF(AND(MAX(R95+(1),0)*M95&gt;0,Q95*INT(MAX(R95+(1),0)*M95/M95)+0*INT(MAX(R95+(1),0)*M95/N95)&gt;=L95),MAX(R95+(1),0)*M95,1000000000),IF(AND(MAX(R95+(2),0)*M95&gt;0,Q95*INT(MAX(R95+(2),0)*M95/M95)+0*INT(MAX(R95+(2),0)*M95/N95)&gt;=L95),MAX(R95+(2),0)*M95,1000000000),IF(AND(MAX(S95+(-1),0)*N95&gt;0,Q95*INT(MAX(S95+(-1),0)*N95/M95)+0*INT(MAX(S95+(-1),0)*N95/N95)&gt;=L95),MAX(S95+(-1),0)*N95,1000000000),IF(AND(MAX(S95+(0),0)*N95&gt;0,Q95*INT(MAX(S95+(0),0)*N95/M95)+0*INT(MAX(S95+(0),0)*N95/N95)&gt;=L95),MAX(S95+(0),0)*N95,1000000000),IF(AND(MAX(S95+(1),0)*N95&gt;0,Q95*INT(MAX(S95+(1),0)*N95/M95)+0*INT(MAX(S95+(1),0)*N95/N95)&gt;=L95),MAX(S95+(1),0)*N95,1000000000),IF(AND(MAX(S95+(2),0)*N95&gt;0,Q95*INT(MAX(S95+(2),0)*N95/M95)+0*INT(MAX(S95+(2),0)*N95/N95)&gt;=L95),MAX(S95+(2),0)*N95,1000000000)))</f>
        <v>5200</v>
      </c>
      <c r="U95" s="10" t="n">
        <f aca="false">IF(O95-1*M95&gt;=0,INT((O95-1*M95)/N95),-1)</f>
        <v>2</v>
      </c>
      <c r="V95" s="10" t="n">
        <f aca="false">IF(AND(U95&gt;=0,U95+1&gt;0),ROUNDUP(L95/(U95+1*M95/N95),0),0)</f>
        <v>5</v>
      </c>
      <c r="W95" s="10" t="n">
        <f aca="false">IF(AND(U95&gt;=0,U95+1&gt;0),ROUNDUP(L95/(U95*N95/M95+1),0),0)</f>
        <v>9</v>
      </c>
      <c r="X95" s="10" t="n">
        <f aca="false">IF(OR(U95&lt;0,U95+1=0),1000000000,MIN(IF(AND(MAX(V95+(-1),0)*M95&gt;0,U95*INT(MAX(V95+(-1),0)*M95/M95)+1*INT(MAX(V95+(-1),0)*M95/N95)&gt;=L95),MAX(V95+(-1),0)*M95,1000000000),IF(AND(MAX(V95+(0),0)*M95&gt;0,U95*INT(MAX(V95+(0),0)*M95/M95)+1*INT(MAX(V95+(0),0)*M95/N95)&gt;=L95),MAX(V95+(0),0)*M95,1000000000),IF(AND(MAX(V95+(1),0)*M95&gt;0,U95*INT(MAX(V95+(1),0)*M95/M95)+1*INT(MAX(V95+(1),0)*M95/N95)&gt;=L95),MAX(V95+(1),0)*M95,1000000000),IF(AND(MAX(V95+(2),0)*M95&gt;0,U95*INT(MAX(V95+(2),0)*M95/M95)+1*INT(MAX(V95+(2),0)*M95/N95)&gt;=L95),MAX(V95+(2),0)*M95,1000000000),IF(AND(MAX(W95+(-1),0)*N95&gt;0,U95*INT(MAX(W95+(-1),0)*N95/M95)+1*INT(MAX(W95+(-1),0)*N95/N95)&gt;=L95),MAX(W95+(-1),0)*N95,1000000000),IF(AND(MAX(W95+(0),0)*N95&gt;0,U95*INT(MAX(W95+(0),0)*N95/M95)+1*INT(MAX(W95+(0),0)*N95/N95)&gt;=L95),MAX(W95+(0),0)*N95,1000000000),IF(AND(MAX(W95+(1),0)*N95&gt;0,U95*INT(MAX(W95+(1),0)*N95/M95)+1*INT(MAX(W95+(1),0)*N95/N95)&gt;=L95),MAX(W95+(1),0)*N95,1000000000),IF(AND(MAX(W95+(2),0)*N95&gt;0,U95*INT(MAX(W95+(2),0)*N95/M95)+1*INT(MAX(W95+(2),0)*N95/N95)&gt;=L95),MAX(W95+(2),0)*N95,1000000000)))</f>
        <v>4707</v>
      </c>
      <c r="Y95" s="10" t="n">
        <f aca="false">IF(O95-2*M95&gt;=0,INT((O95-2*M95)/N95),-1)</f>
        <v>0</v>
      </c>
      <c r="Z95" s="10" t="n">
        <f aca="false">IF(AND(Y95&gt;=0,Y95+2&gt;0),ROUNDUP(L95/(Y95+2*M95/N95),0),0)</f>
        <v>5</v>
      </c>
      <c r="AA95" s="10" t="n">
        <f aca="false">IF(AND(Y95&gt;=0,Y95+2&gt;0),ROUNDUP(L95/(Y95*N95/M95+2),0),0)</f>
        <v>9</v>
      </c>
      <c r="AB95" s="10" t="n">
        <f aca="false">IF(OR(Y95&lt;0,Y95+2=0),1000000000,MIN(IF(AND(MAX(Z95+(-1),0)*M95&gt;0,Y95*INT(MAX(Z95+(-1),0)*M95/M95)+2*INT(MAX(Z95+(-1),0)*M95/N95)&gt;=L95),MAX(Z95+(-1),0)*M95,1000000000),IF(AND(MAX(Z95+(0),0)*M95&gt;0,Y95*INT(MAX(Z95+(0),0)*M95/M95)+2*INT(MAX(Z95+(0),0)*M95/N95)&gt;=L95),MAX(Z95+(0),0)*M95,1000000000),IF(AND(MAX(Z95+(1),0)*M95&gt;0,Y95*INT(MAX(Z95+(1),0)*M95/M95)+2*INT(MAX(Z95+(1),0)*M95/N95)&gt;=L95),MAX(Z95+(1),0)*M95,1000000000),IF(AND(MAX(Z95+(2),0)*M95&gt;0,Y95*INT(MAX(Z95+(2),0)*M95/M95)+2*INT(MAX(Z95+(2),0)*M95/N95)&gt;=L95),MAX(Z95+(2),0)*M95,1000000000),IF(AND(MAX(AA95+(-1),0)*N95&gt;0,Y95*INT(MAX(AA95+(-1),0)*N95/M95)+2*INT(MAX(AA95+(-1),0)*N95/N95)&gt;=L95),MAX(AA95+(-1),0)*N95,1000000000),IF(AND(MAX(AA95+(0),0)*N95&gt;0,Y95*INT(MAX(AA95+(0),0)*N95/M95)+2*INT(MAX(AA95+(0),0)*N95/N95)&gt;=L95),MAX(AA95+(0),0)*N95,1000000000),IF(AND(MAX(AA95+(1),0)*N95&gt;0,Y95*INT(MAX(AA95+(1),0)*N95/M95)+2*INT(MAX(AA95+(1),0)*N95/N95)&gt;=L95),MAX(AA95+(1),0)*N95,1000000000),IF(AND(MAX(AA95+(2),0)*N95&gt;0,Y95*INT(MAX(AA95+(2),0)*N95/M95)+2*INT(MAX(AA95+(2),0)*N95/N95)&gt;=L95),MAX(AA95+(2),0)*N95,1000000000)))</f>
        <v>4707</v>
      </c>
      <c r="AC95" s="42" t="n">
        <f aca="false">IF(L95=0,0,MIN(T95,X95,AB95))</f>
        <v>4707</v>
      </c>
      <c r="AD95" s="15" t="n">
        <f aca="false">I95*INDEX(lg_bkg_3463,B95)</f>
        <v>4922.607248</v>
      </c>
      <c r="AE95" s="33" t="n">
        <f aca="false">I95*INDEX(lg_bvol_3463,B95)</f>
        <v>20.152236</v>
      </c>
    </row>
    <row r="96" customFormat="false" ht="15" hidden="false" customHeight="false" outlineLevel="0" collapsed="false">
      <c r="A96" s="9" t="n">
        <v>8</v>
      </c>
      <c r="B96" s="9" t="n">
        <v>1</v>
      </c>
      <c r="C96" s="9" t="s">
        <v>17</v>
      </c>
      <c r="D96" s="10" t="n">
        <f aca="false">INDEX(cfg_ct,A96)</f>
        <v>2</v>
      </c>
      <c r="E96" s="10" t="n">
        <f aca="false">INDEX(cfg_n,A96)</f>
        <v>1</v>
      </c>
      <c r="F96" s="15" t="n">
        <f aca="false">INDEX(cfg_u_3460,A96,B96)</f>
        <v>24700</v>
      </c>
      <c r="G96" s="15" t="n">
        <f aca="false">F96/E96</f>
        <v>24700</v>
      </c>
      <c r="H96" s="10" t="n">
        <f aca="false">INDEX(lg_n_3460,B96)</f>
        <v>50</v>
      </c>
      <c r="I96" s="15" t="n">
        <f aca="false">ROUNDUP(G96/H96,0)</f>
        <v>494</v>
      </c>
      <c r="J96" s="10" t="n">
        <f aca="false">INDEX(lg_layers_3460_40GP,B96)</f>
        <v>30</v>
      </c>
      <c r="K96" s="26" t="n">
        <f aca="false">INDEX(in_use_efficiency,1,B96)</f>
        <v>0.97</v>
      </c>
      <c r="L96" s="10" t="n">
        <f aca="false">IF(I96=0,0,ROUNDUP(I96/(K96*J96)-0.000000001,0))</f>
        <v>17</v>
      </c>
      <c r="M96" s="10" t="n">
        <f aca="false">INDEX(lg_a_3460,B96)</f>
        <v>840</v>
      </c>
      <c r="N96" s="10" t="n">
        <f aca="false">INDEX(lg_b_3460,B96)</f>
        <v>423</v>
      </c>
      <c r="O96" s="10" t="n">
        <f aca="false">INDEX(lg_Wu_40GP,B96)</f>
        <v>2330</v>
      </c>
      <c r="P96" s="10" t="n">
        <f aca="false">INDEX(lg_Lu_40GP,B96)</f>
        <v>11930</v>
      </c>
      <c r="Q96" s="10" t="n">
        <f aca="false">IF(O96-0*M96&gt;=0,INT((O96-0*M96)/N96),-1)</f>
        <v>5</v>
      </c>
      <c r="R96" s="10" t="n">
        <f aca="false">IF(AND(Q96&gt;=0,Q96+0&gt;0),ROUNDUP(L96/(Q96+0*M96/N96),0),0)</f>
        <v>4</v>
      </c>
      <c r="S96" s="10" t="n">
        <f aca="false">IF(AND(Q96&gt;=0,Q96+0&gt;0),ROUNDUP(L96/(Q96*N96/M96+0),0),0)</f>
        <v>7</v>
      </c>
      <c r="T96" s="10" t="n">
        <f aca="false">IF(OR(Q96&lt;0,Q96+0=0),1000000000,MIN(IF(AND(MAX(R96+(-1),0)*M96&gt;0,Q96*INT(MAX(R96+(-1),0)*M96/M96)+0*INT(MAX(R96+(-1),0)*M96/N96)&gt;=L96),MAX(R96+(-1),0)*M96,1000000000),IF(AND(MAX(R96+(0),0)*M96&gt;0,Q96*INT(MAX(R96+(0),0)*M96/M96)+0*INT(MAX(R96+(0),0)*M96/N96)&gt;=L96),MAX(R96+(0),0)*M96,1000000000),IF(AND(MAX(R96+(1),0)*M96&gt;0,Q96*INT(MAX(R96+(1),0)*M96/M96)+0*INT(MAX(R96+(1),0)*M96/N96)&gt;=L96),MAX(R96+(1),0)*M96,1000000000),IF(AND(MAX(R96+(2),0)*M96&gt;0,Q96*INT(MAX(R96+(2),0)*M96/M96)+0*INT(MAX(R96+(2),0)*M96/N96)&gt;=L96),MAX(R96+(2),0)*M96,1000000000),IF(AND(MAX(S96+(-1),0)*N96&gt;0,Q96*INT(MAX(S96+(-1),0)*N96/M96)+0*INT(MAX(S96+(-1),0)*N96/N96)&gt;=L96),MAX(S96+(-1),0)*N96,1000000000),IF(AND(MAX(S96+(0),0)*N96&gt;0,Q96*INT(MAX(S96+(0),0)*N96/M96)+0*INT(MAX(S96+(0),0)*N96/N96)&gt;=L96),MAX(S96+(0),0)*N96,1000000000),IF(AND(MAX(S96+(1),0)*N96&gt;0,Q96*INT(MAX(S96+(1),0)*N96/M96)+0*INT(MAX(S96+(1),0)*N96/N96)&gt;=L96),MAX(S96+(1),0)*N96,1000000000),IF(AND(MAX(S96+(2),0)*N96&gt;0,Q96*INT(MAX(S96+(2),0)*N96/M96)+0*INT(MAX(S96+(2),0)*N96/N96)&gt;=L96),MAX(S96+(2),0)*N96,1000000000)))</f>
        <v>3360</v>
      </c>
      <c r="U96" s="10" t="n">
        <f aca="false">IF(O96-1*M96&gt;=0,INT((O96-1*M96)/N96),-1)</f>
        <v>3</v>
      </c>
      <c r="V96" s="10" t="n">
        <f aca="false">IF(AND(U96&gt;=0,U96+1&gt;0),ROUNDUP(L96/(U96+1*M96/N96),0),0)</f>
        <v>4</v>
      </c>
      <c r="W96" s="10" t="n">
        <f aca="false">IF(AND(U96&gt;=0,U96+1&gt;0),ROUNDUP(L96/(U96*N96/M96+1),0),0)</f>
        <v>7</v>
      </c>
      <c r="X96" s="10" t="n">
        <f aca="false">IF(OR(U96&lt;0,U96+1=0),1000000000,MIN(IF(AND(MAX(V96+(-1),0)*M96&gt;0,U96*INT(MAX(V96+(-1),0)*M96/M96)+1*INT(MAX(V96+(-1),0)*M96/N96)&gt;=L96),MAX(V96+(-1),0)*M96,1000000000),IF(AND(MAX(V96+(0),0)*M96&gt;0,U96*INT(MAX(V96+(0),0)*M96/M96)+1*INT(MAX(V96+(0),0)*M96/N96)&gt;=L96),MAX(V96+(0),0)*M96,1000000000),IF(AND(MAX(V96+(1),0)*M96&gt;0,U96*INT(MAX(V96+(1),0)*M96/M96)+1*INT(MAX(V96+(1),0)*M96/N96)&gt;=L96),MAX(V96+(1),0)*M96,1000000000),IF(AND(MAX(V96+(2),0)*M96&gt;0,U96*INT(MAX(V96+(2),0)*M96/M96)+1*INT(MAX(V96+(2),0)*M96/N96)&gt;=L96),MAX(V96+(2),0)*M96,1000000000),IF(AND(MAX(W96+(-1),0)*N96&gt;0,U96*INT(MAX(W96+(-1),0)*N96/M96)+1*INT(MAX(W96+(-1),0)*N96/N96)&gt;=L96),MAX(W96+(-1),0)*N96,1000000000),IF(AND(MAX(W96+(0),0)*N96&gt;0,U96*INT(MAX(W96+(0),0)*N96/M96)+1*INT(MAX(W96+(0),0)*N96/N96)&gt;=L96),MAX(W96+(0),0)*N96,1000000000),IF(AND(MAX(W96+(1),0)*N96&gt;0,U96*INT(MAX(W96+(1),0)*N96/M96)+1*INT(MAX(W96+(1),0)*N96/N96)&gt;=L96),MAX(W96+(1),0)*N96,1000000000),IF(AND(MAX(W96+(2),0)*N96&gt;0,U96*INT(MAX(W96+(2),0)*N96/M96)+1*INT(MAX(W96+(2),0)*N96/N96)&gt;=L96),MAX(W96+(2),0)*N96,1000000000)))</f>
        <v>3360</v>
      </c>
      <c r="Y96" s="10" t="n">
        <f aca="false">IF(O96-2*M96&gt;=0,INT((O96-2*M96)/N96),-1)</f>
        <v>1</v>
      </c>
      <c r="Z96" s="10" t="n">
        <f aca="false">IF(AND(Y96&gt;=0,Y96+2&gt;0),ROUNDUP(L96/(Y96+2*M96/N96),0),0)</f>
        <v>4</v>
      </c>
      <c r="AA96" s="10" t="n">
        <f aca="false">IF(AND(Y96&gt;=0,Y96+2&gt;0),ROUNDUP(L96/(Y96*N96/M96+2),0),0)</f>
        <v>7</v>
      </c>
      <c r="AB96" s="10" t="n">
        <f aca="false">IF(OR(Y96&lt;0,Y96+2=0),1000000000,MIN(IF(AND(MAX(Z96+(-1),0)*M96&gt;0,Y96*INT(MAX(Z96+(-1),0)*M96/M96)+2*INT(MAX(Z96+(-1),0)*M96/N96)&gt;=L96),MAX(Z96+(-1),0)*M96,1000000000),IF(AND(MAX(Z96+(0),0)*M96&gt;0,Y96*INT(MAX(Z96+(0),0)*M96/M96)+2*INT(MAX(Z96+(0),0)*M96/N96)&gt;=L96),MAX(Z96+(0),0)*M96,1000000000),IF(AND(MAX(Z96+(1),0)*M96&gt;0,Y96*INT(MAX(Z96+(1),0)*M96/M96)+2*INT(MAX(Z96+(1),0)*M96/N96)&gt;=L96),MAX(Z96+(1),0)*M96,1000000000),IF(AND(MAX(Z96+(2),0)*M96&gt;0,Y96*INT(MAX(Z96+(2),0)*M96/M96)+2*INT(MAX(Z96+(2),0)*M96/N96)&gt;=L96),MAX(Z96+(2),0)*M96,1000000000),IF(AND(MAX(AA96+(-1),0)*N96&gt;0,Y96*INT(MAX(AA96+(-1),0)*N96/M96)+2*INT(MAX(AA96+(-1),0)*N96/N96)&gt;=L96),MAX(AA96+(-1),0)*N96,1000000000),IF(AND(MAX(AA96+(0),0)*N96&gt;0,Y96*INT(MAX(AA96+(0),0)*N96/M96)+2*INT(MAX(AA96+(0),0)*N96/N96)&gt;=L96),MAX(AA96+(0),0)*N96,1000000000),IF(AND(MAX(AA96+(1),0)*N96&gt;0,Y96*INT(MAX(AA96+(1),0)*N96/M96)+2*INT(MAX(AA96+(1),0)*N96/N96)&gt;=L96),MAX(AA96+(1),0)*N96,1000000000),IF(AND(MAX(AA96+(2),0)*N96&gt;0,Y96*INT(MAX(AA96+(2),0)*N96/M96)+2*INT(MAX(AA96+(2),0)*N96/N96)&gt;=L96),MAX(AA96+(2),0)*N96,1000000000)))</f>
        <v>2961</v>
      </c>
      <c r="AC96" s="42" t="n">
        <f aca="false">IF(L96=0,0,MIN(T96,X96,AB96))</f>
        <v>2961</v>
      </c>
      <c r="AD96" s="15" t="n">
        <f aca="false">I96*INDEX(lg_bkg_3460,B96)</f>
        <v>3221.943088</v>
      </c>
      <c r="AE96" s="33" t="n">
        <f aca="false">I96*INDEX(lg_bvol_3460,B96)</f>
        <v>13.164606</v>
      </c>
    </row>
    <row r="97" customFormat="false" ht="15" hidden="false" customHeight="false" outlineLevel="0" collapsed="false">
      <c r="A97" s="9" t="n">
        <v>8</v>
      </c>
      <c r="B97" s="9" t="n">
        <v>2</v>
      </c>
      <c r="C97" s="9" t="s">
        <v>15</v>
      </c>
      <c r="D97" s="10" t="n">
        <f aca="false">INDEX(cfg_ct,A97)</f>
        <v>2</v>
      </c>
      <c r="E97" s="10" t="n">
        <f aca="false">INDEX(cfg_n,A97)</f>
        <v>1</v>
      </c>
      <c r="F97" s="15" t="n">
        <f aca="false">INDEX(cfg_u_3464,A97,B97)</f>
        <v>22600</v>
      </c>
      <c r="G97" s="15" t="n">
        <f aca="false">F97/E97</f>
        <v>22600</v>
      </c>
      <c r="H97" s="10" t="n">
        <f aca="false">INDEX(lg_n_3464,B97)</f>
        <v>50</v>
      </c>
      <c r="I97" s="15" t="n">
        <f aca="false">ROUNDUP(G97/H97,0)</f>
        <v>452</v>
      </c>
      <c r="J97" s="10" t="n">
        <f aca="false">INDEX(lg_layers_3464_40GP,B97)</f>
        <v>28</v>
      </c>
      <c r="K97" s="26" t="n">
        <f aca="false">INDEX(in_use_efficiency,1,B97)</f>
        <v>0.95</v>
      </c>
      <c r="L97" s="10" t="n">
        <f aca="false">IF(I97=0,0,ROUNDUP(I97/(K97*J97)-0.000000001,0))</f>
        <v>17</v>
      </c>
      <c r="M97" s="10" t="n">
        <f aca="false">INDEX(lg_a_3464,B97)</f>
        <v>940</v>
      </c>
      <c r="N97" s="10" t="n">
        <f aca="false">INDEX(lg_b_3464,B97)</f>
        <v>473</v>
      </c>
      <c r="O97" s="10" t="n">
        <f aca="false">INDEX(lg_Wu_40GP,B97)</f>
        <v>2330</v>
      </c>
      <c r="P97" s="10" t="n">
        <f aca="false">INDEX(lg_Lu_40GP,B97)</f>
        <v>11930</v>
      </c>
      <c r="Q97" s="10" t="n">
        <f aca="false">IF(O97-0*M97&gt;=0,INT((O97-0*M97)/N97),-1)</f>
        <v>4</v>
      </c>
      <c r="R97" s="10" t="n">
        <f aca="false">IF(AND(Q97&gt;=0,Q97+0&gt;0),ROUNDUP(L97/(Q97+0*M97/N97),0),0)</f>
        <v>5</v>
      </c>
      <c r="S97" s="10" t="n">
        <f aca="false">IF(AND(Q97&gt;=0,Q97+0&gt;0),ROUNDUP(L97/(Q97*N97/M97+0),0),0)</f>
        <v>9</v>
      </c>
      <c r="T97" s="10" t="n">
        <f aca="false">IF(OR(Q97&lt;0,Q97+0=0),1000000000,MIN(IF(AND(MAX(R97+(-1),0)*M97&gt;0,Q97*INT(MAX(R97+(-1),0)*M97/M97)+0*INT(MAX(R97+(-1),0)*M97/N97)&gt;=L97),MAX(R97+(-1),0)*M97,1000000000),IF(AND(MAX(R97+(0),0)*M97&gt;0,Q97*INT(MAX(R97+(0),0)*M97/M97)+0*INT(MAX(R97+(0),0)*M97/N97)&gt;=L97),MAX(R97+(0),0)*M97,1000000000),IF(AND(MAX(R97+(1),0)*M97&gt;0,Q97*INT(MAX(R97+(1),0)*M97/M97)+0*INT(MAX(R97+(1),0)*M97/N97)&gt;=L97),MAX(R97+(1),0)*M97,1000000000),IF(AND(MAX(R97+(2),0)*M97&gt;0,Q97*INT(MAX(R97+(2),0)*M97/M97)+0*INT(MAX(R97+(2),0)*M97/N97)&gt;=L97),MAX(R97+(2),0)*M97,1000000000),IF(AND(MAX(S97+(-1),0)*N97&gt;0,Q97*INT(MAX(S97+(-1),0)*N97/M97)+0*INT(MAX(S97+(-1),0)*N97/N97)&gt;=L97),MAX(S97+(-1),0)*N97,1000000000),IF(AND(MAX(S97+(0),0)*N97&gt;0,Q97*INT(MAX(S97+(0),0)*N97/M97)+0*INT(MAX(S97+(0),0)*N97/N97)&gt;=L97),MAX(S97+(0),0)*N97,1000000000),IF(AND(MAX(S97+(1),0)*N97&gt;0,Q97*INT(MAX(S97+(1),0)*N97/M97)+0*INT(MAX(S97+(1),0)*N97/N97)&gt;=L97),MAX(S97+(1),0)*N97,1000000000),IF(AND(MAX(S97+(2),0)*N97&gt;0,Q97*INT(MAX(S97+(2),0)*N97/M97)+0*INT(MAX(S97+(2),0)*N97/N97)&gt;=L97),MAX(S97+(2),0)*N97,1000000000)))</f>
        <v>4700</v>
      </c>
      <c r="U97" s="10" t="n">
        <f aca="false">IF(O97-1*M97&gt;=0,INT((O97-1*M97)/N97),-1)</f>
        <v>2</v>
      </c>
      <c r="V97" s="10" t="n">
        <f aca="false">IF(AND(U97&gt;=0,U97+1&gt;0),ROUNDUP(L97/(U97+1*M97/N97),0),0)</f>
        <v>5</v>
      </c>
      <c r="W97" s="10" t="n">
        <f aca="false">IF(AND(U97&gt;=0,U97+1&gt;0),ROUNDUP(L97/(U97*N97/M97+1),0),0)</f>
        <v>9</v>
      </c>
      <c r="X97" s="10" t="n">
        <f aca="false">IF(OR(U97&lt;0,U97+1=0),1000000000,MIN(IF(AND(MAX(V97+(-1),0)*M97&gt;0,U97*INT(MAX(V97+(-1),0)*M97/M97)+1*INT(MAX(V97+(-1),0)*M97/N97)&gt;=L97),MAX(V97+(-1),0)*M97,1000000000),IF(AND(MAX(V97+(0),0)*M97&gt;0,U97*INT(MAX(V97+(0),0)*M97/M97)+1*INT(MAX(V97+(0),0)*M97/N97)&gt;=L97),MAX(V97+(0),0)*M97,1000000000),IF(AND(MAX(V97+(1),0)*M97&gt;0,U97*INT(MAX(V97+(1),0)*M97/M97)+1*INT(MAX(V97+(1),0)*M97/N97)&gt;=L97),MAX(V97+(1),0)*M97,1000000000),IF(AND(MAX(V97+(2),0)*M97&gt;0,U97*INT(MAX(V97+(2),0)*M97/M97)+1*INT(MAX(V97+(2),0)*M97/N97)&gt;=L97),MAX(V97+(2),0)*M97,1000000000),IF(AND(MAX(W97+(-1),0)*N97&gt;0,U97*INT(MAX(W97+(-1),0)*N97/M97)+1*INT(MAX(W97+(-1),0)*N97/N97)&gt;=L97),MAX(W97+(-1),0)*N97,1000000000),IF(AND(MAX(W97+(0),0)*N97&gt;0,U97*INT(MAX(W97+(0),0)*N97/M97)+1*INT(MAX(W97+(0),0)*N97/N97)&gt;=L97),MAX(W97+(0),0)*N97,1000000000),IF(AND(MAX(W97+(1),0)*N97&gt;0,U97*INT(MAX(W97+(1),0)*N97/M97)+1*INT(MAX(W97+(1),0)*N97/N97)&gt;=L97),MAX(W97+(1),0)*N97,1000000000),IF(AND(MAX(W97+(2),0)*N97&gt;0,U97*INT(MAX(W97+(2),0)*N97/M97)+1*INT(MAX(W97+(2),0)*N97/N97)&gt;=L97),MAX(W97+(2),0)*N97,1000000000)))</f>
        <v>4257</v>
      </c>
      <c r="Y97" s="10" t="n">
        <f aca="false">IF(O97-2*M97&gt;=0,INT((O97-2*M97)/N97),-1)</f>
        <v>0</v>
      </c>
      <c r="Z97" s="10" t="n">
        <f aca="false">IF(AND(Y97&gt;=0,Y97+2&gt;0),ROUNDUP(L97/(Y97+2*M97/N97),0),0)</f>
        <v>5</v>
      </c>
      <c r="AA97" s="10" t="n">
        <f aca="false">IF(AND(Y97&gt;=0,Y97+2&gt;0),ROUNDUP(L97/(Y97*N97/M97+2),0),0)</f>
        <v>9</v>
      </c>
      <c r="AB97" s="10" t="n">
        <f aca="false">IF(OR(Y97&lt;0,Y97+2=0),1000000000,MIN(IF(AND(MAX(Z97+(-1),0)*M97&gt;0,Y97*INT(MAX(Z97+(-1),0)*M97/M97)+2*INT(MAX(Z97+(-1),0)*M97/N97)&gt;=L97),MAX(Z97+(-1),0)*M97,1000000000),IF(AND(MAX(Z97+(0),0)*M97&gt;0,Y97*INT(MAX(Z97+(0),0)*M97/M97)+2*INT(MAX(Z97+(0),0)*M97/N97)&gt;=L97),MAX(Z97+(0),0)*M97,1000000000),IF(AND(MAX(Z97+(1),0)*M97&gt;0,Y97*INT(MAX(Z97+(1),0)*M97/M97)+2*INT(MAX(Z97+(1),0)*M97/N97)&gt;=L97),MAX(Z97+(1),0)*M97,1000000000),IF(AND(MAX(Z97+(2),0)*M97&gt;0,Y97*INT(MAX(Z97+(2),0)*M97/M97)+2*INT(MAX(Z97+(2),0)*M97/N97)&gt;=L97),MAX(Z97+(2),0)*M97,1000000000),IF(AND(MAX(AA97+(-1),0)*N97&gt;0,Y97*INT(MAX(AA97+(-1),0)*N97/M97)+2*INT(MAX(AA97+(-1),0)*N97/N97)&gt;=L97),MAX(AA97+(-1),0)*N97,1000000000),IF(AND(MAX(AA97+(0),0)*N97&gt;0,Y97*INT(MAX(AA97+(0),0)*N97/M97)+2*INT(MAX(AA97+(0),0)*N97/N97)&gt;=L97),MAX(AA97+(0),0)*N97,1000000000),IF(AND(MAX(AA97+(1),0)*N97&gt;0,Y97*INT(MAX(AA97+(1),0)*N97/M97)+2*INT(MAX(AA97+(1),0)*N97/N97)&gt;=L97),MAX(AA97+(1),0)*N97,1000000000),IF(AND(MAX(AA97+(2),0)*N97&gt;0,Y97*INT(MAX(AA97+(2),0)*N97/M97)+2*INT(MAX(AA97+(2),0)*N97/N97)&gt;=L97),MAX(AA97+(2),0)*N97,1000000000)))</f>
        <v>4257</v>
      </c>
      <c r="AC97" s="42" t="n">
        <f aca="false">IF(L97=0,0,MIN(T97,X97,AB97))</f>
        <v>4257</v>
      </c>
      <c r="AD97" s="15" t="n">
        <f aca="false">I97*INDEX(lg_bkg_3464,B97)</f>
        <v>3866.4286112</v>
      </c>
      <c r="AE97" s="33" t="n">
        <f aca="false">I97*INDEX(lg_bvol_3464,B97)</f>
        <v>16.0774592</v>
      </c>
    </row>
    <row r="98" customFormat="false" ht="15" hidden="false" customHeight="false" outlineLevel="0" collapsed="false">
      <c r="A98" s="9" t="n">
        <v>8</v>
      </c>
      <c r="B98" s="9" t="n">
        <v>2</v>
      </c>
      <c r="C98" s="9" t="s">
        <v>16</v>
      </c>
      <c r="D98" s="10" t="n">
        <f aca="false">INDEX(cfg_ct,A98)</f>
        <v>2</v>
      </c>
      <c r="E98" s="10" t="n">
        <f aca="false">INDEX(cfg_n,A98)</f>
        <v>1</v>
      </c>
      <c r="F98" s="15" t="n">
        <f aca="false">INDEX(cfg_u_3463,A98,B98)</f>
        <v>22600</v>
      </c>
      <c r="G98" s="15" t="n">
        <f aca="false">F98/E98</f>
        <v>22600</v>
      </c>
      <c r="H98" s="10" t="n">
        <f aca="false">INDEX(lg_n_3463,B98)</f>
        <v>50</v>
      </c>
      <c r="I98" s="15" t="n">
        <f aca="false">ROUNDUP(G98/H98,0)</f>
        <v>452</v>
      </c>
      <c r="J98" s="10" t="n">
        <f aca="false">INDEX(lg_layers_3463_40GP,B98)</f>
        <v>28</v>
      </c>
      <c r="K98" s="26" t="n">
        <f aca="false">INDEX(in_use_efficiency,1,B98)</f>
        <v>0.95</v>
      </c>
      <c r="L98" s="10" t="n">
        <f aca="false">IF(I98=0,0,ROUNDUP(I98/(K98*J98)-0.000000001,0))</f>
        <v>17</v>
      </c>
      <c r="M98" s="10" t="n">
        <f aca="false">INDEX(lg_a_3463,B98)</f>
        <v>1040</v>
      </c>
      <c r="N98" s="10" t="n">
        <f aca="false">INDEX(lg_b_3463,B98)</f>
        <v>523</v>
      </c>
      <c r="O98" s="10" t="n">
        <f aca="false">INDEX(lg_Wu_40GP,B98)</f>
        <v>2330</v>
      </c>
      <c r="P98" s="10" t="n">
        <f aca="false">INDEX(lg_Lu_40GP,B98)</f>
        <v>11930</v>
      </c>
      <c r="Q98" s="10" t="n">
        <f aca="false">IF(O98-0*M98&gt;=0,INT((O98-0*M98)/N98),-1)</f>
        <v>4</v>
      </c>
      <c r="R98" s="10" t="n">
        <f aca="false">IF(AND(Q98&gt;=0,Q98+0&gt;0),ROUNDUP(L98/(Q98+0*M98/N98),0),0)</f>
        <v>5</v>
      </c>
      <c r="S98" s="10" t="n">
        <f aca="false">IF(AND(Q98&gt;=0,Q98+0&gt;0),ROUNDUP(L98/(Q98*N98/M98+0),0),0)</f>
        <v>9</v>
      </c>
      <c r="T98" s="10" t="n">
        <f aca="false">IF(OR(Q98&lt;0,Q98+0=0),1000000000,MIN(IF(AND(MAX(R98+(-1),0)*M98&gt;0,Q98*INT(MAX(R98+(-1),0)*M98/M98)+0*INT(MAX(R98+(-1),0)*M98/N98)&gt;=L98),MAX(R98+(-1),0)*M98,1000000000),IF(AND(MAX(R98+(0),0)*M98&gt;0,Q98*INT(MAX(R98+(0),0)*M98/M98)+0*INT(MAX(R98+(0),0)*M98/N98)&gt;=L98),MAX(R98+(0),0)*M98,1000000000),IF(AND(MAX(R98+(1),0)*M98&gt;0,Q98*INT(MAX(R98+(1),0)*M98/M98)+0*INT(MAX(R98+(1),0)*M98/N98)&gt;=L98),MAX(R98+(1),0)*M98,1000000000),IF(AND(MAX(R98+(2),0)*M98&gt;0,Q98*INT(MAX(R98+(2),0)*M98/M98)+0*INT(MAX(R98+(2),0)*M98/N98)&gt;=L98),MAX(R98+(2),0)*M98,1000000000),IF(AND(MAX(S98+(-1),0)*N98&gt;0,Q98*INT(MAX(S98+(-1),0)*N98/M98)+0*INT(MAX(S98+(-1),0)*N98/N98)&gt;=L98),MAX(S98+(-1),0)*N98,1000000000),IF(AND(MAX(S98+(0),0)*N98&gt;0,Q98*INT(MAX(S98+(0),0)*N98/M98)+0*INT(MAX(S98+(0),0)*N98/N98)&gt;=L98),MAX(S98+(0),0)*N98,1000000000),IF(AND(MAX(S98+(1),0)*N98&gt;0,Q98*INT(MAX(S98+(1),0)*N98/M98)+0*INT(MAX(S98+(1),0)*N98/N98)&gt;=L98),MAX(S98+(1),0)*N98,1000000000),IF(AND(MAX(S98+(2),0)*N98&gt;0,Q98*INT(MAX(S98+(2),0)*N98/M98)+0*INT(MAX(S98+(2),0)*N98/N98)&gt;=L98),MAX(S98+(2),0)*N98,1000000000)))</f>
        <v>5200</v>
      </c>
      <c r="U98" s="10" t="n">
        <f aca="false">IF(O98-1*M98&gt;=0,INT((O98-1*M98)/N98),-1)</f>
        <v>2</v>
      </c>
      <c r="V98" s="10" t="n">
        <f aca="false">IF(AND(U98&gt;=0,U98+1&gt;0),ROUNDUP(L98/(U98+1*M98/N98),0),0)</f>
        <v>5</v>
      </c>
      <c r="W98" s="10" t="n">
        <f aca="false">IF(AND(U98&gt;=0,U98+1&gt;0),ROUNDUP(L98/(U98*N98/M98+1),0),0)</f>
        <v>9</v>
      </c>
      <c r="X98" s="10" t="n">
        <f aca="false">IF(OR(U98&lt;0,U98+1=0),1000000000,MIN(IF(AND(MAX(V98+(-1),0)*M98&gt;0,U98*INT(MAX(V98+(-1),0)*M98/M98)+1*INT(MAX(V98+(-1),0)*M98/N98)&gt;=L98),MAX(V98+(-1),0)*M98,1000000000),IF(AND(MAX(V98+(0),0)*M98&gt;0,U98*INT(MAX(V98+(0),0)*M98/M98)+1*INT(MAX(V98+(0),0)*M98/N98)&gt;=L98),MAX(V98+(0),0)*M98,1000000000),IF(AND(MAX(V98+(1),0)*M98&gt;0,U98*INT(MAX(V98+(1),0)*M98/M98)+1*INT(MAX(V98+(1),0)*M98/N98)&gt;=L98),MAX(V98+(1),0)*M98,1000000000),IF(AND(MAX(V98+(2),0)*M98&gt;0,U98*INT(MAX(V98+(2),0)*M98/M98)+1*INT(MAX(V98+(2),0)*M98/N98)&gt;=L98),MAX(V98+(2),0)*M98,1000000000),IF(AND(MAX(W98+(-1),0)*N98&gt;0,U98*INT(MAX(W98+(-1),0)*N98/M98)+1*INT(MAX(W98+(-1),0)*N98/N98)&gt;=L98),MAX(W98+(-1),0)*N98,1000000000),IF(AND(MAX(W98+(0),0)*N98&gt;0,U98*INT(MAX(W98+(0),0)*N98/M98)+1*INT(MAX(W98+(0),0)*N98/N98)&gt;=L98),MAX(W98+(0),0)*N98,1000000000),IF(AND(MAX(W98+(1),0)*N98&gt;0,U98*INT(MAX(W98+(1),0)*N98/M98)+1*INT(MAX(W98+(1),0)*N98/N98)&gt;=L98),MAX(W98+(1),0)*N98,1000000000),IF(AND(MAX(W98+(2),0)*N98&gt;0,U98*INT(MAX(W98+(2),0)*N98/M98)+1*INT(MAX(W98+(2),0)*N98/N98)&gt;=L98),MAX(W98+(2),0)*N98,1000000000)))</f>
        <v>4707</v>
      </c>
      <c r="Y98" s="10" t="n">
        <f aca="false">IF(O98-2*M98&gt;=0,INT((O98-2*M98)/N98),-1)</f>
        <v>0</v>
      </c>
      <c r="Z98" s="10" t="n">
        <f aca="false">IF(AND(Y98&gt;=0,Y98+2&gt;0),ROUNDUP(L98/(Y98+2*M98/N98),0),0)</f>
        <v>5</v>
      </c>
      <c r="AA98" s="10" t="n">
        <f aca="false">IF(AND(Y98&gt;=0,Y98+2&gt;0),ROUNDUP(L98/(Y98*N98/M98+2),0),0)</f>
        <v>9</v>
      </c>
      <c r="AB98" s="10" t="n">
        <f aca="false">IF(OR(Y98&lt;0,Y98+2=0),1000000000,MIN(IF(AND(MAX(Z98+(-1),0)*M98&gt;0,Y98*INT(MAX(Z98+(-1),0)*M98/M98)+2*INT(MAX(Z98+(-1),0)*M98/N98)&gt;=L98),MAX(Z98+(-1),0)*M98,1000000000),IF(AND(MAX(Z98+(0),0)*M98&gt;0,Y98*INT(MAX(Z98+(0),0)*M98/M98)+2*INT(MAX(Z98+(0),0)*M98/N98)&gt;=L98),MAX(Z98+(0),0)*M98,1000000000),IF(AND(MAX(Z98+(1),0)*M98&gt;0,Y98*INT(MAX(Z98+(1),0)*M98/M98)+2*INT(MAX(Z98+(1),0)*M98/N98)&gt;=L98),MAX(Z98+(1),0)*M98,1000000000),IF(AND(MAX(Z98+(2),0)*M98&gt;0,Y98*INT(MAX(Z98+(2),0)*M98/M98)+2*INT(MAX(Z98+(2),0)*M98/N98)&gt;=L98),MAX(Z98+(2),0)*M98,1000000000),IF(AND(MAX(AA98+(-1),0)*N98&gt;0,Y98*INT(MAX(AA98+(-1),0)*N98/M98)+2*INT(MAX(AA98+(-1),0)*N98/N98)&gt;=L98),MAX(AA98+(-1),0)*N98,1000000000),IF(AND(MAX(AA98+(0),0)*N98&gt;0,Y98*INT(MAX(AA98+(0),0)*N98/M98)+2*INT(MAX(AA98+(0),0)*N98/N98)&gt;=L98),MAX(AA98+(0),0)*N98,1000000000),IF(AND(MAX(AA98+(1),0)*N98&gt;0,Y98*INT(MAX(AA98+(1),0)*N98/M98)+2*INT(MAX(AA98+(1),0)*N98/N98)&gt;=L98),MAX(AA98+(1),0)*N98,1000000000),IF(AND(MAX(AA98+(2),0)*N98&gt;0,Y98*INT(MAX(AA98+(2),0)*N98/M98)+2*INT(MAX(AA98+(2),0)*N98/N98)&gt;=L98),MAX(AA98+(2),0)*N98,1000000000)))</f>
        <v>4707</v>
      </c>
      <c r="AC98" s="42" t="n">
        <f aca="false">IF(L98=0,0,MIN(T98,X98,AB98))</f>
        <v>4707</v>
      </c>
      <c r="AD98" s="15" t="n">
        <f aca="false">I98*INDEX(lg_bkg_3463,B98)</f>
        <v>4727.0302832</v>
      </c>
      <c r="AE98" s="33" t="n">
        <f aca="false">I98*INDEX(lg_bvol_3463,B98)</f>
        <v>19.6681472</v>
      </c>
    </row>
    <row r="99" customFormat="false" ht="15" hidden="false" customHeight="false" outlineLevel="0" collapsed="false">
      <c r="A99" s="9" t="n">
        <v>8</v>
      </c>
      <c r="B99" s="9" t="n">
        <v>2</v>
      </c>
      <c r="C99" s="9" t="s">
        <v>17</v>
      </c>
      <c r="D99" s="10" t="n">
        <f aca="false">INDEX(cfg_ct,A99)</f>
        <v>2</v>
      </c>
      <c r="E99" s="10" t="n">
        <f aca="false">INDEX(cfg_n,A99)</f>
        <v>1</v>
      </c>
      <c r="F99" s="15" t="n">
        <f aca="false">INDEX(cfg_u_3460,A99,B99)</f>
        <v>22600</v>
      </c>
      <c r="G99" s="15" t="n">
        <f aca="false">F99/E99</f>
        <v>22600</v>
      </c>
      <c r="H99" s="10" t="n">
        <f aca="false">INDEX(lg_n_3460,B99)</f>
        <v>50</v>
      </c>
      <c r="I99" s="15" t="n">
        <f aca="false">ROUNDUP(G99/H99,0)</f>
        <v>452</v>
      </c>
      <c r="J99" s="10" t="n">
        <f aca="false">INDEX(lg_layers_3460_40GP,B99)</f>
        <v>28</v>
      </c>
      <c r="K99" s="26" t="n">
        <f aca="false">INDEX(in_use_efficiency,1,B99)</f>
        <v>0.95</v>
      </c>
      <c r="L99" s="10" t="n">
        <f aca="false">IF(I99=0,0,ROUNDUP(I99/(K99*J99)-0.000000001,0))</f>
        <v>17</v>
      </c>
      <c r="M99" s="10" t="n">
        <f aca="false">INDEX(lg_a_3460,B99)</f>
        <v>840</v>
      </c>
      <c r="N99" s="10" t="n">
        <f aca="false">INDEX(lg_b_3460,B99)</f>
        <v>423</v>
      </c>
      <c r="O99" s="10" t="n">
        <f aca="false">INDEX(lg_Wu_40GP,B99)</f>
        <v>2330</v>
      </c>
      <c r="P99" s="10" t="n">
        <f aca="false">INDEX(lg_Lu_40GP,B99)</f>
        <v>11930</v>
      </c>
      <c r="Q99" s="10" t="n">
        <f aca="false">IF(O99-0*M99&gt;=0,INT((O99-0*M99)/N99),-1)</f>
        <v>5</v>
      </c>
      <c r="R99" s="10" t="n">
        <f aca="false">IF(AND(Q99&gt;=0,Q99+0&gt;0),ROUNDUP(L99/(Q99+0*M99/N99),0),0)</f>
        <v>4</v>
      </c>
      <c r="S99" s="10" t="n">
        <f aca="false">IF(AND(Q99&gt;=0,Q99+0&gt;0),ROUNDUP(L99/(Q99*N99/M99+0),0),0)</f>
        <v>7</v>
      </c>
      <c r="T99" s="10" t="n">
        <f aca="false">IF(OR(Q99&lt;0,Q99+0=0),1000000000,MIN(IF(AND(MAX(R99+(-1),0)*M99&gt;0,Q99*INT(MAX(R99+(-1),0)*M99/M99)+0*INT(MAX(R99+(-1),0)*M99/N99)&gt;=L99),MAX(R99+(-1),0)*M99,1000000000),IF(AND(MAX(R99+(0),0)*M99&gt;0,Q99*INT(MAX(R99+(0),0)*M99/M99)+0*INT(MAX(R99+(0),0)*M99/N99)&gt;=L99),MAX(R99+(0),0)*M99,1000000000),IF(AND(MAX(R99+(1),0)*M99&gt;0,Q99*INT(MAX(R99+(1),0)*M99/M99)+0*INT(MAX(R99+(1),0)*M99/N99)&gt;=L99),MAX(R99+(1),0)*M99,1000000000),IF(AND(MAX(R99+(2),0)*M99&gt;0,Q99*INT(MAX(R99+(2),0)*M99/M99)+0*INT(MAX(R99+(2),0)*M99/N99)&gt;=L99),MAX(R99+(2),0)*M99,1000000000),IF(AND(MAX(S99+(-1),0)*N99&gt;0,Q99*INT(MAX(S99+(-1),0)*N99/M99)+0*INT(MAX(S99+(-1),0)*N99/N99)&gt;=L99),MAX(S99+(-1),0)*N99,1000000000),IF(AND(MAX(S99+(0),0)*N99&gt;0,Q99*INT(MAX(S99+(0),0)*N99/M99)+0*INT(MAX(S99+(0),0)*N99/N99)&gt;=L99),MAX(S99+(0),0)*N99,1000000000),IF(AND(MAX(S99+(1),0)*N99&gt;0,Q99*INT(MAX(S99+(1),0)*N99/M99)+0*INT(MAX(S99+(1),0)*N99/N99)&gt;=L99),MAX(S99+(1),0)*N99,1000000000),IF(AND(MAX(S99+(2),0)*N99&gt;0,Q99*INT(MAX(S99+(2),0)*N99/M99)+0*INT(MAX(S99+(2),0)*N99/N99)&gt;=L99),MAX(S99+(2),0)*N99,1000000000)))</f>
        <v>3360</v>
      </c>
      <c r="U99" s="10" t="n">
        <f aca="false">IF(O99-1*M99&gt;=0,INT((O99-1*M99)/N99),-1)</f>
        <v>3</v>
      </c>
      <c r="V99" s="10" t="n">
        <f aca="false">IF(AND(U99&gt;=0,U99+1&gt;0),ROUNDUP(L99/(U99+1*M99/N99),0),0)</f>
        <v>4</v>
      </c>
      <c r="W99" s="10" t="n">
        <f aca="false">IF(AND(U99&gt;=0,U99+1&gt;0),ROUNDUP(L99/(U99*N99/M99+1),0),0)</f>
        <v>7</v>
      </c>
      <c r="X99" s="10" t="n">
        <f aca="false">IF(OR(U99&lt;0,U99+1=0),1000000000,MIN(IF(AND(MAX(V99+(-1),0)*M99&gt;0,U99*INT(MAX(V99+(-1),0)*M99/M99)+1*INT(MAX(V99+(-1),0)*M99/N99)&gt;=L99),MAX(V99+(-1),0)*M99,1000000000),IF(AND(MAX(V99+(0),0)*M99&gt;0,U99*INT(MAX(V99+(0),0)*M99/M99)+1*INT(MAX(V99+(0),0)*M99/N99)&gt;=L99),MAX(V99+(0),0)*M99,1000000000),IF(AND(MAX(V99+(1),0)*M99&gt;0,U99*INT(MAX(V99+(1),0)*M99/M99)+1*INT(MAX(V99+(1),0)*M99/N99)&gt;=L99),MAX(V99+(1),0)*M99,1000000000),IF(AND(MAX(V99+(2),0)*M99&gt;0,U99*INT(MAX(V99+(2),0)*M99/M99)+1*INT(MAX(V99+(2),0)*M99/N99)&gt;=L99),MAX(V99+(2),0)*M99,1000000000),IF(AND(MAX(W99+(-1),0)*N99&gt;0,U99*INT(MAX(W99+(-1),0)*N99/M99)+1*INT(MAX(W99+(-1),0)*N99/N99)&gt;=L99),MAX(W99+(-1),0)*N99,1000000000),IF(AND(MAX(W99+(0),0)*N99&gt;0,U99*INT(MAX(W99+(0),0)*N99/M99)+1*INT(MAX(W99+(0),0)*N99/N99)&gt;=L99),MAX(W99+(0),0)*N99,1000000000),IF(AND(MAX(W99+(1),0)*N99&gt;0,U99*INT(MAX(W99+(1),0)*N99/M99)+1*INT(MAX(W99+(1),0)*N99/N99)&gt;=L99),MAX(W99+(1),0)*N99,1000000000),IF(AND(MAX(W99+(2),0)*N99&gt;0,U99*INT(MAX(W99+(2),0)*N99/M99)+1*INT(MAX(W99+(2),0)*N99/N99)&gt;=L99),MAX(W99+(2),0)*N99,1000000000)))</f>
        <v>3360</v>
      </c>
      <c r="Y99" s="10" t="n">
        <f aca="false">IF(O99-2*M99&gt;=0,INT((O99-2*M99)/N99),-1)</f>
        <v>1</v>
      </c>
      <c r="Z99" s="10" t="n">
        <f aca="false">IF(AND(Y99&gt;=0,Y99+2&gt;0),ROUNDUP(L99/(Y99+2*M99/N99),0),0)</f>
        <v>4</v>
      </c>
      <c r="AA99" s="10" t="n">
        <f aca="false">IF(AND(Y99&gt;=0,Y99+2&gt;0),ROUNDUP(L99/(Y99*N99/M99+2),0),0)</f>
        <v>7</v>
      </c>
      <c r="AB99" s="10" t="n">
        <f aca="false">IF(OR(Y99&lt;0,Y99+2=0),1000000000,MIN(IF(AND(MAX(Z99+(-1),0)*M99&gt;0,Y99*INT(MAX(Z99+(-1),0)*M99/M99)+2*INT(MAX(Z99+(-1),0)*M99/N99)&gt;=L99),MAX(Z99+(-1),0)*M99,1000000000),IF(AND(MAX(Z99+(0),0)*M99&gt;0,Y99*INT(MAX(Z99+(0),0)*M99/M99)+2*INT(MAX(Z99+(0),0)*M99/N99)&gt;=L99),MAX(Z99+(0),0)*M99,1000000000),IF(AND(MAX(Z99+(1),0)*M99&gt;0,Y99*INT(MAX(Z99+(1),0)*M99/M99)+2*INT(MAX(Z99+(1),0)*M99/N99)&gt;=L99),MAX(Z99+(1),0)*M99,1000000000),IF(AND(MAX(Z99+(2),0)*M99&gt;0,Y99*INT(MAX(Z99+(2),0)*M99/M99)+2*INT(MAX(Z99+(2),0)*M99/N99)&gt;=L99),MAX(Z99+(2),0)*M99,1000000000),IF(AND(MAX(AA99+(-1),0)*N99&gt;0,Y99*INT(MAX(AA99+(-1),0)*N99/M99)+2*INT(MAX(AA99+(-1),0)*N99/N99)&gt;=L99),MAX(AA99+(-1),0)*N99,1000000000),IF(AND(MAX(AA99+(0),0)*N99&gt;0,Y99*INT(MAX(AA99+(0),0)*N99/M99)+2*INT(MAX(AA99+(0),0)*N99/N99)&gt;=L99),MAX(AA99+(0),0)*N99,1000000000),IF(AND(MAX(AA99+(1),0)*N99&gt;0,Y99*INT(MAX(AA99+(1),0)*N99/M99)+2*INT(MAX(AA99+(1),0)*N99/N99)&gt;=L99),MAX(AA99+(1),0)*N99,1000000000),IF(AND(MAX(AA99+(2),0)*N99&gt;0,Y99*INT(MAX(AA99+(2),0)*N99/M99)+2*INT(MAX(AA99+(2),0)*N99/N99)&gt;=L99),MAX(AA99+(2),0)*N99,1000000000)))</f>
        <v>2961</v>
      </c>
      <c r="AC99" s="42" t="n">
        <f aca="false">IF(L99=0,0,MIN(T99,X99,AB99))</f>
        <v>2961</v>
      </c>
      <c r="AD99" s="15" t="n">
        <f aca="false">I99*INDEX(lg_bkg_3460,B99)</f>
        <v>3093.1533392</v>
      </c>
      <c r="AE99" s="33" t="n">
        <f aca="false">I99*INDEX(lg_bvol_3460,B99)</f>
        <v>12.8483712</v>
      </c>
    </row>
    <row r="100" customFormat="false" ht="15" hidden="false" customHeight="false" outlineLevel="0" collapsed="false">
      <c r="A100" s="9" t="n">
        <v>8</v>
      </c>
      <c r="B100" s="9" t="n">
        <v>3</v>
      </c>
      <c r="C100" s="9" t="s">
        <v>15</v>
      </c>
      <c r="D100" s="10" t="n">
        <f aca="false">INDEX(cfg_ct,A100)</f>
        <v>2</v>
      </c>
      <c r="E100" s="10" t="n">
        <f aca="false">INDEX(cfg_n,A100)</f>
        <v>1</v>
      </c>
      <c r="F100" s="15" t="n">
        <f aca="false">INDEX(cfg_u_3464,A100,B100)</f>
        <v>19100</v>
      </c>
      <c r="G100" s="15" t="n">
        <f aca="false">F100/E100</f>
        <v>19100</v>
      </c>
      <c r="H100" s="10" t="n">
        <f aca="false">INDEX(lg_n_3464,B100)</f>
        <v>50</v>
      </c>
      <c r="I100" s="15" t="n">
        <f aca="false">ROUNDUP(G100/H100,0)</f>
        <v>382</v>
      </c>
      <c r="J100" s="10" t="n">
        <f aca="false">INDEX(lg_layers_3464_40GP,B100)</f>
        <v>25</v>
      </c>
      <c r="K100" s="26" t="n">
        <f aca="false">INDEX(in_use_efficiency,1,B100)</f>
        <v>0.9</v>
      </c>
      <c r="L100" s="10" t="n">
        <f aca="false">IF(I100=0,0,ROUNDUP(I100/(K100*J100)-0.000000001,0))</f>
        <v>17</v>
      </c>
      <c r="M100" s="10" t="n">
        <f aca="false">INDEX(lg_a_3464,B100)</f>
        <v>940</v>
      </c>
      <c r="N100" s="10" t="n">
        <f aca="false">INDEX(lg_b_3464,B100)</f>
        <v>473</v>
      </c>
      <c r="O100" s="10" t="n">
        <f aca="false">INDEX(lg_Wu_40GP,B100)</f>
        <v>2330</v>
      </c>
      <c r="P100" s="10" t="n">
        <f aca="false">INDEX(lg_Lu_40GP,B100)</f>
        <v>11930</v>
      </c>
      <c r="Q100" s="10" t="n">
        <f aca="false">IF(O100-0*M100&gt;=0,INT((O100-0*M100)/N100),-1)</f>
        <v>4</v>
      </c>
      <c r="R100" s="10" t="n">
        <f aca="false">IF(AND(Q100&gt;=0,Q100+0&gt;0),ROUNDUP(L100/(Q100+0*M100/N100),0),0)</f>
        <v>5</v>
      </c>
      <c r="S100" s="10" t="n">
        <f aca="false">IF(AND(Q100&gt;=0,Q100+0&gt;0),ROUNDUP(L100/(Q100*N100/M100+0),0),0)</f>
        <v>9</v>
      </c>
      <c r="T100" s="10" t="n">
        <f aca="false">IF(OR(Q100&lt;0,Q100+0=0),1000000000,MIN(IF(AND(MAX(R100+(-1),0)*M100&gt;0,Q100*INT(MAX(R100+(-1),0)*M100/M100)+0*INT(MAX(R100+(-1),0)*M100/N100)&gt;=L100),MAX(R100+(-1),0)*M100,1000000000),IF(AND(MAX(R100+(0),0)*M100&gt;0,Q100*INT(MAX(R100+(0),0)*M100/M100)+0*INT(MAX(R100+(0),0)*M100/N100)&gt;=L100),MAX(R100+(0),0)*M100,1000000000),IF(AND(MAX(R100+(1),0)*M100&gt;0,Q100*INT(MAX(R100+(1),0)*M100/M100)+0*INT(MAX(R100+(1),0)*M100/N100)&gt;=L100),MAX(R100+(1),0)*M100,1000000000),IF(AND(MAX(R100+(2),0)*M100&gt;0,Q100*INT(MAX(R100+(2),0)*M100/M100)+0*INT(MAX(R100+(2),0)*M100/N100)&gt;=L100),MAX(R100+(2),0)*M100,1000000000),IF(AND(MAX(S100+(-1),0)*N100&gt;0,Q100*INT(MAX(S100+(-1),0)*N100/M100)+0*INT(MAX(S100+(-1),0)*N100/N100)&gt;=L100),MAX(S100+(-1),0)*N100,1000000000),IF(AND(MAX(S100+(0),0)*N100&gt;0,Q100*INT(MAX(S100+(0),0)*N100/M100)+0*INT(MAX(S100+(0),0)*N100/N100)&gt;=L100),MAX(S100+(0),0)*N100,1000000000),IF(AND(MAX(S100+(1),0)*N100&gt;0,Q100*INT(MAX(S100+(1),0)*N100/M100)+0*INT(MAX(S100+(1),0)*N100/N100)&gt;=L100),MAX(S100+(1),0)*N100,1000000000),IF(AND(MAX(S100+(2),0)*N100&gt;0,Q100*INT(MAX(S100+(2),0)*N100/M100)+0*INT(MAX(S100+(2),0)*N100/N100)&gt;=L100),MAX(S100+(2),0)*N100,1000000000)))</f>
        <v>4700</v>
      </c>
      <c r="U100" s="10" t="n">
        <f aca="false">IF(O100-1*M100&gt;=0,INT((O100-1*M100)/N100),-1)</f>
        <v>2</v>
      </c>
      <c r="V100" s="10" t="n">
        <f aca="false">IF(AND(U100&gt;=0,U100+1&gt;0),ROUNDUP(L100/(U100+1*M100/N100),0),0)</f>
        <v>5</v>
      </c>
      <c r="W100" s="10" t="n">
        <f aca="false">IF(AND(U100&gt;=0,U100+1&gt;0),ROUNDUP(L100/(U100*N100/M100+1),0),0)</f>
        <v>9</v>
      </c>
      <c r="X100" s="10" t="n">
        <f aca="false">IF(OR(U100&lt;0,U100+1=0),1000000000,MIN(IF(AND(MAX(V100+(-1),0)*M100&gt;0,U100*INT(MAX(V100+(-1),0)*M100/M100)+1*INT(MAX(V100+(-1),0)*M100/N100)&gt;=L100),MAX(V100+(-1),0)*M100,1000000000),IF(AND(MAX(V100+(0),0)*M100&gt;0,U100*INT(MAX(V100+(0),0)*M100/M100)+1*INT(MAX(V100+(0),0)*M100/N100)&gt;=L100),MAX(V100+(0),0)*M100,1000000000),IF(AND(MAX(V100+(1),0)*M100&gt;0,U100*INT(MAX(V100+(1),0)*M100/M100)+1*INT(MAX(V100+(1),0)*M100/N100)&gt;=L100),MAX(V100+(1),0)*M100,1000000000),IF(AND(MAX(V100+(2),0)*M100&gt;0,U100*INT(MAX(V100+(2),0)*M100/M100)+1*INT(MAX(V100+(2),0)*M100/N100)&gt;=L100),MAX(V100+(2),0)*M100,1000000000),IF(AND(MAX(W100+(-1),0)*N100&gt;0,U100*INT(MAX(W100+(-1),0)*N100/M100)+1*INT(MAX(W100+(-1),0)*N100/N100)&gt;=L100),MAX(W100+(-1),0)*N100,1000000000),IF(AND(MAX(W100+(0),0)*N100&gt;0,U100*INT(MAX(W100+(0),0)*N100/M100)+1*INT(MAX(W100+(0),0)*N100/N100)&gt;=L100),MAX(W100+(0),0)*N100,1000000000),IF(AND(MAX(W100+(1),0)*N100&gt;0,U100*INT(MAX(W100+(1),0)*N100/M100)+1*INT(MAX(W100+(1),0)*N100/N100)&gt;=L100),MAX(W100+(1),0)*N100,1000000000),IF(AND(MAX(W100+(2),0)*N100&gt;0,U100*INT(MAX(W100+(2),0)*N100/M100)+1*INT(MAX(W100+(2),0)*N100/N100)&gt;=L100),MAX(W100+(2),0)*N100,1000000000)))</f>
        <v>4257</v>
      </c>
      <c r="Y100" s="10" t="n">
        <f aca="false">IF(O100-2*M100&gt;=0,INT((O100-2*M100)/N100),-1)</f>
        <v>0</v>
      </c>
      <c r="Z100" s="10" t="n">
        <f aca="false">IF(AND(Y100&gt;=0,Y100+2&gt;0),ROUNDUP(L100/(Y100+2*M100/N100),0),0)</f>
        <v>5</v>
      </c>
      <c r="AA100" s="10" t="n">
        <f aca="false">IF(AND(Y100&gt;=0,Y100+2&gt;0),ROUNDUP(L100/(Y100*N100/M100+2),0),0)</f>
        <v>9</v>
      </c>
      <c r="AB100" s="10" t="n">
        <f aca="false">IF(OR(Y100&lt;0,Y100+2=0),1000000000,MIN(IF(AND(MAX(Z100+(-1),0)*M100&gt;0,Y100*INT(MAX(Z100+(-1),0)*M100/M100)+2*INT(MAX(Z100+(-1),0)*M100/N100)&gt;=L100),MAX(Z100+(-1),0)*M100,1000000000),IF(AND(MAX(Z100+(0),0)*M100&gt;0,Y100*INT(MAX(Z100+(0),0)*M100/M100)+2*INT(MAX(Z100+(0),0)*M100/N100)&gt;=L100),MAX(Z100+(0),0)*M100,1000000000),IF(AND(MAX(Z100+(1),0)*M100&gt;0,Y100*INT(MAX(Z100+(1),0)*M100/M100)+2*INT(MAX(Z100+(1),0)*M100/N100)&gt;=L100),MAX(Z100+(1),0)*M100,1000000000),IF(AND(MAX(Z100+(2),0)*M100&gt;0,Y100*INT(MAX(Z100+(2),0)*M100/M100)+2*INT(MAX(Z100+(2),0)*M100/N100)&gt;=L100),MAX(Z100+(2),0)*M100,1000000000),IF(AND(MAX(AA100+(-1),0)*N100&gt;0,Y100*INT(MAX(AA100+(-1),0)*N100/M100)+2*INT(MAX(AA100+(-1),0)*N100/N100)&gt;=L100),MAX(AA100+(-1),0)*N100,1000000000),IF(AND(MAX(AA100+(0),0)*N100&gt;0,Y100*INT(MAX(AA100+(0),0)*N100/M100)+2*INT(MAX(AA100+(0),0)*N100/N100)&gt;=L100),MAX(AA100+(0),0)*N100,1000000000),IF(AND(MAX(AA100+(1),0)*N100&gt;0,Y100*INT(MAX(AA100+(1),0)*N100/M100)+2*INT(MAX(AA100+(1),0)*N100/N100)&gt;=L100),MAX(AA100+(1),0)*N100,1000000000),IF(AND(MAX(AA100+(2),0)*N100&gt;0,Y100*INT(MAX(AA100+(2),0)*N100/M100)+2*INT(MAX(AA100+(2),0)*N100/N100)&gt;=L100),MAX(AA100+(2),0)*N100,1000000000)))</f>
        <v>4257</v>
      </c>
      <c r="AC100" s="42" t="n">
        <f aca="false">IF(L100=0,0,MIN(T100,X100,AB100))</f>
        <v>4257</v>
      </c>
      <c r="AD100" s="15" t="n">
        <f aca="false">I100*INDEX(lg_bkg_3464,B100)</f>
        <v>3728.9947648</v>
      </c>
      <c r="AE100" s="33" t="n">
        <f aca="false">I100*INDEX(lg_bvol_3464,B100)</f>
        <v>15.2860356</v>
      </c>
    </row>
    <row r="101" customFormat="false" ht="15" hidden="false" customHeight="false" outlineLevel="0" collapsed="false">
      <c r="A101" s="9" t="n">
        <v>8</v>
      </c>
      <c r="B101" s="9" t="n">
        <v>3</v>
      </c>
      <c r="C101" s="9" t="s">
        <v>16</v>
      </c>
      <c r="D101" s="10" t="n">
        <f aca="false">INDEX(cfg_ct,A101)</f>
        <v>2</v>
      </c>
      <c r="E101" s="10" t="n">
        <f aca="false">INDEX(cfg_n,A101)</f>
        <v>1</v>
      </c>
      <c r="F101" s="15" t="n">
        <f aca="false">INDEX(cfg_u_3463,A101,B101)</f>
        <v>19100</v>
      </c>
      <c r="G101" s="15" t="n">
        <f aca="false">F101/E101</f>
        <v>19100</v>
      </c>
      <c r="H101" s="10" t="n">
        <f aca="false">INDEX(lg_n_3463,B101)</f>
        <v>50</v>
      </c>
      <c r="I101" s="15" t="n">
        <f aca="false">ROUNDUP(G101/H101,0)</f>
        <v>382</v>
      </c>
      <c r="J101" s="10" t="n">
        <f aca="false">INDEX(lg_layers_3463_40GP,B101)</f>
        <v>25</v>
      </c>
      <c r="K101" s="26" t="n">
        <f aca="false">INDEX(in_use_efficiency,1,B101)</f>
        <v>0.9</v>
      </c>
      <c r="L101" s="10" t="n">
        <f aca="false">IF(I101=0,0,ROUNDUP(I101/(K101*J101)-0.000000001,0))</f>
        <v>17</v>
      </c>
      <c r="M101" s="10" t="n">
        <f aca="false">INDEX(lg_a_3463,B101)</f>
        <v>1040</v>
      </c>
      <c r="N101" s="10" t="n">
        <f aca="false">INDEX(lg_b_3463,B101)</f>
        <v>523</v>
      </c>
      <c r="O101" s="10" t="n">
        <f aca="false">INDEX(lg_Wu_40GP,B101)</f>
        <v>2330</v>
      </c>
      <c r="P101" s="10" t="n">
        <f aca="false">INDEX(lg_Lu_40GP,B101)</f>
        <v>11930</v>
      </c>
      <c r="Q101" s="10" t="n">
        <f aca="false">IF(O101-0*M101&gt;=0,INT((O101-0*M101)/N101),-1)</f>
        <v>4</v>
      </c>
      <c r="R101" s="10" t="n">
        <f aca="false">IF(AND(Q101&gt;=0,Q101+0&gt;0),ROUNDUP(L101/(Q101+0*M101/N101),0),0)</f>
        <v>5</v>
      </c>
      <c r="S101" s="10" t="n">
        <f aca="false">IF(AND(Q101&gt;=0,Q101+0&gt;0),ROUNDUP(L101/(Q101*N101/M101+0),0),0)</f>
        <v>9</v>
      </c>
      <c r="T101" s="10" t="n">
        <f aca="false">IF(OR(Q101&lt;0,Q101+0=0),1000000000,MIN(IF(AND(MAX(R101+(-1),0)*M101&gt;0,Q101*INT(MAX(R101+(-1),0)*M101/M101)+0*INT(MAX(R101+(-1),0)*M101/N101)&gt;=L101),MAX(R101+(-1),0)*M101,1000000000),IF(AND(MAX(R101+(0),0)*M101&gt;0,Q101*INT(MAX(R101+(0),0)*M101/M101)+0*INT(MAX(R101+(0),0)*M101/N101)&gt;=L101),MAX(R101+(0),0)*M101,1000000000),IF(AND(MAX(R101+(1),0)*M101&gt;0,Q101*INT(MAX(R101+(1),0)*M101/M101)+0*INT(MAX(R101+(1),0)*M101/N101)&gt;=L101),MAX(R101+(1),0)*M101,1000000000),IF(AND(MAX(R101+(2),0)*M101&gt;0,Q101*INT(MAX(R101+(2),0)*M101/M101)+0*INT(MAX(R101+(2),0)*M101/N101)&gt;=L101),MAX(R101+(2),0)*M101,1000000000),IF(AND(MAX(S101+(-1),0)*N101&gt;0,Q101*INT(MAX(S101+(-1),0)*N101/M101)+0*INT(MAX(S101+(-1),0)*N101/N101)&gt;=L101),MAX(S101+(-1),0)*N101,1000000000),IF(AND(MAX(S101+(0),0)*N101&gt;0,Q101*INT(MAX(S101+(0),0)*N101/M101)+0*INT(MAX(S101+(0),0)*N101/N101)&gt;=L101),MAX(S101+(0),0)*N101,1000000000),IF(AND(MAX(S101+(1),0)*N101&gt;0,Q101*INT(MAX(S101+(1),0)*N101/M101)+0*INT(MAX(S101+(1),0)*N101/N101)&gt;=L101),MAX(S101+(1),0)*N101,1000000000),IF(AND(MAX(S101+(2),0)*N101&gt;0,Q101*INT(MAX(S101+(2),0)*N101/M101)+0*INT(MAX(S101+(2),0)*N101/N101)&gt;=L101),MAX(S101+(2),0)*N101,1000000000)))</f>
        <v>5200</v>
      </c>
      <c r="U101" s="10" t="n">
        <f aca="false">IF(O101-1*M101&gt;=0,INT((O101-1*M101)/N101),-1)</f>
        <v>2</v>
      </c>
      <c r="V101" s="10" t="n">
        <f aca="false">IF(AND(U101&gt;=0,U101+1&gt;0),ROUNDUP(L101/(U101+1*M101/N101),0),0)</f>
        <v>5</v>
      </c>
      <c r="W101" s="10" t="n">
        <f aca="false">IF(AND(U101&gt;=0,U101+1&gt;0),ROUNDUP(L101/(U101*N101/M101+1),0),0)</f>
        <v>9</v>
      </c>
      <c r="X101" s="10" t="n">
        <f aca="false">IF(OR(U101&lt;0,U101+1=0),1000000000,MIN(IF(AND(MAX(V101+(-1),0)*M101&gt;0,U101*INT(MAX(V101+(-1),0)*M101/M101)+1*INT(MAX(V101+(-1),0)*M101/N101)&gt;=L101),MAX(V101+(-1),0)*M101,1000000000),IF(AND(MAX(V101+(0),0)*M101&gt;0,U101*INT(MAX(V101+(0),0)*M101/M101)+1*INT(MAX(V101+(0),0)*M101/N101)&gt;=L101),MAX(V101+(0),0)*M101,1000000000),IF(AND(MAX(V101+(1),0)*M101&gt;0,U101*INT(MAX(V101+(1),0)*M101/M101)+1*INT(MAX(V101+(1),0)*M101/N101)&gt;=L101),MAX(V101+(1),0)*M101,1000000000),IF(AND(MAX(V101+(2),0)*M101&gt;0,U101*INT(MAX(V101+(2),0)*M101/M101)+1*INT(MAX(V101+(2),0)*M101/N101)&gt;=L101),MAX(V101+(2),0)*M101,1000000000),IF(AND(MAX(W101+(-1),0)*N101&gt;0,U101*INT(MAX(W101+(-1),0)*N101/M101)+1*INT(MAX(W101+(-1),0)*N101/N101)&gt;=L101),MAX(W101+(-1),0)*N101,1000000000),IF(AND(MAX(W101+(0),0)*N101&gt;0,U101*INT(MAX(W101+(0),0)*N101/M101)+1*INT(MAX(W101+(0),0)*N101/N101)&gt;=L101),MAX(W101+(0),0)*N101,1000000000),IF(AND(MAX(W101+(1),0)*N101&gt;0,U101*INT(MAX(W101+(1),0)*N101/M101)+1*INT(MAX(W101+(1),0)*N101/N101)&gt;=L101),MAX(W101+(1),0)*N101,1000000000),IF(AND(MAX(W101+(2),0)*N101&gt;0,U101*INT(MAX(W101+(2),0)*N101/M101)+1*INT(MAX(W101+(2),0)*N101/N101)&gt;=L101),MAX(W101+(2),0)*N101,1000000000)))</f>
        <v>4707</v>
      </c>
      <c r="Y101" s="10" t="n">
        <f aca="false">IF(O101-2*M101&gt;=0,INT((O101-2*M101)/N101),-1)</f>
        <v>0</v>
      </c>
      <c r="Z101" s="10" t="n">
        <f aca="false">IF(AND(Y101&gt;=0,Y101+2&gt;0),ROUNDUP(L101/(Y101+2*M101/N101),0),0)</f>
        <v>5</v>
      </c>
      <c r="AA101" s="10" t="n">
        <f aca="false">IF(AND(Y101&gt;=0,Y101+2&gt;0),ROUNDUP(L101/(Y101*N101/M101+2),0),0)</f>
        <v>9</v>
      </c>
      <c r="AB101" s="10" t="n">
        <f aca="false">IF(OR(Y101&lt;0,Y101+2=0),1000000000,MIN(IF(AND(MAX(Z101+(-1),0)*M101&gt;0,Y101*INT(MAX(Z101+(-1),0)*M101/M101)+2*INT(MAX(Z101+(-1),0)*M101/N101)&gt;=L101),MAX(Z101+(-1),0)*M101,1000000000),IF(AND(MAX(Z101+(0),0)*M101&gt;0,Y101*INT(MAX(Z101+(0),0)*M101/M101)+2*INT(MAX(Z101+(0),0)*M101/N101)&gt;=L101),MAX(Z101+(0),0)*M101,1000000000),IF(AND(MAX(Z101+(1),0)*M101&gt;0,Y101*INT(MAX(Z101+(1),0)*M101/M101)+2*INT(MAX(Z101+(1),0)*M101/N101)&gt;=L101),MAX(Z101+(1),0)*M101,1000000000),IF(AND(MAX(Z101+(2),0)*M101&gt;0,Y101*INT(MAX(Z101+(2),0)*M101/M101)+2*INT(MAX(Z101+(2),0)*M101/N101)&gt;=L101),MAX(Z101+(2),0)*M101,1000000000),IF(AND(MAX(AA101+(-1),0)*N101&gt;0,Y101*INT(MAX(AA101+(-1),0)*N101/M101)+2*INT(MAX(AA101+(-1),0)*N101/N101)&gt;=L101),MAX(AA101+(-1),0)*N101,1000000000),IF(AND(MAX(AA101+(0),0)*N101&gt;0,Y101*INT(MAX(AA101+(0),0)*N101/M101)+2*INT(MAX(AA101+(0),0)*N101/N101)&gt;=L101),MAX(AA101+(0),0)*N101,1000000000),IF(AND(MAX(AA101+(1),0)*N101&gt;0,Y101*INT(MAX(AA101+(1),0)*N101/M101)+2*INT(MAX(AA101+(1),0)*N101/N101)&gt;=L101),MAX(AA101+(1),0)*N101,1000000000),IF(AND(MAX(AA101+(2),0)*N101&gt;0,Y101*INT(MAX(AA101+(2),0)*N101/M101)+2*INT(MAX(AA101+(2),0)*N101/N101)&gt;=L101),MAX(AA101+(2),0)*N101,1000000000)))</f>
        <v>4707</v>
      </c>
      <c r="AC101" s="42" t="n">
        <f aca="false">IF(L101=0,0,MIN(T101,X101,AB101))</f>
        <v>4707</v>
      </c>
      <c r="AD101" s="15" t="n">
        <f aca="false">I101*INDEX(lg_bkg_3463,B101)</f>
        <v>4560.2206528</v>
      </c>
      <c r="AE101" s="33" t="n">
        <f aca="false">I101*INDEX(lg_bvol_3463,B101)</f>
        <v>18.6999696</v>
      </c>
    </row>
    <row r="102" customFormat="false" ht="15" hidden="false" customHeight="false" outlineLevel="0" collapsed="false">
      <c r="A102" s="9" t="n">
        <v>8</v>
      </c>
      <c r="B102" s="9" t="n">
        <v>3</v>
      </c>
      <c r="C102" s="9" t="s">
        <v>17</v>
      </c>
      <c r="D102" s="10" t="n">
        <f aca="false">INDEX(cfg_ct,A102)</f>
        <v>2</v>
      </c>
      <c r="E102" s="10" t="n">
        <f aca="false">INDEX(cfg_n,A102)</f>
        <v>1</v>
      </c>
      <c r="F102" s="15" t="n">
        <f aca="false">INDEX(cfg_u_3460,A102,B102)</f>
        <v>19100</v>
      </c>
      <c r="G102" s="15" t="n">
        <f aca="false">F102/E102</f>
        <v>19100</v>
      </c>
      <c r="H102" s="10" t="n">
        <f aca="false">INDEX(lg_n_3460,B102)</f>
        <v>50</v>
      </c>
      <c r="I102" s="15" t="n">
        <f aca="false">ROUNDUP(G102/H102,0)</f>
        <v>382</v>
      </c>
      <c r="J102" s="10" t="n">
        <f aca="false">INDEX(lg_layers_3460_40GP,B102)</f>
        <v>25</v>
      </c>
      <c r="K102" s="26" t="n">
        <f aca="false">INDEX(in_use_efficiency,1,B102)</f>
        <v>0.9</v>
      </c>
      <c r="L102" s="10" t="n">
        <f aca="false">IF(I102=0,0,ROUNDUP(I102/(K102*J102)-0.000000001,0))</f>
        <v>17</v>
      </c>
      <c r="M102" s="10" t="n">
        <f aca="false">INDEX(lg_a_3460,B102)</f>
        <v>840</v>
      </c>
      <c r="N102" s="10" t="n">
        <f aca="false">INDEX(lg_b_3460,B102)</f>
        <v>423</v>
      </c>
      <c r="O102" s="10" t="n">
        <f aca="false">INDEX(lg_Wu_40GP,B102)</f>
        <v>2330</v>
      </c>
      <c r="P102" s="10" t="n">
        <f aca="false">INDEX(lg_Lu_40GP,B102)</f>
        <v>11930</v>
      </c>
      <c r="Q102" s="10" t="n">
        <f aca="false">IF(O102-0*M102&gt;=0,INT((O102-0*M102)/N102),-1)</f>
        <v>5</v>
      </c>
      <c r="R102" s="10" t="n">
        <f aca="false">IF(AND(Q102&gt;=0,Q102+0&gt;0),ROUNDUP(L102/(Q102+0*M102/N102),0),0)</f>
        <v>4</v>
      </c>
      <c r="S102" s="10" t="n">
        <f aca="false">IF(AND(Q102&gt;=0,Q102+0&gt;0),ROUNDUP(L102/(Q102*N102/M102+0),0),0)</f>
        <v>7</v>
      </c>
      <c r="T102" s="10" t="n">
        <f aca="false">IF(OR(Q102&lt;0,Q102+0=0),1000000000,MIN(IF(AND(MAX(R102+(-1),0)*M102&gt;0,Q102*INT(MAX(R102+(-1),0)*M102/M102)+0*INT(MAX(R102+(-1),0)*M102/N102)&gt;=L102),MAX(R102+(-1),0)*M102,1000000000),IF(AND(MAX(R102+(0),0)*M102&gt;0,Q102*INT(MAX(R102+(0),0)*M102/M102)+0*INT(MAX(R102+(0),0)*M102/N102)&gt;=L102),MAX(R102+(0),0)*M102,1000000000),IF(AND(MAX(R102+(1),0)*M102&gt;0,Q102*INT(MAX(R102+(1),0)*M102/M102)+0*INT(MAX(R102+(1),0)*M102/N102)&gt;=L102),MAX(R102+(1),0)*M102,1000000000),IF(AND(MAX(R102+(2),0)*M102&gt;0,Q102*INT(MAX(R102+(2),0)*M102/M102)+0*INT(MAX(R102+(2),0)*M102/N102)&gt;=L102),MAX(R102+(2),0)*M102,1000000000),IF(AND(MAX(S102+(-1),0)*N102&gt;0,Q102*INT(MAX(S102+(-1),0)*N102/M102)+0*INT(MAX(S102+(-1),0)*N102/N102)&gt;=L102),MAX(S102+(-1),0)*N102,1000000000),IF(AND(MAX(S102+(0),0)*N102&gt;0,Q102*INT(MAX(S102+(0),0)*N102/M102)+0*INT(MAX(S102+(0),0)*N102/N102)&gt;=L102),MAX(S102+(0),0)*N102,1000000000),IF(AND(MAX(S102+(1),0)*N102&gt;0,Q102*INT(MAX(S102+(1),0)*N102/M102)+0*INT(MAX(S102+(1),0)*N102/N102)&gt;=L102),MAX(S102+(1),0)*N102,1000000000),IF(AND(MAX(S102+(2),0)*N102&gt;0,Q102*INT(MAX(S102+(2),0)*N102/M102)+0*INT(MAX(S102+(2),0)*N102/N102)&gt;=L102),MAX(S102+(2),0)*N102,1000000000)))</f>
        <v>3360</v>
      </c>
      <c r="U102" s="10" t="n">
        <f aca="false">IF(O102-1*M102&gt;=0,INT((O102-1*M102)/N102),-1)</f>
        <v>3</v>
      </c>
      <c r="V102" s="10" t="n">
        <f aca="false">IF(AND(U102&gt;=0,U102+1&gt;0),ROUNDUP(L102/(U102+1*M102/N102),0),0)</f>
        <v>4</v>
      </c>
      <c r="W102" s="10" t="n">
        <f aca="false">IF(AND(U102&gt;=0,U102+1&gt;0),ROUNDUP(L102/(U102*N102/M102+1),0),0)</f>
        <v>7</v>
      </c>
      <c r="X102" s="10" t="n">
        <f aca="false">IF(OR(U102&lt;0,U102+1=0),1000000000,MIN(IF(AND(MAX(V102+(-1),0)*M102&gt;0,U102*INT(MAX(V102+(-1),0)*M102/M102)+1*INT(MAX(V102+(-1),0)*M102/N102)&gt;=L102),MAX(V102+(-1),0)*M102,1000000000),IF(AND(MAX(V102+(0),0)*M102&gt;0,U102*INT(MAX(V102+(0),0)*M102/M102)+1*INT(MAX(V102+(0),0)*M102/N102)&gt;=L102),MAX(V102+(0),0)*M102,1000000000),IF(AND(MAX(V102+(1),0)*M102&gt;0,U102*INT(MAX(V102+(1),0)*M102/M102)+1*INT(MAX(V102+(1),0)*M102/N102)&gt;=L102),MAX(V102+(1),0)*M102,1000000000),IF(AND(MAX(V102+(2),0)*M102&gt;0,U102*INT(MAX(V102+(2),0)*M102/M102)+1*INT(MAX(V102+(2),0)*M102/N102)&gt;=L102),MAX(V102+(2),0)*M102,1000000000),IF(AND(MAX(W102+(-1),0)*N102&gt;0,U102*INT(MAX(W102+(-1),0)*N102/M102)+1*INT(MAX(W102+(-1),0)*N102/N102)&gt;=L102),MAX(W102+(-1),0)*N102,1000000000),IF(AND(MAX(W102+(0),0)*N102&gt;0,U102*INT(MAX(W102+(0),0)*N102/M102)+1*INT(MAX(W102+(0),0)*N102/N102)&gt;=L102),MAX(W102+(0),0)*N102,1000000000),IF(AND(MAX(W102+(1),0)*N102&gt;0,U102*INT(MAX(W102+(1),0)*N102/M102)+1*INT(MAX(W102+(1),0)*N102/N102)&gt;=L102),MAX(W102+(1),0)*N102,1000000000),IF(AND(MAX(W102+(2),0)*N102&gt;0,U102*INT(MAX(W102+(2),0)*N102/M102)+1*INT(MAX(W102+(2),0)*N102/N102)&gt;=L102),MAX(W102+(2),0)*N102,1000000000)))</f>
        <v>3360</v>
      </c>
      <c r="Y102" s="10" t="n">
        <f aca="false">IF(O102-2*M102&gt;=0,INT((O102-2*M102)/N102),-1)</f>
        <v>1</v>
      </c>
      <c r="Z102" s="10" t="n">
        <f aca="false">IF(AND(Y102&gt;=0,Y102+2&gt;0),ROUNDUP(L102/(Y102+2*M102/N102),0),0)</f>
        <v>4</v>
      </c>
      <c r="AA102" s="10" t="n">
        <f aca="false">IF(AND(Y102&gt;=0,Y102+2&gt;0),ROUNDUP(L102/(Y102*N102/M102+2),0),0)</f>
        <v>7</v>
      </c>
      <c r="AB102" s="10" t="n">
        <f aca="false">IF(OR(Y102&lt;0,Y102+2=0),1000000000,MIN(IF(AND(MAX(Z102+(-1),0)*M102&gt;0,Y102*INT(MAX(Z102+(-1),0)*M102/M102)+2*INT(MAX(Z102+(-1),0)*M102/N102)&gt;=L102),MAX(Z102+(-1),0)*M102,1000000000),IF(AND(MAX(Z102+(0),0)*M102&gt;0,Y102*INT(MAX(Z102+(0),0)*M102/M102)+2*INT(MAX(Z102+(0),0)*M102/N102)&gt;=L102),MAX(Z102+(0),0)*M102,1000000000),IF(AND(MAX(Z102+(1),0)*M102&gt;0,Y102*INT(MAX(Z102+(1),0)*M102/M102)+2*INT(MAX(Z102+(1),0)*M102/N102)&gt;=L102),MAX(Z102+(1),0)*M102,1000000000),IF(AND(MAX(Z102+(2),0)*M102&gt;0,Y102*INT(MAX(Z102+(2),0)*M102/M102)+2*INT(MAX(Z102+(2),0)*M102/N102)&gt;=L102),MAX(Z102+(2),0)*M102,1000000000),IF(AND(MAX(AA102+(-1),0)*N102&gt;0,Y102*INT(MAX(AA102+(-1),0)*N102/M102)+2*INT(MAX(AA102+(-1),0)*N102/N102)&gt;=L102),MAX(AA102+(-1),0)*N102,1000000000),IF(AND(MAX(AA102+(0),0)*N102&gt;0,Y102*INT(MAX(AA102+(0),0)*N102/M102)+2*INT(MAX(AA102+(0),0)*N102/N102)&gt;=L102),MAX(AA102+(0),0)*N102,1000000000),IF(AND(MAX(AA102+(1),0)*N102&gt;0,Y102*INT(MAX(AA102+(1),0)*N102/M102)+2*INT(MAX(AA102+(1),0)*N102/N102)&gt;=L102),MAX(AA102+(1),0)*N102,1000000000),IF(AND(MAX(AA102+(2),0)*N102&gt;0,Y102*INT(MAX(AA102+(2),0)*N102/M102)+2*INT(MAX(AA102+(2),0)*N102/N102)&gt;=L102),MAX(AA102+(2),0)*N102,1000000000)))</f>
        <v>2961</v>
      </c>
      <c r="AC102" s="42" t="n">
        <f aca="false">IF(L102=0,0,MIN(T102,X102,AB102))</f>
        <v>2961</v>
      </c>
      <c r="AD102" s="15" t="n">
        <f aca="false">I102*INDEX(lg_bkg_3460,B102)</f>
        <v>2982.1144768</v>
      </c>
      <c r="AE102" s="33" t="n">
        <f aca="false">I102*INDEX(lg_bvol_3460,B102)</f>
        <v>12.2159016</v>
      </c>
    </row>
    <row r="103" customFormat="false" ht="15" hidden="false" customHeight="false" outlineLevel="0" collapsed="false">
      <c r="A103" s="9" t="n">
        <v>9</v>
      </c>
      <c r="B103" s="9" t="n">
        <v>1</v>
      </c>
      <c r="C103" s="9" t="s">
        <v>15</v>
      </c>
      <c r="D103" s="10" t="n">
        <f aca="false">INDEX(cfg_ct,A103)</f>
        <v>1</v>
      </c>
      <c r="E103" s="10" t="n">
        <f aca="false">INDEX(cfg_n,A103)</f>
        <v>1</v>
      </c>
      <c r="F103" s="15" t="n">
        <f aca="false">INDEX(cfg_u_3464,A103,B103)</f>
        <v>11600</v>
      </c>
      <c r="G103" s="15" t="n">
        <f aca="false">F103/E103</f>
        <v>11600</v>
      </c>
      <c r="H103" s="10" t="n">
        <f aca="false">INDEX(lg_n_3464,B103)</f>
        <v>50</v>
      </c>
      <c r="I103" s="15" t="n">
        <f aca="false">ROUNDUP(G103/H103,0)</f>
        <v>232</v>
      </c>
      <c r="J103" s="10" t="n">
        <f aca="false">INDEX(lg_layers_3464_20GP,B103)</f>
        <v>30</v>
      </c>
      <c r="K103" s="26" t="n">
        <f aca="false">INDEX(in_use_efficiency,1,B103)</f>
        <v>0.97</v>
      </c>
      <c r="L103" s="10" t="n">
        <f aca="false">IF(I103=0,0,ROUNDUP(I103/(K103*J103)-0.000000001,0))</f>
        <v>8</v>
      </c>
      <c r="M103" s="10" t="n">
        <f aca="false">INDEX(lg_a_3464,B103)</f>
        <v>940</v>
      </c>
      <c r="N103" s="10" t="n">
        <f aca="false">INDEX(lg_b_3464,B103)</f>
        <v>473</v>
      </c>
      <c r="O103" s="10" t="n">
        <f aca="false">INDEX(lg_Wu_20GP,B103)</f>
        <v>2330</v>
      </c>
      <c r="P103" s="10" t="n">
        <f aca="false">INDEX(lg_Lu_20GP,B103)</f>
        <v>5800</v>
      </c>
      <c r="Q103" s="10" t="n">
        <f aca="false">IF(O103-0*M103&gt;=0,INT((O103-0*M103)/N103),-1)</f>
        <v>4</v>
      </c>
      <c r="R103" s="10" t="n">
        <f aca="false">IF(AND(Q103&gt;=0,Q103+0&gt;0),ROUNDUP(L103/(Q103+0*M103/N103),0),0)</f>
        <v>2</v>
      </c>
      <c r="S103" s="10" t="n">
        <f aca="false">IF(AND(Q103&gt;=0,Q103+0&gt;0),ROUNDUP(L103/(Q103*N103/M103+0),0),0)</f>
        <v>4</v>
      </c>
      <c r="T103" s="10" t="n">
        <f aca="false">IF(OR(Q103&lt;0,Q103+0=0),1000000000,MIN(IF(AND(MAX(R103+(-1),0)*M103&gt;0,Q103*INT(MAX(R103+(-1),0)*M103/M103)+0*INT(MAX(R103+(-1),0)*M103/N103)&gt;=L103),MAX(R103+(-1),0)*M103,1000000000),IF(AND(MAX(R103+(0),0)*M103&gt;0,Q103*INT(MAX(R103+(0),0)*M103/M103)+0*INT(MAX(R103+(0),0)*M103/N103)&gt;=L103),MAX(R103+(0),0)*M103,1000000000),IF(AND(MAX(R103+(1),0)*M103&gt;0,Q103*INT(MAX(R103+(1),0)*M103/M103)+0*INT(MAX(R103+(1),0)*M103/N103)&gt;=L103),MAX(R103+(1),0)*M103,1000000000),IF(AND(MAX(R103+(2),0)*M103&gt;0,Q103*INT(MAX(R103+(2),0)*M103/M103)+0*INT(MAX(R103+(2),0)*M103/N103)&gt;=L103),MAX(R103+(2),0)*M103,1000000000),IF(AND(MAX(S103+(-1),0)*N103&gt;0,Q103*INT(MAX(S103+(-1),0)*N103/M103)+0*INT(MAX(S103+(-1),0)*N103/N103)&gt;=L103),MAX(S103+(-1),0)*N103,1000000000),IF(AND(MAX(S103+(0),0)*N103&gt;0,Q103*INT(MAX(S103+(0),0)*N103/M103)+0*INT(MAX(S103+(0),0)*N103/N103)&gt;=L103),MAX(S103+(0),0)*N103,1000000000),IF(AND(MAX(S103+(1),0)*N103&gt;0,Q103*INT(MAX(S103+(1),0)*N103/M103)+0*INT(MAX(S103+(1),0)*N103/N103)&gt;=L103),MAX(S103+(1),0)*N103,1000000000),IF(AND(MAX(S103+(2),0)*N103&gt;0,Q103*INT(MAX(S103+(2),0)*N103/M103)+0*INT(MAX(S103+(2),0)*N103/N103)&gt;=L103),MAX(S103+(2),0)*N103,1000000000)))</f>
        <v>1880</v>
      </c>
      <c r="U103" s="10" t="n">
        <f aca="false">IF(O103-1*M103&gt;=0,INT((O103-1*M103)/N103),-1)</f>
        <v>2</v>
      </c>
      <c r="V103" s="10" t="n">
        <f aca="false">IF(AND(U103&gt;=0,U103+1&gt;0),ROUNDUP(L103/(U103+1*M103/N103),0),0)</f>
        <v>3</v>
      </c>
      <c r="W103" s="10" t="n">
        <f aca="false">IF(AND(U103&gt;=0,U103+1&gt;0),ROUNDUP(L103/(U103*N103/M103+1),0),0)</f>
        <v>4</v>
      </c>
      <c r="X103" s="10" t="n">
        <f aca="false">IF(OR(U103&lt;0,U103+1=0),1000000000,MIN(IF(AND(MAX(V103+(-1),0)*M103&gt;0,U103*INT(MAX(V103+(-1),0)*M103/M103)+1*INT(MAX(V103+(-1),0)*M103/N103)&gt;=L103),MAX(V103+(-1),0)*M103,1000000000),IF(AND(MAX(V103+(0),0)*M103&gt;0,U103*INT(MAX(V103+(0),0)*M103/M103)+1*INT(MAX(V103+(0),0)*M103/N103)&gt;=L103),MAX(V103+(0),0)*M103,1000000000),IF(AND(MAX(V103+(1),0)*M103&gt;0,U103*INT(MAX(V103+(1),0)*M103/M103)+1*INT(MAX(V103+(1),0)*M103/N103)&gt;=L103),MAX(V103+(1),0)*M103,1000000000),IF(AND(MAX(V103+(2),0)*M103&gt;0,U103*INT(MAX(V103+(2),0)*M103/M103)+1*INT(MAX(V103+(2),0)*M103/N103)&gt;=L103),MAX(V103+(2),0)*M103,1000000000),IF(AND(MAX(W103+(-1),0)*N103&gt;0,U103*INT(MAX(W103+(-1),0)*N103/M103)+1*INT(MAX(W103+(-1),0)*N103/N103)&gt;=L103),MAX(W103+(-1),0)*N103,1000000000),IF(AND(MAX(W103+(0),0)*N103&gt;0,U103*INT(MAX(W103+(0),0)*N103/M103)+1*INT(MAX(W103+(0),0)*N103/N103)&gt;=L103),MAX(W103+(0),0)*N103,1000000000),IF(AND(MAX(W103+(1),0)*N103&gt;0,U103*INT(MAX(W103+(1),0)*N103/M103)+1*INT(MAX(W103+(1),0)*N103/N103)&gt;=L103),MAX(W103+(1),0)*N103,1000000000),IF(AND(MAX(W103+(2),0)*N103&gt;0,U103*INT(MAX(W103+(2),0)*N103/M103)+1*INT(MAX(W103+(2),0)*N103/N103)&gt;=L103),MAX(W103+(2),0)*N103,1000000000)))</f>
        <v>1892</v>
      </c>
      <c r="Y103" s="10" t="n">
        <f aca="false">IF(O103-2*M103&gt;=0,INT((O103-2*M103)/N103),-1)</f>
        <v>0</v>
      </c>
      <c r="Z103" s="10" t="n">
        <f aca="false">IF(AND(Y103&gt;=0,Y103+2&gt;0),ROUNDUP(L103/(Y103+2*M103/N103),0),0)</f>
        <v>3</v>
      </c>
      <c r="AA103" s="10" t="n">
        <f aca="false">IF(AND(Y103&gt;=0,Y103+2&gt;0),ROUNDUP(L103/(Y103*N103/M103+2),0),0)</f>
        <v>4</v>
      </c>
      <c r="AB103" s="10" t="n">
        <f aca="false">IF(OR(Y103&lt;0,Y103+2=0),1000000000,MIN(IF(AND(MAX(Z103+(-1),0)*M103&gt;0,Y103*INT(MAX(Z103+(-1),0)*M103/M103)+2*INT(MAX(Z103+(-1),0)*M103/N103)&gt;=L103),MAX(Z103+(-1),0)*M103,1000000000),IF(AND(MAX(Z103+(0),0)*M103&gt;0,Y103*INT(MAX(Z103+(0),0)*M103/M103)+2*INT(MAX(Z103+(0),0)*M103/N103)&gt;=L103),MAX(Z103+(0),0)*M103,1000000000),IF(AND(MAX(Z103+(1),0)*M103&gt;0,Y103*INT(MAX(Z103+(1),0)*M103/M103)+2*INT(MAX(Z103+(1),0)*M103/N103)&gt;=L103),MAX(Z103+(1),0)*M103,1000000000),IF(AND(MAX(Z103+(2),0)*M103&gt;0,Y103*INT(MAX(Z103+(2),0)*M103/M103)+2*INT(MAX(Z103+(2),0)*M103/N103)&gt;=L103),MAX(Z103+(2),0)*M103,1000000000),IF(AND(MAX(AA103+(-1),0)*N103&gt;0,Y103*INT(MAX(AA103+(-1),0)*N103/M103)+2*INT(MAX(AA103+(-1),0)*N103/N103)&gt;=L103),MAX(AA103+(-1),0)*N103,1000000000),IF(AND(MAX(AA103+(0),0)*N103&gt;0,Y103*INT(MAX(AA103+(0),0)*N103/M103)+2*INT(MAX(AA103+(0),0)*N103/N103)&gt;=L103),MAX(AA103+(0),0)*N103,1000000000),IF(AND(MAX(AA103+(1),0)*N103&gt;0,Y103*INT(MAX(AA103+(1),0)*N103/M103)+2*INT(MAX(AA103+(1),0)*N103/N103)&gt;=L103),MAX(AA103+(1),0)*N103,1000000000),IF(AND(MAX(AA103+(2),0)*N103&gt;0,Y103*INT(MAX(AA103+(2),0)*N103/M103)+2*INT(MAX(AA103+(2),0)*N103/N103)&gt;=L103),MAX(AA103+(2),0)*N103,1000000000)))</f>
        <v>1892</v>
      </c>
      <c r="AC103" s="42" t="n">
        <f aca="false">IF(L103=0,0,MIN(T103,X103,AB103))</f>
        <v>1880</v>
      </c>
      <c r="AD103" s="15" t="n">
        <f aca="false">I103*INDEX(lg_bkg_3464,B103)</f>
        <v>1891.141504</v>
      </c>
      <c r="AE103" s="33" t="n">
        <f aca="false">I103*INDEX(lg_bvol_3464,B103)</f>
        <v>7.736388</v>
      </c>
    </row>
    <row r="104" customFormat="false" ht="15" hidden="false" customHeight="false" outlineLevel="0" collapsed="false">
      <c r="A104" s="9" t="n">
        <v>9</v>
      </c>
      <c r="B104" s="9" t="n">
        <v>1</v>
      </c>
      <c r="C104" s="9" t="s">
        <v>16</v>
      </c>
      <c r="D104" s="10" t="n">
        <f aca="false">INDEX(cfg_ct,A104)</f>
        <v>1</v>
      </c>
      <c r="E104" s="10" t="n">
        <f aca="false">INDEX(cfg_n,A104)</f>
        <v>1</v>
      </c>
      <c r="F104" s="15" t="n">
        <f aca="false">INDEX(cfg_u_3463,A104,B104)</f>
        <v>11600</v>
      </c>
      <c r="G104" s="15" t="n">
        <f aca="false">F104/E104</f>
        <v>11600</v>
      </c>
      <c r="H104" s="10" t="n">
        <f aca="false">INDEX(lg_n_3463,B104)</f>
        <v>50</v>
      </c>
      <c r="I104" s="15" t="n">
        <f aca="false">ROUNDUP(G104/H104,0)</f>
        <v>232</v>
      </c>
      <c r="J104" s="10" t="n">
        <f aca="false">INDEX(lg_layers_3463_20GP,B104)</f>
        <v>30</v>
      </c>
      <c r="K104" s="26" t="n">
        <f aca="false">INDEX(in_use_efficiency,1,B104)</f>
        <v>0.97</v>
      </c>
      <c r="L104" s="10" t="n">
        <f aca="false">IF(I104=0,0,ROUNDUP(I104/(K104*J104)-0.000000001,0))</f>
        <v>8</v>
      </c>
      <c r="M104" s="10" t="n">
        <f aca="false">INDEX(lg_a_3463,B104)</f>
        <v>1040</v>
      </c>
      <c r="N104" s="10" t="n">
        <f aca="false">INDEX(lg_b_3463,B104)</f>
        <v>523</v>
      </c>
      <c r="O104" s="10" t="n">
        <f aca="false">INDEX(lg_Wu_20GP,B104)</f>
        <v>2330</v>
      </c>
      <c r="P104" s="10" t="n">
        <f aca="false">INDEX(lg_Lu_20GP,B104)</f>
        <v>5800</v>
      </c>
      <c r="Q104" s="10" t="n">
        <f aca="false">IF(O104-0*M104&gt;=0,INT((O104-0*M104)/N104),-1)</f>
        <v>4</v>
      </c>
      <c r="R104" s="10" t="n">
        <f aca="false">IF(AND(Q104&gt;=0,Q104+0&gt;0),ROUNDUP(L104/(Q104+0*M104/N104),0),0)</f>
        <v>2</v>
      </c>
      <c r="S104" s="10" t="n">
        <f aca="false">IF(AND(Q104&gt;=0,Q104+0&gt;0),ROUNDUP(L104/(Q104*N104/M104+0),0),0)</f>
        <v>4</v>
      </c>
      <c r="T104" s="10" t="n">
        <f aca="false">IF(OR(Q104&lt;0,Q104+0=0),1000000000,MIN(IF(AND(MAX(R104+(-1),0)*M104&gt;0,Q104*INT(MAX(R104+(-1),0)*M104/M104)+0*INT(MAX(R104+(-1),0)*M104/N104)&gt;=L104),MAX(R104+(-1),0)*M104,1000000000),IF(AND(MAX(R104+(0),0)*M104&gt;0,Q104*INT(MAX(R104+(0),0)*M104/M104)+0*INT(MAX(R104+(0),0)*M104/N104)&gt;=L104),MAX(R104+(0),0)*M104,1000000000),IF(AND(MAX(R104+(1),0)*M104&gt;0,Q104*INT(MAX(R104+(1),0)*M104/M104)+0*INT(MAX(R104+(1),0)*M104/N104)&gt;=L104),MAX(R104+(1),0)*M104,1000000000),IF(AND(MAX(R104+(2),0)*M104&gt;0,Q104*INT(MAX(R104+(2),0)*M104/M104)+0*INT(MAX(R104+(2),0)*M104/N104)&gt;=L104),MAX(R104+(2),0)*M104,1000000000),IF(AND(MAX(S104+(-1),0)*N104&gt;0,Q104*INT(MAX(S104+(-1),0)*N104/M104)+0*INT(MAX(S104+(-1),0)*N104/N104)&gt;=L104),MAX(S104+(-1),0)*N104,1000000000),IF(AND(MAX(S104+(0),0)*N104&gt;0,Q104*INT(MAX(S104+(0),0)*N104/M104)+0*INT(MAX(S104+(0),0)*N104/N104)&gt;=L104),MAX(S104+(0),0)*N104,1000000000),IF(AND(MAX(S104+(1),0)*N104&gt;0,Q104*INT(MAX(S104+(1),0)*N104/M104)+0*INT(MAX(S104+(1),0)*N104/N104)&gt;=L104),MAX(S104+(1),0)*N104,1000000000),IF(AND(MAX(S104+(2),0)*N104&gt;0,Q104*INT(MAX(S104+(2),0)*N104/M104)+0*INT(MAX(S104+(2),0)*N104/N104)&gt;=L104),MAX(S104+(2),0)*N104,1000000000)))</f>
        <v>2080</v>
      </c>
      <c r="U104" s="10" t="n">
        <f aca="false">IF(O104-1*M104&gt;=0,INT((O104-1*M104)/N104),-1)</f>
        <v>2</v>
      </c>
      <c r="V104" s="10" t="n">
        <f aca="false">IF(AND(U104&gt;=0,U104+1&gt;0),ROUNDUP(L104/(U104+1*M104/N104),0),0)</f>
        <v>3</v>
      </c>
      <c r="W104" s="10" t="n">
        <f aca="false">IF(AND(U104&gt;=0,U104+1&gt;0),ROUNDUP(L104/(U104*N104/M104+1),0),0)</f>
        <v>4</v>
      </c>
      <c r="X104" s="10" t="n">
        <f aca="false">IF(OR(U104&lt;0,U104+1=0),1000000000,MIN(IF(AND(MAX(V104+(-1),0)*M104&gt;0,U104*INT(MAX(V104+(-1),0)*M104/M104)+1*INT(MAX(V104+(-1),0)*M104/N104)&gt;=L104),MAX(V104+(-1),0)*M104,1000000000),IF(AND(MAX(V104+(0),0)*M104&gt;0,U104*INT(MAX(V104+(0),0)*M104/M104)+1*INT(MAX(V104+(0),0)*M104/N104)&gt;=L104),MAX(V104+(0),0)*M104,1000000000),IF(AND(MAX(V104+(1),0)*M104&gt;0,U104*INT(MAX(V104+(1),0)*M104/M104)+1*INT(MAX(V104+(1),0)*M104/N104)&gt;=L104),MAX(V104+(1),0)*M104,1000000000),IF(AND(MAX(V104+(2),0)*M104&gt;0,U104*INT(MAX(V104+(2),0)*M104/M104)+1*INT(MAX(V104+(2),0)*M104/N104)&gt;=L104),MAX(V104+(2),0)*M104,1000000000),IF(AND(MAX(W104+(-1),0)*N104&gt;0,U104*INT(MAX(W104+(-1),0)*N104/M104)+1*INT(MAX(W104+(-1),0)*N104/N104)&gt;=L104),MAX(W104+(-1),0)*N104,1000000000),IF(AND(MAX(W104+(0),0)*N104&gt;0,U104*INT(MAX(W104+(0),0)*N104/M104)+1*INT(MAX(W104+(0),0)*N104/N104)&gt;=L104),MAX(W104+(0),0)*N104,1000000000),IF(AND(MAX(W104+(1),0)*N104&gt;0,U104*INT(MAX(W104+(1),0)*N104/M104)+1*INT(MAX(W104+(1),0)*N104/N104)&gt;=L104),MAX(W104+(1),0)*N104,1000000000),IF(AND(MAX(W104+(2),0)*N104&gt;0,U104*INT(MAX(W104+(2),0)*N104/M104)+1*INT(MAX(W104+(2),0)*N104/N104)&gt;=L104),MAX(W104+(2),0)*N104,1000000000)))</f>
        <v>2092</v>
      </c>
      <c r="Y104" s="10" t="n">
        <f aca="false">IF(O104-2*M104&gt;=0,INT((O104-2*M104)/N104),-1)</f>
        <v>0</v>
      </c>
      <c r="Z104" s="10" t="n">
        <f aca="false">IF(AND(Y104&gt;=0,Y104+2&gt;0),ROUNDUP(L104/(Y104+2*M104/N104),0),0)</f>
        <v>3</v>
      </c>
      <c r="AA104" s="10" t="n">
        <f aca="false">IF(AND(Y104&gt;=0,Y104+2&gt;0),ROUNDUP(L104/(Y104*N104/M104+2),0),0)</f>
        <v>4</v>
      </c>
      <c r="AB104" s="10" t="n">
        <f aca="false">IF(OR(Y104&lt;0,Y104+2=0),1000000000,MIN(IF(AND(MAX(Z104+(-1),0)*M104&gt;0,Y104*INT(MAX(Z104+(-1),0)*M104/M104)+2*INT(MAX(Z104+(-1),0)*M104/N104)&gt;=L104),MAX(Z104+(-1),0)*M104,1000000000),IF(AND(MAX(Z104+(0),0)*M104&gt;0,Y104*INT(MAX(Z104+(0),0)*M104/M104)+2*INT(MAX(Z104+(0),0)*M104/N104)&gt;=L104),MAX(Z104+(0),0)*M104,1000000000),IF(AND(MAX(Z104+(1),0)*M104&gt;0,Y104*INT(MAX(Z104+(1),0)*M104/M104)+2*INT(MAX(Z104+(1),0)*M104/N104)&gt;=L104),MAX(Z104+(1),0)*M104,1000000000),IF(AND(MAX(Z104+(2),0)*M104&gt;0,Y104*INT(MAX(Z104+(2),0)*M104/M104)+2*INT(MAX(Z104+(2),0)*M104/N104)&gt;=L104),MAX(Z104+(2),0)*M104,1000000000),IF(AND(MAX(AA104+(-1),0)*N104&gt;0,Y104*INT(MAX(AA104+(-1),0)*N104/M104)+2*INT(MAX(AA104+(-1),0)*N104/N104)&gt;=L104),MAX(AA104+(-1),0)*N104,1000000000),IF(AND(MAX(AA104+(0),0)*N104&gt;0,Y104*INT(MAX(AA104+(0),0)*N104/M104)+2*INT(MAX(AA104+(0),0)*N104/N104)&gt;=L104),MAX(AA104+(0),0)*N104,1000000000),IF(AND(MAX(AA104+(1),0)*N104&gt;0,Y104*INT(MAX(AA104+(1),0)*N104/M104)+2*INT(MAX(AA104+(1),0)*N104/N104)&gt;=L104),MAX(AA104+(1),0)*N104,1000000000),IF(AND(MAX(AA104+(2),0)*N104&gt;0,Y104*INT(MAX(AA104+(2),0)*N104/M104)+2*INT(MAX(AA104+(2),0)*N104/N104)&gt;=L104),MAX(AA104+(2),0)*N104,1000000000)))</f>
        <v>2092</v>
      </c>
      <c r="AC104" s="42" t="n">
        <f aca="false">IF(L104=0,0,MIN(T104,X104,AB104))</f>
        <v>2080</v>
      </c>
      <c r="AD104" s="15" t="n">
        <f aca="false">I104*INDEX(lg_bkg_3463,B104)</f>
        <v>2311.831744</v>
      </c>
      <c r="AE104" s="33" t="n">
        <f aca="false">I104*INDEX(lg_bvol_3463,B104)</f>
        <v>9.464208</v>
      </c>
    </row>
    <row r="105" customFormat="false" ht="15" hidden="false" customHeight="false" outlineLevel="0" collapsed="false">
      <c r="A105" s="9" t="n">
        <v>9</v>
      </c>
      <c r="B105" s="9" t="n">
        <v>1</v>
      </c>
      <c r="C105" s="9" t="s">
        <v>17</v>
      </c>
      <c r="D105" s="10" t="n">
        <f aca="false">INDEX(cfg_ct,A105)</f>
        <v>1</v>
      </c>
      <c r="E105" s="10" t="n">
        <f aca="false">INDEX(cfg_n,A105)</f>
        <v>1</v>
      </c>
      <c r="F105" s="15" t="n">
        <f aca="false">INDEX(cfg_u_3460,A105,B105)</f>
        <v>11600</v>
      </c>
      <c r="G105" s="15" t="n">
        <f aca="false">F105/E105</f>
        <v>11600</v>
      </c>
      <c r="H105" s="10" t="n">
        <f aca="false">INDEX(lg_n_3460,B105)</f>
        <v>50</v>
      </c>
      <c r="I105" s="15" t="n">
        <f aca="false">ROUNDUP(G105/H105,0)</f>
        <v>232</v>
      </c>
      <c r="J105" s="10" t="n">
        <f aca="false">INDEX(lg_layers_3460_20GP,B105)</f>
        <v>30</v>
      </c>
      <c r="K105" s="26" t="n">
        <f aca="false">INDEX(in_use_efficiency,1,B105)</f>
        <v>0.97</v>
      </c>
      <c r="L105" s="10" t="n">
        <f aca="false">IF(I105=0,0,ROUNDUP(I105/(K105*J105)-0.000000001,0))</f>
        <v>8</v>
      </c>
      <c r="M105" s="10" t="n">
        <f aca="false">INDEX(lg_a_3460,B105)</f>
        <v>840</v>
      </c>
      <c r="N105" s="10" t="n">
        <f aca="false">INDEX(lg_b_3460,B105)</f>
        <v>423</v>
      </c>
      <c r="O105" s="10" t="n">
        <f aca="false">INDEX(lg_Wu_20GP,B105)</f>
        <v>2330</v>
      </c>
      <c r="P105" s="10" t="n">
        <f aca="false">INDEX(lg_Lu_20GP,B105)</f>
        <v>5800</v>
      </c>
      <c r="Q105" s="10" t="n">
        <f aca="false">IF(O105-0*M105&gt;=0,INT((O105-0*M105)/N105),-1)</f>
        <v>5</v>
      </c>
      <c r="R105" s="10" t="n">
        <f aca="false">IF(AND(Q105&gt;=0,Q105+0&gt;0),ROUNDUP(L105/(Q105+0*M105/N105),0),0)</f>
        <v>2</v>
      </c>
      <c r="S105" s="10" t="n">
        <f aca="false">IF(AND(Q105&gt;=0,Q105+0&gt;0),ROUNDUP(L105/(Q105*N105/M105+0),0),0)</f>
        <v>4</v>
      </c>
      <c r="T105" s="10" t="n">
        <f aca="false">IF(OR(Q105&lt;0,Q105+0=0),1000000000,MIN(IF(AND(MAX(R105+(-1),0)*M105&gt;0,Q105*INT(MAX(R105+(-1),0)*M105/M105)+0*INT(MAX(R105+(-1),0)*M105/N105)&gt;=L105),MAX(R105+(-1),0)*M105,1000000000),IF(AND(MAX(R105+(0),0)*M105&gt;0,Q105*INT(MAX(R105+(0),0)*M105/M105)+0*INT(MAX(R105+(0),0)*M105/N105)&gt;=L105),MAX(R105+(0),0)*M105,1000000000),IF(AND(MAX(R105+(1),0)*M105&gt;0,Q105*INT(MAX(R105+(1),0)*M105/M105)+0*INT(MAX(R105+(1),0)*M105/N105)&gt;=L105),MAX(R105+(1),0)*M105,1000000000),IF(AND(MAX(R105+(2),0)*M105&gt;0,Q105*INT(MAX(R105+(2),0)*M105/M105)+0*INT(MAX(R105+(2),0)*M105/N105)&gt;=L105),MAX(R105+(2),0)*M105,1000000000),IF(AND(MAX(S105+(-1),0)*N105&gt;0,Q105*INT(MAX(S105+(-1),0)*N105/M105)+0*INT(MAX(S105+(-1),0)*N105/N105)&gt;=L105),MAX(S105+(-1),0)*N105,1000000000),IF(AND(MAX(S105+(0),0)*N105&gt;0,Q105*INT(MAX(S105+(0),0)*N105/M105)+0*INT(MAX(S105+(0),0)*N105/N105)&gt;=L105),MAX(S105+(0),0)*N105,1000000000),IF(AND(MAX(S105+(1),0)*N105&gt;0,Q105*INT(MAX(S105+(1),0)*N105/M105)+0*INT(MAX(S105+(1),0)*N105/N105)&gt;=L105),MAX(S105+(1),0)*N105,1000000000),IF(AND(MAX(S105+(2),0)*N105&gt;0,Q105*INT(MAX(S105+(2),0)*N105/M105)+0*INT(MAX(S105+(2),0)*N105/N105)&gt;=L105),MAX(S105+(2),0)*N105,1000000000)))</f>
        <v>1680</v>
      </c>
      <c r="U105" s="10" t="n">
        <f aca="false">IF(O105-1*M105&gt;=0,INT((O105-1*M105)/N105),-1)</f>
        <v>3</v>
      </c>
      <c r="V105" s="10" t="n">
        <f aca="false">IF(AND(U105&gt;=0,U105+1&gt;0),ROUNDUP(L105/(U105+1*M105/N105),0),0)</f>
        <v>2</v>
      </c>
      <c r="W105" s="10" t="n">
        <f aca="false">IF(AND(U105&gt;=0,U105+1&gt;0),ROUNDUP(L105/(U105*N105/M105+1),0),0)</f>
        <v>4</v>
      </c>
      <c r="X105" s="10" t="n">
        <f aca="false">IF(OR(U105&lt;0,U105+1=0),1000000000,MIN(IF(AND(MAX(V105+(-1),0)*M105&gt;0,U105*INT(MAX(V105+(-1),0)*M105/M105)+1*INT(MAX(V105+(-1),0)*M105/N105)&gt;=L105),MAX(V105+(-1),0)*M105,1000000000),IF(AND(MAX(V105+(0),0)*M105&gt;0,U105*INT(MAX(V105+(0),0)*M105/M105)+1*INT(MAX(V105+(0),0)*M105/N105)&gt;=L105),MAX(V105+(0),0)*M105,1000000000),IF(AND(MAX(V105+(1),0)*M105&gt;0,U105*INT(MAX(V105+(1),0)*M105/M105)+1*INT(MAX(V105+(1),0)*M105/N105)&gt;=L105),MAX(V105+(1),0)*M105,1000000000),IF(AND(MAX(V105+(2),0)*M105&gt;0,U105*INT(MAX(V105+(2),0)*M105/M105)+1*INT(MAX(V105+(2),0)*M105/N105)&gt;=L105),MAX(V105+(2),0)*M105,1000000000),IF(AND(MAX(W105+(-1),0)*N105&gt;0,U105*INT(MAX(W105+(-1),0)*N105/M105)+1*INT(MAX(W105+(-1),0)*N105/N105)&gt;=L105),MAX(W105+(-1),0)*N105,1000000000),IF(AND(MAX(W105+(0),0)*N105&gt;0,U105*INT(MAX(W105+(0),0)*N105/M105)+1*INT(MAX(W105+(0),0)*N105/N105)&gt;=L105),MAX(W105+(0),0)*N105,1000000000),IF(AND(MAX(W105+(1),0)*N105&gt;0,U105*INT(MAX(W105+(1),0)*N105/M105)+1*INT(MAX(W105+(1),0)*N105/N105)&gt;=L105),MAX(W105+(1),0)*N105,1000000000),IF(AND(MAX(W105+(2),0)*N105&gt;0,U105*INT(MAX(W105+(2),0)*N105/M105)+1*INT(MAX(W105+(2),0)*N105/N105)&gt;=L105),MAX(W105+(2),0)*N105,1000000000)))</f>
        <v>1680</v>
      </c>
      <c r="Y105" s="10" t="n">
        <f aca="false">IF(O105-2*M105&gt;=0,INT((O105-2*M105)/N105),-1)</f>
        <v>1</v>
      </c>
      <c r="Z105" s="10" t="n">
        <f aca="false">IF(AND(Y105&gt;=0,Y105+2&gt;0),ROUNDUP(L105/(Y105+2*M105/N105),0),0)</f>
        <v>2</v>
      </c>
      <c r="AA105" s="10" t="n">
        <f aca="false">IF(AND(Y105&gt;=0,Y105+2&gt;0),ROUNDUP(L105/(Y105*N105/M105+2),0),0)</f>
        <v>4</v>
      </c>
      <c r="AB105" s="10" t="n">
        <f aca="false">IF(OR(Y105&lt;0,Y105+2=0),1000000000,MIN(IF(AND(MAX(Z105+(-1),0)*M105&gt;0,Y105*INT(MAX(Z105+(-1),0)*M105/M105)+2*INT(MAX(Z105+(-1),0)*M105/N105)&gt;=L105),MAX(Z105+(-1),0)*M105,1000000000),IF(AND(MAX(Z105+(0),0)*M105&gt;0,Y105*INT(MAX(Z105+(0),0)*M105/M105)+2*INT(MAX(Z105+(0),0)*M105/N105)&gt;=L105),MAX(Z105+(0),0)*M105,1000000000),IF(AND(MAX(Z105+(1),0)*M105&gt;0,Y105*INT(MAX(Z105+(1),0)*M105/M105)+2*INT(MAX(Z105+(1),0)*M105/N105)&gt;=L105),MAX(Z105+(1),0)*M105,1000000000),IF(AND(MAX(Z105+(2),0)*M105&gt;0,Y105*INT(MAX(Z105+(2),0)*M105/M105)+2*INT(MAX(Z105+(2),0)*M105/N105)&gt;=L105),MAX(Z105+(2),0)*M105,1000000000),IF(AND(MAX(AA105+(-1),0)*N105&gt;0,Y105*INT(MAX(AA105+(-1),0)*N105/M105)+2*INT(MAX(AA105+(-1),0)*N105/N105)&gt;=L105),MAX(AA105+(-1),0)*N105,1000000000),IF(AND(MAX(AA105+(0),0)*N105&gt;0,Y105*INT(MAX(AA105+(0),0)*N105/M105)+2*INT(MAX(AA105+(0),0)*N105/N105)&gt;=L105),MAX(AA105+(0),0)*N105,1000000000),IF(AND(MAX(AA105+(1),0)*N105&gt;0,Y105*INT(MAX(AA105+(1),0)*N105/M105)+2*INT(MAX(AA105+(1),0)*N105/N105)&gt;=L105),MAX(AA105+(1),0)*N105,1000000000),IF(AND(MAX(AA105+(2),0)*N105&gt;0,Y105*INT(MAX(AA105+(2),0)*N105/M105)+2*INT(MAX(AA105+(2),0)*N105/N105)&gt;=L105),MAX(AA105+(2),0)*N105,1000000000)))</f>
        <v>1680</v>
      </c>
      <c r="AC105" s="42" t="n">
        <f aca="false">IF(L105=0,0,MIN(T105,X105,AB105))</f>
        <v>1680</v>
      </c>
      <c r="AD105" s="15" t="n">
        <f aca="false">I105*INDEX(lg_bkg_3460,B105)</f>
        <v>1513.139264</v>
      </c>
      <c r="AE105" s="33" t="n">
        <f aca="false">I105*INDEX(lg_bvol_3460,B105)</f>
        <v>6.182568</v>
      </c>
    </row>
    <row r="106" customFormat="false" ht="15" hidden="false" customHeight="false" outlineLevel="0" collapsed="false">
      <c r="A106" s="9" t="n">
        <v>9</v>
      </c>
      <c r="B106" s="9" t="n">
        <v>2</v>
      </c>
      <c r="C106" s="9" t="s">
        <v>15</v>
      </c>
      <c r="D106" s="10" t="n">
        <f aca="false">INDEX(cfg_ct,A106)</f>
        <v>1</v>
      </c>
      <c r="E106" s="10" t="n">
        <f aca="false">INDEX(cfg_n,A106)</f>
        <v>1</v>
      </c>
      <c r="F106" s="15" t="n">
        <f aca="false">INDEX(cfg_u_3464,A106,B106)</f>
        <v>10600</v>
      </c>
      <c r="G106" s="15" t="n">
        <f aca="false">F106/E106</f>
        <v>10600</v>
      </c>
      <c r="H106" s="10" t="n">
        <f aca="false">INDEX(lg_n_3464,B106)</f>
        <v>50</v>
      </c>
      <c r="I106" s="15" t="n">
        <f aca="false">ROUNDUP(G106/H106,0)</f>
        <v>212</v>
      </c>
      <c r="J106" s="10" t="n">
        <f aca="false">INDEX(lg_layers_3464_20GP,B106)</f>
        <v>28</v>
      </c>
      <c r="K106" s="26" t="n">
        <f aca="false">INDEX(in_use_efficiency,1,B106)</f>
        <v>0.95</v>
      </c>
      <c r="L106" s="10" t="n">
        <f aca="false">IF(I106=0,0,ROUNDUP(I106/(K106*J106)-0.000000001,0))</f>
        <v>8</v>
      </c>
      <c r="M106" s="10" t="n">
        <f aca="false">INDEX(lg_a_3464,B106)</f>
        <v>940</v>
      </c>
      <c r="N106" s="10" t="n">
        <f aca="false">INDEX(lg_b_3464,B106)</f>
        <v>473</v>
      </c>
      <c r="O106" s="10" t="n">
        <f aca="false">INDEX(lg_Wu_20GP,B106)</f>
        <v>2330</v>
      </c>
      <c r="P106" s="10" t="n">
        <f aca="false">INDEX(lg_Lu_20GP,B106)</f>
        <v>5800</v>
      </c>
      <c r="Q106" s="10" t="n">
        <f aca="false">IF(O106-0*M106&gt;=0,INT((O106-0*M106)/N106),-1)</f>
        <v>4</v>
      </c>
      <c r="R106" s="10" t="n">
        <f aca="false">IF(AND(Q106&gt;=0,Q106+0&gt;0),ROUNDUP(L106/(Q106+0*M106/N106),0),0)</f>
        <v>2</v>
      </c>
      <c r="S106" s="10" t="n">
        <f aca="false">IF(AND(Q106&gt;=0,Q106+0&gt;0),ROUNDUP(L106/(Q106*N106/M106+0),0),0)</f>
        <v>4</v>
      </c>
      <c r="T106" s="10" t="n">
        <f aca="false">IF(OR(Q106&lt;0,Q106+0=0),1000000000,MIN(IF(AND(MAX(R106+(-1),0)*M106&gt;0,Q106*INT(MAX(R106+(-1),0)*M106/M106)+0*INT(MAX(R106+(-1),0)*M106/N106)&gt;=L106),MAX(R106+(-1),0)*M106,1000000000),IF(AND(MAX(R106+(0),0)*M106&gt;0,Q106*INT(MAX(R106+(0),0)*M106/M106)+0*INT(MAX(R106+(0),0)*M106/N106)&gt;=L106),MAX(R106+(0),0)*M106,1000000000),IF(AND(MAX(R106+(1),0)*M106&gt;0,Q106*INT(MAX(R106+(1),0)*M106/M106)+0*INT(MAX(R106+(1),0)*M106/N106)&gt;=L106),MAX(R106+(1),0)*M106,1000000000),IF(AND(MAX(R106+(2),0)*M106&gt;0,Q106*INT(MAX(R106+(2),0)*M106/M106)+0*INT(MAX(R106+(2),0)*M106/N106)&gt;=L106),MAX(R106+(2),0)*M106,1000000000),IF(AND(MAX(S106+(-1),0)*N106&gt;0,Q106*INT(MAX(S106+(-1),0)*N106/M106)+0*INT(MAX(S106+(-1),0)*N106/N106)&gt;=L106),MAX(S106+(-1),0)*N106,1000000000),IF(AND(MAX(S106+(0),0)*N106&gt;0,Q106*INT(MAX(S106+(0),0)*N106/M106)+0*INT(MAX(S106+(0),0)*N106/N106)&gt;=L106),MAX(S106+(0),0)*N106,1000000000),IF(AND(MAX(S106+(1),0)*N106&gt;0,Q106*INT(MAX(S106+(1),0)*N106/M106)+0*INT(MAX(S106+(1),0)*N106/N106)&gt;=L106),MAX(S106+(1),0)*N106,1000000000),IF(AND(MAX(S106+(2),0)*N106&gt;0,Q106*INT(MAX(S106+(2),0)*N106/M106)+0*INT(MAX(S106+(2),0)*N106/N106)&gt;=L106),MAX(S106+(2),0)*N106,1000000000)))</f>
        <v>1880</v>
      </c>
      <c r="U106" s="10" t="n">
        <f aca="false">IF(O106-1*M106&gt;=0,INT((O106-1*M106)/N106),-1)</f>
        <v>2</v>
      </c>
      <c r="V106" s="10" t="n">
        <f aca="false">IF(AND(U106&gt;=0,U106+1&gt;0),ROUNDUP(L106/(U106+1*M106/N106),0),0)</f>
        <v>3</v>
      </c>
      <c r="W106" s="10" t="n">
        <f aca="false">IF(AND(U106&gt;=0,U106+1&gt;0),ROUNDUP(L106/(U106*N106/M106+1),0),0)</f>
        <v>4</v>
      </c>
      <c r="X106" s="10" t="n">
        <f aca="false">IF(OR(U106&lt;0,U106+1=0),1000000000,MIN(IF(AND(MAX(V106+(-1),0)*M106&gt;0,U106*INT(MAX(V106+(-1),0)*M106/M106)+1*INT(MAX(V106+(-1),0)*M106/N106)&gt;=L106),MAX(V106+(-1),0)*M106,1000000000),IF(AND(MAX(V106+(0),0)*M106&gt;0,U106*INT(MAX(V106+(0),0)*M106/M106)+1*INT(MAX(V106+(0),0)*M106/N106)&gt;=L106),MAX(V106+(0),0)*M106,1000000000),IF(AND(MAX(V106+(1),0)*M106&gt;0,U106*INT(MAX(V106+(1),0)*M106/M106)+1*INT(MAX(V106+(1),0)*M106/N106)&gt;=L106),MAX(V106+(1),0)*M106,1000000000),IF(AND(MAX(V106+(2),0)*M106&gt;0,U106*INT(MAX(V106+(2),0)*M106/M106)+1*INT(MAX(V106+(2),0)*M106/N106)&gt;=L106),MAX(V106+(2),0)*M106,1000000000),IF(AND(MAX(W106+(-1),0)*N106&gt;0,U106*INT(MAX(W106+(-1),0)*N106/M106)+1*INT(MAX(W106+(-1),0)*N106/N106)&gt;=L106),MAX(W106+(-1),0)*N106,1000000000),IF(AND(MAX(W106+(0),0)*N106&gt;0,U106*INT(MAX(W106+(0),0)*N106/M106)+1*INT(MAX(W106+(0),0)*N106/N106)&gt;=L106),MAX(W106+(0),0)*N106,1000000000),IF(AND(MAX(W106+(1),0)*N106&gt;0,U106*INT(MAX(W106+(1),0)*N106/M106)+1*INT(MAX(W106+(1),0)*N106/N106)&gt;=L106),MAX(W106+(1),0)*N106,1000000000),IF(AND(MAX(W106+(2),0)*N106&gt;0,U106*INT(MAX(W106+(2),0)*N106/M106)+1*INT(MAX(W106+(2),0)*N106/N106)&gt;=L106),MAX(W106+(2),0)*N106,1000000000)))</f>
        <v>1892</v>
      </c>
      <c r="Y106" s="10" t="n">
        <f aca="false">IF(O106-2*M106&gt;=0,INT((O106-2*M106)/N106),-1)</f>
        <v>0</v>
      </c>
      <c r="Z106" s="10" t="n">
        <f aca="false">IF(AND(Y106&gt;=0,Y106+2&gt;0),ROUNDUP(L106/(Y106+2*M106/N106),0),0)</f>
        <v>3</v>
      </c>
      <c r="AA106" s="10" t="n">
        <f aca="false">IF(AND(Y106&gt;=0,Y106+2&gt;0),ROUNDUP(L106/(Y106*N106/M106+2),0),0)</f>
        <v>4</v>
      </c>
      <c r="AB106" s="10" t="n">
        <f aca="false">IF(OR(Y106&lt;0,Y106+2=0),1000000000,MIN(IF(AND(MAX(Z106+(-1),0)*M106&gt;0,Y106*INT(MAX(Z106+(-1),0)*M106/M106)+2*INT(MAX(Z106+(-1),0)*M106/N106)&gt;=L106),MAX(Z106+(-1),0)*M106,1000000000),IF(AND(MAX(Z106+(0),0)*M106&gt;0,Y106*INT(MAX(Z106+(0),0)*M106/M106)+2*INT(MAX(Z106+(0),0)*M106/N106)&gt;=L106),MAX(Z106+(0),0)*M106,1000000000),IF(AND(MAX(Z106+(1),0)*M106&gt;0,Y106*INT(MAX(Z106+(1),0)*M106/M106)+2*INT(MAX(Z106+(1),0)*M106/N106)&gt;=L106),MAX(Z106+(1),0)*M106,1000000000),IF(AND(MAX(Z106+(2),0)*M106&gt;0,Y106*INT(MAX(Z106+(2),0)*M106/M106)+2*INT(MAX(Z106+(2),0)*M106/N106)&gt;=L106),MAX(Z106+(2),0)*M106,1000000000),IF(AND(MAX(AA106+(-1),0)*N106&gt;0,Y106*INT(MAX(AA106+(-1),0)*N106/M106)+2*INT(MAX(AA106+(-1),0)*N106/N106)&gt;=L106),MAX(AA106+(-1),0)*N106,1000000000),IF(AND(MAX(AA106+(0),0)*N106&gt;0,Y106*INT(MAX(AA106+(0),0)*N106/M106)+2*INT(MAX(AA106+(0),0)*N106/N106)&gt;=L106),MAX(AA106+(0),0)*N106,1000000000),IF(AND(MAX(AA106+(1),0)*N106&gt;0,Y106*INT(MAX(AA106+(1),0)*N106/M106)+2*INT(MAX(AA106+(1),0)*N106/N106)&gt;=L106),MAX(AA106+(1),0)*N106,1000000000),IF(AND(MAX(AA106+(2),0)*N106&gt;0,Y106*INT(MAX(AA106+(2),0)*N106/M106)+2*INT(MAX(AA106+(2),0)*N106/N106)&gt;=L106),MAX(AA106+(2),0)*N106,1000000000)))</f>
        <v>1892</v>
      </c>
      <c r="AC106" s="42" t="n">
        <f aca="false">IF(L106=0,0,MIN(T106,X106,AB106))</f>
        <v>1880</v>
      </c>
      <c r="AD106" s="15" t="n">
        <f aca="false">I106*INDEX(lg_bkg_3464,B106)</f>
        <v>1813.4576672</v>
      </c>
      <c r="AE106" s="33" t="n">
        <f aca="false">I106*INDEX(lg_bvol_3464,B106)</f>
        <v>7.5407552</v>
      </c>
    </row>
    <row r="107" customFormat="false" ht="15" hidden="false" customHeight="false" outlineLevel="0" collapsed="false">
      <c r="A107" s="9" t="n">
        <v>9</v>
      </c>
      <c r="B107" s="9" t="n">
        <v>2</v>
      </c>
      <c r="C107" s="9" t="s">
        <v>16</v>
      </c>
      <c r="D107" s="10" t="n">
        <f aca="false">INDEX(cfg_ct,A107)</f>
        <v>1</v>
      </c>
      <c r="E107" s="10" t="n">
        <f aca="false">INDEX(cfg_n,A107)</f>
        <v>1</v>
      </c>
      <c r="F107" s="15" t="n">
        <f aca="false">INDEX(cfg_u_3463,A107,B107)</f>
        <v>10600</v>
      </c>
      <c r="G107" s="15" t="n">
        <f aca="false">F107/E107</f>
        <v>10600</v>
      </c>
      <c r="H107" s="10" t="n">
        <f aca="false">INDEX(lg_n_3463,B107)</f>
        <v>50</v>
      </c>
      <c r="I107" s="15" t="n">
        <f aca="false">ROUNDUP(G107/H107,0)</f>
        <v>212</v>
      </c>
      <c r="J107" s="10" t="n">
        <f aca="false">INDEX(lg_layers_3463_20GP,B107)</f>
        <v>28</v>
      </c>
      <c r="K107" s="26" t="n">
        <f aca="false">INDEX(in_use_efficiency,1,B107)</f>
        <v>0.95</v>
      </c>
      <c r="L107" s="10" t="n">
        <f aca="false">IF(I107=0,0,ROUNDUP(I107/(K107*J107)-0.000000001,0))</f>
        <v>8</v>
      </c>
      <c r="M107" s="10" t="n">
        <f aca="false">INDEX(lg_a_3463,B107)</f>
        <v>1040</v>
      </c>
      <c r="N107" s="10" t="n">
        <f aca="false">INDEX(lg_b_3463,B107)</f>
        <v>523</v>
      </c>
      <c r="O107" s="10" t="n">
        <f aca="false">INDEX(lg_Wu_20GP,B107)</f>
        <v>2330</v>
      </c>
      <c r="P107" s="10" t="n">
        <f aca="false">INDEX(lg_Lu_20GP,B107)</f>
        <v>5800</v>
      </c>
      <c r="Q107" s="10" t="n">
        <f aca="false">IF(O107-0*M107&gt;=0,INT((O107-0*M107)/N107),-1)</f>
        <v>4</v>
      </c>
      <c r="R107" s="10" t="n">
        <f aca="false">IF(AND(Q107&gt;=0,Q107+0&gt;0),ROUNDUP(L107/(Q107+0*M107/N107),0),0)</f>
        <v>2</v>
      </c>
      <c r="S107" s="10" t="n">
        <f aca="false">IF(AND(Q107&gt;=0,Q107+0&gt;0),ROUNDUP(L107/(Q107*N107/M107+0),0),0)</f>
        <v>4</v>
      </c>
      <c r="T107" s="10" t="n">
        <f aca="false">IF(OR(Q107&lt;0,Q107+0=0),1000000000,MIN(IF(AND(MAX(R107+(-1),0)*M107&gt;0,Q107*INT(MAX(R107+(-1),0)*M107/M107)+0*INT(MAX(R107+(-1),0)*M107/N107)&gt;=L107),MAX(R107+(-1),0)*M107,1000000000),IF(AND(MAX(R107+(0),0)*M107&gt;0,Q107*INT(MAX(R107+(0),0)*M107/M107)+0*INT(MAX(R107+(0),0)*M107/N107)&gt;=L107),MAX(R107+(0),0)*M107,1000000000),IF(AND(MAX(R107+(1),0)*M107&gt;0,Q107*INT(MAX(R107+(1),0)*M107/M107)+0*INT(MAX(R107+(1),0)*M107/N107)&gt;=L107),MAX(R107+(1),0)*M107,1000000000),IF(AND(MAX(R107+(2),0)*M107&gt;0,Q107*INT(MAX(R107+(2),0)*M107/M107)+0*INT(MAX(R107+(2),0)*M107/N107)&gt;=L107),MAX(R107+(2),0)*M107,1000000000),IF(AND(MAX(S107+(-1),0)*N107&gt;0,Q107*INT(MAX(S107+(-1),0)*N107/M107)+0*INT(MAX(S107+(-1),0)*N107/N107)&gt;=L107),MAX(S107+(-1),0)*N107,1000000000),IF(AND(MAX(S107+(0),0)*N107&gt;0,Q107*INT(MAX(S107+(0),0)*N107/M107)+0*INT(MAX(S107+(0),0)*N107/N107)&gt;=L107),MAX(S107+(0),0)*N107,1000000000),IF(AND(MAX(S107+(1),0)*N107&gt;0,Q107*INT(MAX(S107+(1),0)*N107/M107)+0*INT(MAX(S107+(1),0)*N107/N107)&gt;=L107),MAX(S107+(1),0)*N107,1000000000),IF(AND(MAX(S107+(2),0)*N107&gt;0,Q107*INT(MAX(S107+(2),0)*N107/M107)+0*INT(MAX(S107+(2),0)*N107/N107)&gt;=L107),MAX(S107+(2),0)*N107,1000000000)))</f>
        <v>2080</v>
      </c>
      <c r="U107" s="10" t="n">
        <f aca="false">IF(O107-1*M107&gt;=0,INT((O107-1*M107)/N107),-1)</f>
        <v>2</v>
      </c>
      <c r="V107" s="10" t="n">
        <f aca="false">IF(AND(U107&gt;=0,U107+1&gt;0),ROUNDUP(L107/(U107+1*M107/N107),0),0)</f>
        <v>3</v>
      </c>
      <c r="W107" s="10" t="n">
        <f aca="false">IF(AND(U107&gt;=0,U107+1&gt;0),ROUNDUP(L107/(U107*N107/M107+1),0),0)</f>
        <v>4</v>
      </c>
      <c r="X107" s="10" t="n">
        <f aca="false">IF(OR(U107&lt;0,U107+1=0),1000000000,MIN(IF(AND(MAX(V107+(-1),0)*M107&gt;0,U107*INT(MAX(V107+(-1),0)*M107/M107)+1*INT(MAX(V107+(-1),0)*M107/N107)&gt;=L107),MAX(V107+(-1),0)*M107,1000000000),IF(AND(MAX(V107+(0),0)*M107&gt;0,U107*INT(MAX(V107+(0),0)*M107/M107)+1*INT(MAX(V107+(0),0)*M107/N107)&gt;=L107),MAX(V107+(0),0)*M107,1000000000),IF(AND(MAX(V107+(1),0)*M107&gt;0,U107*INT(MAX(V107+(1),0)*M107/M107)+1*INT(MAX(V107+(1),0)*M107/N107)&gt;=L107),MAX(V107+(1),0)*M107,1000000000),IF(AND(MAX(V107+(2),0)*M107&gt;0,U107*INT(MAX(V107+(2),0)*M107/M107)+1*INT(MAX(V107+(2),0)*M107/N107)&gt;=L107),MAX(V107+(2),0)*M107,1000000000),IF(AND(MAX(W107+(-1),0)*N107&gt;0,U107*INT(MAX(W107+(-1),0)*N107/M107)+1*INT(MAX(W107+(-1),0)*N107/N107)&gt;=L107),MAX(W107+(-1),0)*N107,1000000000),IF(AND(MAX(W107+(0),0)*N107&gt;0,U107*INT(MAX(W107+(0),0)*N107/M107)+1*INT(MAX(W107+(0),0)*N107/N107)&gt;=L107),MAX(W107+(0),0)*N107,1000000000),IF(AND(MAX(W107+(1),0)*N107&gt;0,U107*INT(MAX(W107+(1),0)*N107/M107)+1*INT(MAX(W107+(1),0)*N107/N107)&gt;=L107),MAX(W107+(1),0)*N107,1000000000),IF(AND(MAX(W107+(2),0)*N107&gt;0,U107*INT(MAX(W107+(2),0)*N107/M107)+1*INT(MAX(W107+(2),0)*N107/N107)&gt;=L107),MAX(W107+(2),0)*N107,1000000000)))</f>
        <v>2092</v>
      </c>
      <c r="Y107" s="10" t="n">
        <f aca="false">IF(O107-2*M107&gt;=0,INT((O107-2*M107)/N107),-1)</f>
        <v>0</v>
      </c>
      <c r="Z107" s="10" t="n">
        <f aca="false">IF(AND(Y107&gt;=0,Y107+2&gt;0),ROUNDUP(L107/(Y107+2*M107/N107),0),0)</f>
        <v>3</v>
      </c>
      <c r="AA107" s="10" t="n">
        <f aca="false">IF(AND(Y107&gt;=0,Y107+2&gt;0),ROUNDUP(L107/(Y107*N107/M107+2),0),0)</f>
        <v>4</v>
      </c>
      <c r="AB107" s="10" t="n">
        <f aca="false">IF(OR(Y107&lt;0,Y107+2=0),1000000000,MIN(IF(AND(MAX(Z107+(-1),0)*M107&gt;0,Y107*INT(MAX(Z107+(-1),0)*M107/M107)+2*INT(MAX(Z107+(-1),0)*M107/N107)&gt;=L107),MAX(Z107+(-1),0)*M107,1000000000),IF(AND(MAX(Z107+(0),0)*M107&gt;0,Y107*INT(MAX(Z107+(0),0)*M107/M107)+2*INT(MAX(Z107+(0),0)*M107/N107)&gt;=L107),MAX(Z107+(0),0)*M107,1000000000),IF(AND(MAX(Z107+(1),0)*M107&gt;0,Y107*INT(MAX(Z107+(1),0)*M107/M107)+2*INT(MAX(Z107+(1),0)*M107/N107)&gt;=L107),MAX(Z107+(1),0)*M107,1000000000),IF(AND(MAX(Z107+(2),0)*M107&gt;0,Y107*INT(MAX(Z107+(2),0)*M107/M107)+2*INT(MAX(Z107+(2),0)*M107/N107)&gt;=L107),MAX(Z107+(2),0)*M107,1000000000),IF(AND(MAX(AA107+(-1),0)*N107&gt;0,Y107*INT(MAX(AA107+(-1),0)*N107/M107)+2*INT(MAX(AA107+(-1),0)*N107/N107)&gt;=L107),MAX(AA107+(-1),0)*N107,1000000000),IF(AND(MAX(AA107+(0),0)*N107&gt;0,Y107*INT(MAX(AA107+(0),0)*N107/M107)+2*INT(MAX(AA107+(0),0)*N107/N107)&gt;=L107),MAX(AA107+(0),0)*N107,1000000000),IF(AND(MAX(AA107+(1),0)*N107&gt;0,Y107*INT(MAX(AA107+(1),0)*N107/M107)+2*INT(MAX(AA107+(1),0)*N107/N107)&gt;=L107),MAX(AA107+(1),0)*N107,1000000000),IF(AND(MAX(AA107+(2),0)*N107&gt;0,Y107*INT(MAX(AA107+(2),0)*N107/M107)+2*INT(MAX(AA107+(2),0)*N107/N107)&gt;=L107),MAX(AA107+(2),0)*N107,1000000000)))</f>
        <v>2092</v>
      </c>
      <c r="AC107" s="42" t="n">
        <f aca="false">IF(L107=0,0,MIN(T107,X107,AB107))</f>
        <v>2080</v>
      </c>
      <c r="AD107" s="15" t="n">
        <f aca="false">I107*INDEX(lg_bkg_3463,B107)</f>
        <v>2217.1026992</v>
      </c>
      <c r="AE107" s="33" t="n">
        <f aca="false">I107*INDEX(lg_bvol_3463,B107)</f>
        <v>9.2248832</v>
      </c>
    </row>
    <row r="108" customFormat="false" ht="15" hidden="false" customHeight="false" outlineLevel="0" collapsed="false">
      <c r="A108" s="9" t="n">
        <v>9</v>
      </c>
      <c r="B108" s="9" t="n">
        <v>2</v>
      </c>
      <c r="C108" s="9" t="s">
        <v>17</v>
      </c>
      <c r="D108" s="10" t="n">
        <f aca="false">INDEX(cfg_ct,A108)</f>
        <v>1</v>
      </c>
      <c r="E108" s="10" t="n">
        <f aca="false">INDEX(cfg_n,A108)</f>
        <v>1</v>
      </c>
      <c r="F108" s="15" t="n">
        <f aca="false">INDEX(cfg_u_3460,A108,B108)</f>
        <v>10600</v>
      </c>
      <c r="G108" s="15" t="n">
        <f aca="false">F108/E108</f>
        <v>10600</v>
      </c>
      <c r="H108" s="10" t="n">
        <f aca="false">INDEX(lg_n_3460,B108)</f>
        <v>50</v>
      </c>
      <c r="I108" s="15" t="n">
        <f aca="false">ROUNDUP(G108/H108,0)</f>
        <v>212</v>
      </c>
      <c r="J108" s="10" t="n">
        <f aca="false">INDEX(lg_layers_3460_20GP,B108)</f>
        <v>28</v>
      </c>
      <c r="K108" s="26" t="n">
        <f aca="false">INDEX(in_use_efficiency,1,B108)</f>
        <v>0.95</v>
      </c>
      <c r="L108" s="10" t="n">
        <f aca="false">IF(I108=0,0,ROUNDUP(I108/(K108*J108)-0.000000001,0))</f>
        <v>8</v>
      </c>
      <c r="M108" s="10" t="n">
        <f aca="false">INDEX(lg_a_3460,B108)</f>
        <v>840</v>
      </c>
      <c r="N108" s="10" t="n">
        <f aca="false">INDEX(lg_b_3460,B108)</f>
        <v>423</v>
      </c>
      <c r="O108" s="10" t="n">
        <f aca="false">INDEX(lg_Wu_20GP,B108)</f>
        <v>2330</v>
      </c>
      <c r="P108" s="10" t="n">
        <f aca="false">INDEX(lg_Lu_20GP,B108)</f>
        <v>5800</v>
      </c>
      <c r="Q108" s="10" t="n">
        <f aca="false">IF(O108-0*M108&gt;=0,INT((O108-0*M108)/N108),-1)</f>
        <v>5</v>
      </c>
      <c r="R108" s="10" t="n">
        <f aca="false">IF(AND(Q108&gt;=0,Q108+0&gt;0),ROUNDUP(L108/(Q108+0*M108/N108),0),0)</f>
        <v>2</v>
      </c>
      <c r="S108" s="10" t="n">
        <f aca="false">IF(AND(Q108&gt;=0,Q108+0&gt;0),ROUNDUP(L108/(Q108*N108/M108+0),0),0)</f>
        <v>4</v>
      </c>
      <c r="T108" s="10" t="n">
        <f aca="false">IF(OR(Q108&lt;0,Q108+0=0),1000000000,MIN(IF(AND(MAX(R108+(-1),0)*M108&gt;0,Q108*INT(MAX(R108+(-1),0)*M108/M108)+0*INT(MAX(R108+(-1),0)*M108/N108)&gt;=L108),MAX(R108+(-1),0)*M108,1000000000),IF(AND(MAX(R108+(0),0)*M108&gt;0,Q108*INT(MAX(R108+(0),0)*M108/M108)+0*INT(MAX(R108+(0),0)*M108/N108)&gt;=L108),MAX(R108+(0),0)*M108,1000000000),IF(AND(MAX(R108+(1),0)*M108&gt;0,Q108*INT(MAX(R108+(1),0)*M108/M108)+0*INT(MAX(R108+(1),0)*M108/N108)&gt;=L108),MAX(R108+(1),0)*M108,1000000000),IF(AND(MAX(R108+(2),0)*M108&gt;0,Q108*INT(MAX(R108+(2),0)*M108/M108)+0*INT(MAX(R108+(2),0)*M108/N108)&gt;=L108),MAX(R108+(2),0)*M108,1000000000),IF(AND(MAX(S108+(-1),0)*N108&gt;0,Q108*INT(MAX(S108+(-1),0)*N108/M108)+0*INT(MAX(S108+(-1),0)*N108/N108)&gt;=L108),MAX(S108+(-1),0)*N108,1000000000),IF(AND(MAX(S108+(0),0)*N108&gt;0,Q108*INT(MAX(S108+(0),0)*N108/M108)+0*INT(MAX(S108+(0),0)*N108/N108)&gt;=L108),MAX(S108+(0),0)*N108,1000000000),IF(AND(MAX(S108+(1),0)*N108&gt;0,Q108*INT(MAX(S108+(1),0)*N108/M108)+0*INT(MAX(S108+(1),0)*N108/N108)&gt;=L108),MAX(S108+(1),0)*N108,1000000000),IF(AND(MAX(S108+(2),0)*N108&gt;0,Q108*INT(MAX(S108+(2),0)*N108/M108)+0*INT(MAX(S108+(2),0)*N108/N108)&gt;=L108),MAX(S108+(2),0)*N108,1000000000)))</f>
        <v>1680</v>
      </c>
      <c r="U108" s="10" t="n">
        <f aca="false">IF(O108-1*M108&gt;=0,INT((O108-1*M108)/N108),-1)</f>
        <v>3</v>
      </c>
      <c r="V108" s="10" t="n">
        <f aca="false">IF(AND(U108&gt;=0,U108+1&gt;0),ROUNDUP(L108/(U108+1*M108/N108),0),0)</f>
        <v>2</v>
      </c>
      <c r="W108" s="10" t="n">
        <f aca="false">IF(AND(U108&gt;=0,U108+1&gt;0),ROUNDUP(L108/(U108*N108/M108+1),0),0)</f>
        <v>4</v>
      </c>
      <c r="X108" s="10" t="n">
        <f aca="false">IF(OR(U108&lt;0,U108+1=0),1000000000,MIN(IF(AND(MAX(V108+(-1),0)*M108&gt;0,U108*INT(MAX(V108+(-1),0)*M108/M108)+1*INT(MAX(V108+(-1),0)*M108/N108)&gt;=L108),MAX(V108+(-1),0)*M108,1000000000),IF(AND(MAX(V108+(0),0)*M108&gt;0,U108*INT(MAX(V108+(0),0)*M108/M108)+1*INT(MAX(V108+(0),0)*M108/N108)&gt;=L108),MAX(V108+(0),0)*M108,1000000000),IF(AND(MAX(V108+(1),0)*M108&gt;0,U108*INT(MAX(V108+(1),0)*M108/M108)+1*INT(MAX(V108+(1),0)*M108/N108)&gt;=L108),MAX(V108+(1),0)*M108,1000000000),IF(AND(MAX(V108+(2),0)*M108&gt;0,U108*INT(MAX(V108+(2),0)*M108/M108)+1*INT(MAX(V108+(2),0)*M108/N108)&gt;=L108),MAX(V108+(2),0)*M108,1000000000),IF(AND(MAX(W108+(-1),0)*N108&gt;0,U108*INT(MAX(W108+(-1),0)*N108/M108)+1*INT(MAX(W108+(-1),0)*N108/N108)&gt;=L108),MAX(W108+(-1),0)*N108,1000000000),IF(AND(MAX(W108+(0),0)*N108&gt;0,U108*INT(MAX(W108+(0),0)*N108/M108)+1*INT(MAX(W108+(0),0)*N108/N108)&gt;=L108),MAX(W108+(0),0)*N108,1000000000),IF(AND(MAX(W108+(1),0)*N108&gt;0,U108*INT(MAX(W108+(1),0)*N108/M108)+1*INT(MAX(W108+(1),0)*N108/N108)&gt;=L108),MAX(W108+(1),0)*N108,1000000000),IF(AND(MAX(W108+(2),0)*N108&gt;0,U108*INT(MAX(W108+(2),0)*N108/M108)+1*INT(MAX(W108+(2),0)*N108/N108)&gt;=L108),MAX(W108+(2),0)*N108,1000000000)))</f>
        <v>1680</v>
      </c>
      <c r="Y108" s="10" t="n">
        <f aca="false">IF(O108-2*M108&gt;=0,INT((O108-2*M108)/N108),-1)</f>
        <v>1</v>
      </c>
      <c r="Z108" s="10" t="n">
        <f aca="false">IF(AND(Y108&gt;=0,Y108+2&gt;0),ROUNDUP(L108/(Y108+2*M108/N108),0),0)</f>
        <v>2</v>
      </c>
      <c r="AA108" s="10" t="n">
        <f aca="false">IF(AND(Y108&gt;=0,Y108+2&gt;0),ROUNDUP(L108/(Y108*N108/M108+2),0),0)</f>
        <v>4</v>
      </c>
      <c r="AB108" s="10" t="n">
        <f aca="false">IF(OR(Y108&lt;0,Y108+2=0),1000000000,MIN(IF(AND(MAX(Z108+(-1),0)*M108&gt;0,Y108*INT(MAX(Z108+(-1),0)*M108/M108)+2*INT(MAX(Z108+(-1),0)*M108/N108)&gt;=L108),MAX(Z108+(-1),0)*M108,1000000000),IF(AND(MAX(Z108+(0),0)*M108&gt;0,Y108*INT(MAX(Z108+(0),0)*M108/M108)+2*INT(MAX(Z108+(0),0)*M108/N108)&gt;=L108),MAX(Z108+(0),0)*M108,1000000000),IF(AND(MAX(Z108+(1),0)*M108&gt;0,Y108*INT(MAX(Z108+(1),0)*M108/M108)+2*INT(MAX(Z108+(1),0)*M108/N108)&gt;=L108),MAX(Z108+(1),0)*M108,1000000000),IF(AND(MAX(Z108+(2),0)*M108&gt;0,Y108*INT(MAX(Z108+(2),0)*M108/M108)+2*INT(MAX(Z108+(2),0)*M108/N108)&gt;=L108),MAX(Z108+(2),0)*M108,1000000000),IF(AND(MAX(AA108+(-1),0)*N108&gt;0,Y108*INT(MAX(AA108+(-1),0)*N108/M108)+2*INT(MAX(AA108+(-1),0)*N108/N108)&gt;=L108),MAX(AA108+(-1),0)*N108,1000000000),IF(AND(MAX(AA108+(0),0)*N108&gt;0,Y108*INT(MAX(AA108+(0),0)*N108/M108)+2*INT(MAX(AA108+(0),0)*N108/N108)&gt;=L108),MAX(AA108+(0),0)*N108,1000000000),IF(AND(MAX(AA108+(1),0)*N108&gt;0,Y108*INT(MAX(AA108+(1),0)*N108/M108)+2*INT(MAX(AA108+(1),0)*N108/N108)&gt;=L108),MAX(AA108+(1),0)*N108,1000000000),IF(AND(MAX(AA108+(2),0)*N108&gt;0,Y108*INT(MAX(AA108+(2),0)*N108/M108)+2*INT(MAX(AA108+(2),0)*N108/N108)&gt;=L108),MAX(AA108+(2),0)*N108,1000000000)))</f>
        <v>1680</v>
      </c>
      <c r="AC108" s="42" t="n">
        <f aca="false">IF(L108=0,0,MIN(T108,X108,AB108))</f>
        <v>1680</v>
      </c>
      <c r="AD108" s="15" t="n">
        <f aca="false">I108*INDEX(lg_bkg_3460,B108)</f>
        <v>1450.7710352</v>
      </c>
      <c r="AE108" s="33" t="n">
        <f aca="false">I108*INDEX(lg_bvol_3460,B108)</f>
        <v>6.0262272</v>
      </c>
    </row>
    <row r="109" customFormat="false" ht="15" hidden="false" customHeight="false" outlineLevel="0" collapsed="false">
      <c r="A109" s="9" t="n">
        <v>9</v>
      </c>
      <c r="B109" s="9" t="n">
        <v>3</v>
      </c>
      <c r="C109" s="9" t="s">
        <v>15</v>
      </c>
      <c r="D109" s="10" t="n">
        <f aca="false">INDEX(cfg_ct,A109)</f>
        <v>1</v>
      </c>
      <c r="E109" s="10" t="n">
        <f aca="false">INDEX(cfg_n,A109)</f>
        <v>1</v>
      </c>
      <c r="F109" s="15" t="n">
        <f aca="false">INDEX(cfg_u_3464,A109,B109)</f>
        <v>9000</v>
      </c>
      <c r="G109" s="15" t="n">
        <f aca="false">F109/E109</f>
        <v>9000</v>
      </c>
      <c r="H109" s="10" t="n">
        <f aca="false">INDEX(lg_n_3464,B109)</f>
        <v>50</v>
      </c>
      <c r="I109" s="15" t="n">
        <f aca="false">ROUNDUP(G109/H109,0)</f>
        <v>180</v>
      </c>
      <c r="J109" s="10" t="n">
        <f aca="false">INDEX(lg_layers_3464_20GP,B109)</f>
        <v>25</v>
      </c>
      <c r="K109" s="26" t="n">
        <f aca="false">INDEX(in_use_efficiency,1,B109)</f>
        <v>0.9</v>
      </c>
      <c r="L109" s="10" t="n">
        <f aca="false">IF(I109=0,0,ROUNDUP(I109/(K109*J109)-0.000000001,0))</f>
        <v>8</v>
      </c>
      <c r="M109" s="10" t="n">
        <f aca="false">INDEX(lg_a_3464,B109)</f>
        <v>940</v>
      </c>
      <c r="N109" s="10" t="n">
        <f aca="false">INDEX(lg_b_3464,B109)</f>
        <v>473</v>
      </c>
      <c r="O109" s="10" t="n">
        <f aca="false">INDEX(lg_Wu_20GP,B109)</f>
        <v>2330</v>
      </c>
      <c r="P109" s="10" t="n">
        <f aca="false">INDEX(lg_Lu_20GP,B109)</f>
        <v>5800</v>
      </c>
      <c r="Q109" s="10" t="n">
        <f aca="false">IF(O109-0*M109&gt;=0,INT((O109-0*M109)/N109),-1)</f>
        <v>4</v>
      </c>
      <c r="R109" s="10" t="n">
        <f aca="false">IF(AND(Q109&gt;=0,Q109+0&gt;0),ROUNDUP(L109/(Q109+0*M109/N109),0),0)</f>
        <v>2</v>
      </c>
      <c r="S109" s="10" t="n">
        <f aca="false">IF(AND(Q109&gt;=0,Q109+0&gt;0),ROUNDUP(L109/(Q109*N109/M109+0),0),0)</f>
        <v>4</v>
      </c>
      <c r="T109" s="10" t="n">
        <f aca="false">IF(OR(Q109&lt;0,Q109+0=0),1000000000,MIN(IF(AND(MAX(R109+(-1),0)*M109&gt;0,Q109*INT(MAX(R109+(-1),0)*M109/M109)+0*INT(MAX(R109+(-1),0)*M109/N109)&gt;=L109),MAX(R109+(-1),0)*M109,1000000000),IF(AND(MAX(R109+(0),0)*M109&gt;0,Q109*INT(MAX(R109+(0),0)*M109/M109)+0*INT(MAX(R109+(0),0)*M109/N109)&gt;=L109),MAX(R109+(0),0)*M109,1000000000),IF(AND(MAX(R109+(1),0)*M109&gt;0,Q109*INT(MAX(R109+(1),0)*M109/M109)+0*INT(MAX(R109+(1),0)*M109/N109)&gt;=L109),MAX(R109+(1),0)*M109,1000000000),IF(AND(MAX(R109+(2),0)*M109&gt;0,Q109*INT(MAX(R109+(2),0)*M109/M109)+0*INT(MAX(R109+(2),0)*M109/N109)&gt;=L109),MAX(R109+(2),0)*M109,1000000000),IF(AND(MAX(S109+(-1),0)*N109&gt;0,Q109*INT(MAX(S109+(-1),0)*N109/M109)+0*INT(MAX(S109+(-1),0)*N109/N109)&gt;=L109),MAX(S109+(-1),0)*N109,1000000000),IF(AND(MAX(S109+(0),0)*N109&gt;0,Q109*INT(MAX(S109+(0),0)*N109/M109)+0*INT(MAX(S109+(0),0)*N109/N109)&gt;=L109),MAX(S109+(0),0)*N109,1000000000),IF(AND(MAX(S109+(1),0)*N109&gt;0,Q109*INT(MAX(S109+(1),0)*N109/M109)+0*INT(MAX(S109+(1),0)*N109/N109)&gt;=L109),MAX(S109+(1),0)*N109,1000000000),IF(AND(MAX(S109+(2),0)*N109&gt;0,Q109*INT(MAX(S109+(2),0)*N109/M109)+0*INT(MAX(S109+(2),0)*N109/N109)&gt;=L109),MAX(S109+(2),0)*N109,1000000000)))</f>
        <v>1880</v>
      </c>
      <c r="U109" s="10" t="n">
        <f aca="false">IF(O109-1*M109&gt;=0,INT((O109-1*M109)/N109),-1)</f>
        <v>2</v>
      </c>
      <c r="V109" s="10" t="n">
        <f aca="false">IF(AND(U109&gt;=0,U109+1&gt;0),ROUNDUP(L109/(U109+1*M109/N109),0),0)</f>
        <v>3</v>
      </c>
      <c r="W109" s="10" t="n">
        <f aca="false">IF(AND(U109&gt;=0,U109+1&gt;0),ROUNDUP(L109/(U109*N109/M109+1),0),0)</f>
        <v>4</v>
      </c>
      <c r="X109" s="10" t="n">
        <f aca="false">IF(OR(U109&lt;0,U109+1=0),1000000000,MIN(IF(AND(MAX(V109+(-1),0)*M109&gt;0,U109*INT(MAX(V109+(-1),0)*M109/M109)+1*INT(MAX(V109+(-1),0)*M109/N109)&gt;=L109),MAX(V109+(-1),0)*M109,1000000000),IF(AND(MAX(V109+(0),0)*M109&gt;0,U109*INT(MAX(V109+(0),0)*M109/M109)+1*INT(MAX(V109+(0),0)*M109/N109)&gt;=L109),MAX(V109+(0),0)*M109,1000000000),IF(AND(MAX(V109+(1),0)*M109&gt;0,U109*INT(MAX(V109+(1),0)*M109/M109)+1*INT(MAX(V109+(1),0)*M109/N109)&gt;=L109),MAX(V109+(1),0)*M109,1000000000),IF(AND(MAX(V109+(2),0)*M109&gt;0,U109*INT(MAX(V109+(2),0)*M109/M109)+1*INT(MAX(V109+(2),0)*M109/N109)&gt;=L109),MAX(V109+(2),0)*M109,1000000000),IF(AND(MAX(W109+(-1),0)*N109&gt;0,U109*INT(MAX(W109+(-1),0)*N109/M109)+1*INT(MAX(W109+(-1),0)*N109/N109)&gt;=L109),MAX(W109+(-1),0)*N109,1000000000),IF(AND(MAX(W109+(0),0)*N109&gt;0,U109*INT(MAX(W109+(0),0)*N109/M109)+1*INT(MAX(W109+(0),0)*N109/N109)&gt;=L109),MAX(W109+(0),0)*N109,1000000000),IF(AND(MAX(W109+(1),0)*N109&gt;0,U109*INT(MAX(W109+(1),0)*N109/M109)+1*INT(MAX(W109+(1),0)*N109/N109)&gt;=L109),MAX(W109+(1),0)*N109,1000000000),IF(AND(MAX(W109+(2),0)*N109&gt;0,U109*INT(MAX(W109+(2),0)*N109/M109)+1*INT(MAX(W109+(2),0)*N109/N109)&gt;=L109),MAX(W109+(2),0)*N109,1000000000)))</f>
        <v>1892</v>
      </c>
      <c r="Y109" s="10" t="n">
        <f aca="false">IF(O109-2*M109&gt;=0,INT((O109-2*M109)/N109),-1)</f>
        <v>0</v>
      </c>
      <c r="Z109" s="10" t="n">
        <f aca="false">IF(AND(Y109&gt;=0,Y109+2&gt;0),ROUNDUP(L109/(Y109+2*M109/N109),0),0)</f>
        <v>3</v>
      </c>
      <c r="AA109" s="10" t="n">
        <f aca="false">IF(AND(Y109&gt;=0,Y109+2&gt;0),ROUNDUP(L109/(Y109*N109/M109+2),0),0)</f>
        <v>4</v>
      </c>
      <c r="AB109" s="10" t="n">
        <f aca="false">IF(OR(Y109&lt;0,Y109+2=0),1000000000,MIN(IF(AND(MAX(Z109+(-1),0)*M109&gt;0,Y109*INT(MAX(Z109+(-1),0)*M109/M109)+2*INT(MAX(Z109+(-1),0)*M109/N109)&gt;=L109),MAX(Z109+(-1),0)*M109,1000000000),IF(AND(MAX(Z109+(0),0)*M109&gt;0,Y109*INT(MAX(Z109+(0),0)*M109/M109)+2*INT(MAX(Z109+(0),0)*M109/N109)&gt;=L109),MAX(Z109+(0),0)*M109,1000000000),IF(AND(MAX(Z109+(1),0)*M109&gt;0,Y109*INT(MAX(Z109+(1),0)*M109/M109)+2*INT(MAX(Z109+(1),0)*M109/N109)&gt;=L109),MAX(Z109+(1),0)*M109,1000000000),IF(AND(MAX(Z109+(2),0)*M109&gt;0,Y109*INT(MAX(Z109+(2),0)*M109/M109)+2*INT(MAX(Z109+(2),0)*M109/N109)&gt;=L109),MAX(Z109+(2),0)*M109,1000000000),IF(AND(MAX(AA109+(-1),0)*N109&gt;0,Y109*INT(MAX(AA109+(-1),0)*N109/M109)+2*INT(MAX(AA109+(-1),0)*N109/N109)&gt;=L109),MAX(AA109+(-1),0)*N109,1000000000),IF(AND(MAX(AA109+(0),0)*N109&gt;0,Y109*INT(MAX(AA109+(0),0)*N109/M109)+2*INT(MAX(AA109+(0),0)*N109/N109)&gt;=L109),MAX(AA109+(0),0)*N109,1000000000),IF(AND(MAX(AA109+(1),0)*N109&gt;0,Y109*INT(MAX(AA109+(1),0)*N109/M109)+2*INT(MAX(AA109+(1),0)*N109/N109)&gt;=L109),MAX(AA109+(1),0)*N109,1000000000),IF(AND(MAX(AA109+(2),0)*N109&gt;0,Y109*INT(MAX(AA109+(2),0)*N109/M109)+2*INT(MAX(AA109+(2),0)*N109/N109)&gt;=L109),MAX(AA109+(2),0)*N109,1000000000)))</f>
        <v>1892</v>
      </c>
      <c r="AC109" s="42" t="n">
        <f aca="false">IF(L109=0,0,MIN(T109,X109,AB109))</f>
        <v>1880</v>
      </c>
      <c r="AD109" s="15" t="n">
        <f aca="false">I109*INDEX(lg_bkg_3464,B109)</f>
        <v>1757.117952</v>
      </c>
      <c r="AE109" s="33" t="n">
        <f aca="false">I109*INDEX(lg_bvol_3464,B109)</f>
        <v>7.202844</v>
      </c>
    </row>
    <row r="110" customFormat="false" ht="15" hidden="false" customHeight="false" outlineLevel="0" collapsed="false">
      <c r="A110" s="9" t="n">
        <v>9</v>
      </c>
      <c r="B110" s="9" t="n">
        <v>3</v>
      </c>
      <c r="C110" s="9" t="s">
        <v>16</v>
      </c>
      <c r="D110" s="10" t="n">
        <f aca="false">INDEX(cfg_ct,A110)</f>
        <v>1</v>
      </c>
      <c r="E110" s="10" t="n">
        <f aca="false">INDEX(cfg_n,A110)</f>
        <v>1</v>
      </c>
      <c r="F110" s="15" t="n">
        <f aca="false">INDEX(cfg_u_3463,A110,B110)</f>
        <v>9000</v>
      </c>
      <c r="G110" s="15" t="n">
        <f aca="false">F110/E110</f>
        <v>9000</v>
      </c>
      <c r="H110" s="10" t="n">
        <f aca="false">INDEX(lg_n_3463,B110)</f>
        <v>50</v>
      </c>
      <c r="I110" s="15" t="n">
        <f aca="false">ROUNDUP(G110/H110,0)</f>
        <v>180</v>
      </c>
      <c r="J110" s="10" t="n">
        <f aca="false">INDEX(lg_layers_3463_20GP,B110)</f>
        <v>25</v>
      </c>
      <c r="K110" s="26" t="n">
        <f aca="false">INDEX(in_use_efficiency,1,B110)</f>
        <v>0.9</v>
      </c>
      <c r="L110" s="10" t="n">
        <f aca="false">IF(I110=0,0,ROUNDUP(I110/(K110*J110)-0.000000001,0))</f>
        <v>8</v>
      </c>
      <c r="M110" s="10" t="n">
        <f aca="false">INDEX(lg_a_3463,B110)</f>
        <v>1040</v>
      </c>
      <c r="N110" s="10" t="n">
        <f aca="false">INDEX(lg_b_3463,B110)</f>
        <v>523</v>
      </c>
      <c r="O110" s="10" t="n">
        <f aca="false">INDEX(lg_Wu_20GP,B110)</f>
        <v>2330</v>
      </c>
      <c r="P110" s="10" t="n">
        <f aca="false">INDEX(lg_Lu_20GP,B110)</f>
        <v>5800</v>
      </c>
      <c r="Q110" s="10" t="n">
        <f aca="false">IF(O110-0*M110&gt;=0,INT((O110-0*M110)/N110),-1)</f>
        <v>4</v>
      </c>
      <c r="R110" s="10" t="n">
        <f aca="false">IF(AND(Q110&gt;=0,Q110+0&gt;0),ROUNDUP(L110/(Q110+0*M110/N110),0),0)</f>
        <v>2</v>
      </c>
      <c r="S110" s="10" t="n">
        <f aca="false">IF(AND(Q110&gt;=0,Q110+0&gt;0),ROUNDUP(L110/(Q110*N110/M110+0),0),0)</f>
        <v>4</v>
      </c>
      <c r="T110" s="10" t="n">
        <f aca="false">IF(OR(Q110&lt;0,Q110+0=0),1000000000,MIN(IF(AND(MAX(R110+(-1),0)*M110&gt;0,Q110*INT(MAX(R110+(-1),0)*M110/M110)+0*INT(MAX(R110+(-1),0)*M110/N110)&gt;=L110),MAX(R110+(-1),0)*M110,1000000000),IF(AND(MAX(R110+(0),0)*M110&gt;0,Q110*INT(MAX(R110+(0),0)*M110/M110)+0*INT(MAX(R110+(0),0)*M110/N110)&gt;=L110),MAX(R110+(0),0)*M110,1000000000),IF(AND(MAX(R110+(1),0)*M110&gt;0,Q110*INT(MAX(R110+(1),0)*M110/M110)+0*INT(MAX(R110+(1),0)*M110/N110)&gt;=L110),MAX(R110+(1),0)*M110,1000000000),IF(AND(MAX(R110+(2),0)*M110&gt;0,Q110*INT(MAX(R110+(2),0)*M110/M110)+0*INT(MAX(R110+(2),0)*M110/N110)&gt;=L110),MAX(R110+(2),0)*M110,1000000000),IF(AND(MAX(S110+(-1),0)*N110&gt;0,Q110*INT(MAX(S110+(-1),0)*N110/M110)+0*INT(MAX(S110+(-1),0)*N110/N110)&gt;=L110),MAX(S110+(-1),0)*N110,1000000000),IF(AND(MAX(S110+(0),0)*N110&gt;0,Q110*INT(MAX(S110+(0),0)*N110/M110)+0*INT(MAX(S110+(0),0)*N110/N110)&gt;=L110),MAX(S110+(0),0)*N110,1000000000),IF(AND(MAX(S110+(1),0)*N110&gt;0,Q110*INT(MAX(S110+(1),0)*N110/M110)+0*INT(MAX(S110+(1),0)*N110/N110)&gt;=L110),MAX(S110+(1),0)*N110,1000000000),IF(AND(MAX(S110+(2),0)*N110&gt;0,Q110*INT(MAX(S110+(2),0)*N110/M110)+0*INT(MAX(S110+(2),0)*N110/N110)&gt;=L110),MAX(S110+(2),0)*N110,1000000000)))</f>
        <v>2080</v>
      </c>
      <c r="U110" s="10" t="n">
        <f aca="false">IF(O110-1*M110&gt;=0,INT((O110-1*M110)/N110),-1)</f>
        <v>2</v>
      </c>
      <c r="V110" s="10" t="n">
        <f aca="false">IF(AND(U110&gt;=0,U110+1&gt;0),ROUNDUP(L110/(U110+1*M110/N110),0),0)</f>
        <v>3</v>
      </c>
      <c r="W110" s="10" t="n">
        <f aca="false">IF(AND(U110&gt;=0,U110+1&gt;0),ROUNDUP(L110/(U110*N110/M110+1),0),0)</f>
        <v>4</v>
      </c>
      <c r="X110" s="10" t="n">
        <f aca="false">IF(OR(U110&lt;0,U110+1=0),1000000000,MIN(IF(AND(MAX(V110+(-1),0)*M110&gt;0,U110*INT(MAX(V110+(-1),0)*M110/M110)+1*INT(MAX(V110+(-1),0)*M110/N110)&gt;=L110),MAX(V110+(-1),0)*M110,1000000000),IF(AND(MAX(V110+(0),0)*M110&gt;0,U110*INT(MAX(V110+(0),0)*M110/M110)+1*INT(MAX(V110+(0),0)*M110/N110)&gt;=L110),MAX(V110+(0),0)*M110,1000000000),IF(AND(MAX(V110+(1),0)*M110&gt;0,U110*INT(MAX(V110+(1),0)*M110/M110)+1*INT(MAX(V110+(1),0)*M110/N110)&gt;=L110),MAX(V110+(1),0)*M110,1000000000),IF(AND(MAX(V110+(2),0)*M110&gt;0,U110*INT(MAX(V110+(2),0)*M110/M110)+1*INT(MAX(V110+(2),0)*M110/N110)&gt;=L110),MAX(V110+(2),0)*M110,1000000000),IF(AND(MAX(W110+(-1),0)*N110&gt;0,U110*INT(MAX(W110+(-1),0)*N110/M110)+1*INT(MAX(W110+(-1),0)*N110/N110)&gt;=L110),MAX(W110+(-1),0)*N110,1000000000),IF(AND(MAX(W110+(0),0)*N110&gt;0,U110*INT(MAX(W110+(0),0)*N110/M110)+1*INT(MAX(W110+(0),0)*N110/N110)&gt;=L110),MAX(W110+(0),0)*N110,1000000000),IF(AND(MAX(W110+(1),0)*N110&gt;0,U110*INT(MAX(W110+(1),0)*N110/M110)+1*INT(MAX(W110+(1),0)*N110/N110)&gt;=L110),MAX(W110+(1),0)*N110,1000000000),IF(AND(MAX(W110+(2),0)*N110&gt;0,U110*INT(MAX(W110+(2),0)*N110/M110)+1*INT(MAX(W110+(2),0)*N110/N110)&gt;=L110),MAX(W110+(2),0)*N110,1000000000)))</f>
        <v>2092</v>
      </c>
      <c r="Y110" s="10" t="n">
        <f aca="false">IF(O110-2*M110&gt;=0,INT((O110-2*M110)/N110),-1)</f>
        <v>0</v>
      </c>
      <c r="Z110" s="10" t="n">
        <f aca="false">IF(AND(Y110&gt;=0,Y110+2&gt;0),ROUNDUP(L110/(Y110+2*M110/N110),0),0)</f>
        <v>3</v>
      </c>
      <c r="AA110" s="10" t="n">
        <f aca="false">IF(AND(Y110&gt;=0,Y110+2&gt;0),ROUNDUP(L110/(Y110*N110/M110+2),0),0)</f>
        <v>4</v>
      </c>
      <c r="AB110" s="10" t="n">
        <f aca="false">IF(OR(Y110&lt;0,Y110+2=0),1000000000,MIN(IF(AND(MAX(Z110+(-1),0)*M110&gt;0,Y110*INT(MAX(Z110+(-1),0)*M110/M110)+2*INT(MAX(Z110+(-1),0)*M110/N110)&gt;=L110),MAX(Z110+(-1),0)*M110,1000000000),IF(AND(MAX(Z110+(0),0)*M110&gt;0,Y110*INT(MAX(Z110+(0),0)*M110/M110)+2*INT(MAX(Z110+(0),0)*M110/N110)&gt;=L110),MAX(Z110+(0),0)*M110,1000000000),IF(AND(MAX(Z110+(1),0)*M110&gt;0,Y110*INT(MAX(Z110+(1),0)*M110/M110)+2*INT(MAX(Z110+(1),0)*M110/N110)&gt;=L110),MAX(Z110+(1),0)*M110,1000000000),IF(AND(MAX(Z110+(2),0)*M110&gt;0,Y110*INT(MAX(Z110+(2),0)*M110/M110)+2*INT(MAX(Z110+(2),0)*M110/N110)&gt;=L110),MAX(Z110+(2),0)*M110,1000000000),IF(AND(MAX(AA110+(-1),0)*N110&gt;0,Y110*INT(MAX(AA110+(-1),0)*N110/M110)+2*INT(MAX(AA110+(-1),0)*N110/N110)&gt;=L110),MAX(AA110+(-1),0)*N110,1000000000),IF(AND(MAX(AA110+(0),0)*N110&gt;0,Y110*INT(MAX(AA110+(0),0)*N110/M110)+2*INT(MAX(AA110+(0),0)*N110/N110)&gt;=L110),MAX(AA110+(0),0)*N110,1000000000),IF(AND(MAX(AA110+(1),0)*N110&gt;0,Y110*INT(MAX(AA110+(1),0)*N110/M110)+2*INT(MAX(AA110+(1),0)*N110/N110)&gt;=L110),MAX(AA110+(1),0)*N110,1000000000),IF(AND(MAX(AA110+(2),0)*N110&gt;0,Y110*INT(MAX(AA110+(2),0)*N110/M110)+2*INT(MAX(AA110+(2),0)*N110/N110)&gt;=L110),MAX(AA110+(2),0)*N110,1000000000)))</f>
        <v>2092</v>
      </c>
      <c r="AC110" s="42" t="n">
        <f aca="false">IF(L110=0,0,MIN(T110,X110,AB110))</f>
        <v>2080</v>
      </c>
      <c r="AD110" s="15" t="n">
        <f aca="false">I110*INDEX(lg_bkg_3463,B110)</f>
        <v>2148.795072</v>
      </c>
      <c r="AE110" s="33" t="n">
        <f aca="false">I110*INDEX(lg_bvol_3463,B110)</f>
        <v>8.811504</v>
      </c>
    </row>
    <row r="111" customFormat="false" ht="15" hidden="false" customHeight="false" outlineLevel="0" collapsed="false">
      <c r="A111" s="9" t="n">
        <v>9</v>
      </c>
      <c r="B111" s="9" t="n">
        <v>3</v>
      </c>
      <c r="C111" s="9" t="s">
        <v>17</v>
      </c>
      <c r="D111" s="10" t="n">
        <f aca="false">INDEX(cfg_ct,A111)</f>
        <v>1</v>
      </c>
      <c r="E111" s="10" t="n">
        <f aca="false">INDEX(cfg_n,A111)</f>
        <v>1</v>
      </c>
      <c r="F111" s="15" t="n">
        <f aca="false">INDEX(cfg_u_3460,A111,B111)</f>
        <v>9000</v>
      </c>
      <c r="G111" s="15" t="n">
        <f aca="false">F111/E111</f>
        <v>9000</v>
      </c>
      <c r="H111" s="10" t="n">
        <f aca="false">INDEX(lg_n_3460,B111)</f>
        <v>50</v>
      </c>
      <c r="I111" s="15" t="n">
        <f aca="false">ROUNDUP(G111/H111,0)</f>
        <v>180</v>
      </c>
      <c r="J111" s="10" t="n">
        <f aca="false">INDEX(lg_layers_3460_20GP,B111)</f>
        <v>25</v>
      </c>
      <c r="K111" s="26" t="n">
        <f aca="false">INDEX(in_use_efficiency,1,B111)</f>
        <v>0.9</v>
      </c>
      <c r="L111" s="10" t="n">
        <f aca="false">IF(I111=0,0,ROUNDUP(I111/(K111*J111)-0.000000001,0))</f>
        <v>8</v>
      </c>
      <c r="M111" s="10" t="n">
        <f aca="false">INDEX(lg_a_3460,B111)</f>
        <v>840</v>
      </c>
      <c r="N111" s="10" t="n">
        <f aca="false">INDEX(lg_b_3460,B111)</f>
        <v>423</v>
      </c>
      <c r="O111" s="10" t="n">
        <f aca="false">INDEX(lg_Wu_20GP,B111)</f>
        <v>2330</v>
      </c>
      <c r="P111" s="10" t="n">
        <f aca="false">INDEX(lg_Lu_20GP,B111)</f>
        <v>5800</v>
      </c>
      <c r="Q111" s="10" t="n">
        <f aca="false">IF(O111-0*M111&gt;=0,INT((O111-0*M111)/N111),-1)</f>
        <v>5</v>
      </c>
      <c r="R111" s="10" t="n">
        <f aca="false">IF(AND(Q111&gt;=0,Q111+0&gt;0),ROUNDUP(L111/(Q111+0*M111/N111),0),0)</f>
        <v>2</v>
      </c>
      <c r="S111" s="10" t="n">
        <f aca="false">IF(AND(Q111&gt;=0,Q111+0&gt;0),ROUNDUP(L111/(Q111*N111/M111+0),0),0)</f>
        <v>4</v>
      </c>
      <c r="T111" s="10" t="n">
        <f aca="false">IF(OR(Q111&lt;0,Q111+0=0),1000000000,MIN(IF(AND(MAX(R111+(-1),0)*M111&gt;0,Q111*INT(MAX(R111+(-1),0)*M111/M111)+0*INT(MAX(R111+(-1),0)*M111/N111)&gt;=L111),MAX(R111+(-1),0)*M111,1000000000),IF(AND(MAX(R111+(0),0)*M111&gt;0,Q111*INT(MAX(R111+(0),0)*M111/M111)+0*INT(MAX(R111+(0),0)*M111/N111)&gt;=L111),MAX(R111+(0),0)*M111,1000000000),IF(AND(MAX(R111+(1),0)*M111&gt;0,Q111*INT(MAX(R111+(1),0)*M111/M111)+0*INT(MAX(R111+(1),0)*M111/N111)&gt;=L111),MAX(R111+(1),0)*M111,1000000000),IF(AND(MAX(R111+(2),0)*M111&gt;0,Q111*INT(MAX(R111+(2),0)*M111/M111)+0*INT(MAX(R111+(2),0)*M111/N111)&gt;=L111),MAX(R111+(2),0)*M111,1000000000),IF(AND(MAX(S111+(-1),0)*N111&gt;0,Q111*INT(MAX(S111+(-1),0)*N111/M111)+0*INT(MAX(S111+(-1),0)*N111/N111)&gt;=L111),MAX(S111+(-1),0)*N111,1000000000),IF(AND(MAX(S111+(0),0)*N111&gt;0,Q111*INT(MAX(S111+(0),0)*N111/M111)+0*INT(MAX(S111+(0),0)*N111/N111)&gt;=L111),MAX(S111+(0),0)*N111,1000000000),IF(AND(MAX(S111+(1),0)*N111&gt;0,Q111*INT(MAX(S111+(1),0)*N111/M111)+0*INT(MAX(S111+(1),0)*N111/N111)&gt;=L111),MAX(S111+(1),0)*N111,1000000000),IF(AND(MAX(S111+(2),0)*N111&gt;0,Q111*INT(MAX(S111+(2),0)*N111/M111)+0*INT(MAX(S111+(2),0)*N111/N111)&gt;=L111),MAX(S111+(2),0)*N111,1000000000)))</f>
        <v>1680</v>
      </c>
      <c r="U111" s="10" t="n">
        <f aca="false">IF(O111-1*M111&gt;=0,INT((O111-1*M111)/N111),-1)</f>
        <v>3</v>
      </c>
      <c r="V111" s="10" t="n">
        <f aca="false">IF(AND(U111&gt;=0,U111+1&gt;0),ROUNDUP(L111/(U111+1*M111/N111),0),0)</f>
        <v>2</v>
      </c>
      <c r="W111" s="10" t="n">
        <f aca="false">IF(AND(U111&gt;=0,U111+1&gt;0),ROUNDUP(L111/(U111*N111/M111+1),0),0)</f>
        <v>4</v>
      </c>
      <c r="X111" s="10" t="n">
        <f aca="false">IF(OR(U111&lt;0,U111+1=0),1000000000,MIN(IF(AND(MAX(V111+(-1),0)*M111&gt;0,U111*INT(MAX(V111+(-1),0)*M111/M111)+1*INT(MAX(V111+(-1),0)*M111/N111)&gt;=L111),MAX(V111+(-1),0)*M111,1000000000),IF(AND(MAX(V111+(0),0)*M111&gt;0,U111*INT(MAX(V111+(0),0)*M111/M111)+1*INT(MAX(V111+(0),0)*M111/N111)&gt;=L111),MAX(V111+(0),0)*M111,1000000000),IF(AND(MAX(V111+(1),0)*M111&gt;0,U111*INT(MAX(V111+(1),0)*M111/M111)+1*INT(MAX(V111+(1),0)*M111/N111)&gt;=L111),MAX(V111+(1),0)*M111,1000000000),IF(AND(MAX(V111+(2),0)*M111&gt;0,U111*INT(MAX(V111+(2),0)*M111/M111)+1*INT(MAX(V111+(2),0)*M111/N111)&gt;=L111),MAX(V111+(2),0)*M111,1000000000),IF(AND(MAX(W111+(-1),0)*N111&gt;0,U111*INT(MAX(W111+(-1),0)*N111/M111)+1*INT(MAX(W111+(-1),0)*N111/N111)&gt;=L111),MAX(W111+(-1),0)*N111,1000000000),IF(AND(MAX(W111+(0),0)*N111&gt;0,U111*INT(MAX(W111+(0),0)*N111/M111)+1*INT(MAX(W111+(0),0)*N111/N111)&gt;=L111),MAX(W111+(0),0)*N111,1000000000),IF(AND(MAX(W111+(1),0)*N111&gt;0,U111*INT(MAX(W111+(1),0)*N111/M111)+1*INT(MAX(W111+(1),0)*N111/N111)&gt;=L111),MAX(W111+(1),0)*N111,1000000000),IF(AND(MAX(W111+(2),0)*N111&gt;0,U111*INT(MAX(W111+(2),0)*N111/M111)+1*INT(MAX(W111+(2),0)*N111/N111)&gt;=L111),MAX(W111+(2),0)*N111,1000000000)))</f>
        <v>1680</v>
      </c>
      <c r="Y111" s="10" t="n">
        <f aca="false">IF(O111-2*M111&gt;=0,INT((O111-2*M111)/N111),-1)</f>
        <v>1</v>
      </c>
      <c r="Z111" s="10" t="n">
        <f aca="false">IF(AND(Y111&gt;=0,Y111+2&gt;0),ROUNDUP(L111/(Y111+2*M111/N111),0),0)</f>
        <v>2</v>
      </c>
      <c r="AA111" s="10" t="n">
        <f aca="false">IF(AND(Y111&gt;=0,Y111+2&gt;0),ROUNDUP(L111/(Y111*N111/M111+2),0),0)</f>
        <v>4</v>
      </c>
      <c r="AB111" s="10" t="n">
        <f aca="false">IF(OR(Y111&lt;0,Y111+2=0),1000000000,MIN(IF(AND(MAX(Z111+(-1),0)*M111&gt;0,Y111*INT(MAX(Z111+(-1),0)*M111/M111)+2*INT(MAX(Z111+(-1),0)*M111/N111)&gt;=L111),MAX(Z111+(-1),0)*M111,1000000000),IF(AND(MAX(Z111+(0),0)*M111&gt;0,Y111*INT(MAX(Z111+(0),0)*M111/M111)+2*INT(MAX(Z111+(0),0)*M111/N111)&gt;=L111),MAX(Z111+(0),0)*M111,1000000000),IF(AND(MAX(Z111+(1),0)*M111&gt;0,Y111*INT(MAX(Z111+(1),0)*M111/M111)+2*INT(MAX(Z111+(1),0)*M111/N111)&gt;=L111),MAX(Z111+(1),0)*M111,1000000000),IF(AND(MAX(Z111+(2),0)*M111&gt;0,Y111*INT(MAX(Z111+(2),0)*M111/M111)+2*INT(MAX(Z111+(2),0)*M111/N111)&gt;=L111),MAX(Z111+(2),0)*M111,1000000000),IF(AND(MAX(AA111+(-1),0)*N111&gt;0,Y111*INT(MAX(AA111+(-1),0)*N111/M111)+2*INT(MAX(AA111+(-1),0)*N111/N111)&gt;=L111),MAX(AA111+(-1),0)*N111,1000000000),IF(AND(MAX(AA111+(0),0)*N111&gt;0,Y111*INT(MAX(AA111+(0),0)*N111/M111)+2*INT(MAX(AA111+(0),0)*N111/N111)&gt;=L111),MAX(AA111+(0),0)*N111,1000000000),IF(AND(MAX(AA111+(1),0)*N111&gt;0,Y111*INT(MAX(AA111+(1),0)*N111/M111)+2*INT(MAX(AA111+(1),0)*N111/N111)&gt;=L111),MAX(AA111+(1),0)*N111,1000000000),IF(AND(MAX(AA111+(2),0)*N111&gt;0,Y111*INT(MAX(AA111+(2),0)*N111/M111)+2*INT(MAX(AA111+(2),0)*N111/N111)&gt;=L111),MAX(AA111+(2),0)*N111,1000000000)))</f>
        <v>1680</v>
      </c>
      <c r="AC111" s="42" t="n">
        <f aca="false">IF(L111=0,0,MIN(T111,X111,AB111))</f>
        <v>1680</v>
      </c>
      <c r="AD111" s="15" t="n">
        <f aca="false">I111*INDEX(lg_bkg_3460,B111)</f>
        <v>1405.184832</v>
      </c>
      <c r="AE111" s="33" t="n">
        <f aca="false">I111*INDEX(lg_bvol_3460,B111)</f>
        <v>5.756184</v>
      </c>
    </row>
    <row r="114" customFormat="false" ht="15" hidden="false" customHeight="false" outlineLevel="0" collapsed="false">
      <c r="A114" s="3" t="s">
        <v>791</v>
      </c>
      <c r="B114" s="4"/>
      <c r="C114" s="4"/>
      <c r="D114" s="4"/>
      <c r="E114" s="4"/>
      <c r="F114" s="4"/>
      <c r="G114" s="4"/>
      <c r="H114" s="4"/>
      <c r="I114" s="4"/>
      <c r="J114" s="4"/>
      <c r="K114" s="4"/>
      <c r="L114" s="4"/>
      <c r="M114" s="4"/>
      <c r="N114" s="4"/>
    </row>
    <row r="115" customFormat="false" ht="23.85" hidden="false" customHeight="false" outlineLevel="0" collapsed="false">
      <c r="A115" s="13" t="s">
        <v>768</v>
      </c>
      <c r="B115" s="13" t="s">
        <v>666</v>
      </c>
      <c r="C115" s="13" t="s">
        <v>722</v>
      </c>
      <c r="D115" s="13" t="s">
        <v>792</v>
      </c>
      <c r="E115" s="13" t="s">
        <v>689</v>
      </c>
      <c r="F115" s="13" t="s">
        <v>793</v>
      </c>
      <c r="G115" s="13" t="s">
        <v>794</v>
      </c>
      <c r="H115" s="13" t="s">
        <v>692</v>
      </c>
      <c r="I115" s="13" t="s">
        <v>795</v>
      </c>
      <c r="J115" s="13" t="s">
        <v>796</v>
      </c>
      <c r="K115" s="13" t="s">
        <v>797</v>
      </c>
      <c r="L115" s="13" t="s">
        <v>714</v>
      </c>
      <c r="M115" s="13" t="s">
        <v>715</v>
      </c>
    </row>
    <row r="116" customFormat="false" ht="15" hidden="false" customHeight="false" outlineLevel="0" collapsed="false">
      <c r="A116" s="9" t="n">
        <v>1</v>
      </c>
      <c r="B116" s="9" t="n">
        <v>1</v>
      </c>
      <c r="C116" s="10" t="n">
        <f aca="false">INDEX(cfg_ct,A116)</f>
        <v>3</v>
      </c>
      <c r="D116" s="15" t="n">
        <f aca="false">SUMIFS($AC$31:$AC$111,$A$31:$A$111,A116,$B$31:$B$111,B116)</f>
        <v>9492</v>
      </c>
      <c r="E116" s="15" t="n">
        <f aca="false">INDEX(lg_Lu_40HC,B116)</f>
        <v>11930</v>
      </c>
      <c r="F116" s="27" t="b">
        <f aca="false">D116&lt;=E116+0.000001</f>
        <v>1</v>
      </c>
      <c r="G116" s="15" t="n">
        <f aca="false">SUMIFS($AD$31:$AD$111,$A$31:$A$111,A116,$B$31:$B$111,B116)</f>
        <v>9855.3664</v>
      </c>
      <c r="H116" s="15" t="n">
        <f aca="false">INDEX(ct_road,C116)</f>
        <v>19958</v>
      </c>
      <c r="I116" s="27" t="b">
        <f aca="false">G116&lt;=H116</f>
        <v>1</v>
      </c>
      <c r="J116" s="61" t="b">
        <f aca="false">AND(F116,I116)</f>
        <v>1</v>
      </c>
      <c r="K116" s="26" t="n">
        <f aca="false">D116/E116</f>
        <v>0.795641240569992</v>
      </c>
      <c r="L116" s="26" t="n">
        <f aca="false">SUMIFS($AE$31:$AE$111,$A$31:$A$111,A116,$B$31:$B$111,B116)/INDEX(ct_cube,C116)</f>
        <v>0.527693717277487</v>
      </c>
      <c r="M116" s="26" t="n">
        <f aca="false">G116/H116</f>
        <v>0.493805311153422</v>
      </c>
    </row>
    <row r="117" customFormat="false" ht="15" hidden="false" customHeight="false" outlineLevel="0" collapsed="false">
      <c r="A117" s="9" t="n">
        <v>1</v>
      </c>
      <c r="B117" s="9" t="n">
        <v>2</v>
      </c>
      <c r="C117" s="10" t="n">
        <f aca="false">INDEX(cfg_ct,A117)</f>
        <v>3</v>
      </c>
      <c r="D117" s="15" t="n">
        <f aca="false">SUMIFS($AC$31:$AC$111,$A$31:$A$111,A117,$B$31:$B$111,B117)</f>
        <v>9492</v>
      </c>
      <c r="E117" s="15" t="n">
        <f aca="false">INDEX(lg_Lu_40HC,B117)</f>
        <v>11930</v>
      </c>
      <c r="F117" s="27" t="b">
        <f aca="false">D117&lt;=E117+0.000001</f>
        <v>1</v>
      </c>
      <c r="G117" s="15" t="n">
        <f aca="false">SUMIFS($AD$31:$AD$111,$A$31:$A$111,A117,$B$31:$B$111,B117)</f>
        <v>10342.13472</v>
      </c>
      <c r="H117" s="15" t="n">
        <f aca="false">INDEX(ct_road,C117)</f>
        <v>19958</v>
      </c>
      <c r="I117" s="27" t="b">
        <f aca="false">G117&lt;=H117</f>
        <v>1</v>
      </c>
      <c r="J117" s="61" t="b">
        <f aca="false">AND(F117,I117)</f>
        <v>1</v>
      </c>
      <c r="K117" s="26" t="n">
        <f aca="false">D117/E117</f>
        <v>0.795641240569992</v>
      </c>
      <c r="L117" s="26" t="n">
        <f aca="false">SUMIFS($AE$31:$AE$111,$A$31:$A$111,A117,$B$31:$B$111,B117)/INDEX(ct_cube,C117)</f>
        <v>0.562873298429319</v>
      </c>
      <c r="M117" s="26" t="n">
        <f aca="false">G117/H117</f>
        <v>0.518194945385309</v>
      </c>
    </row>
    <row r="118" customFormat="false" ht="15" hidden="false" customHeight="false" outlineLevel="0" collapsed="false">
      <c r="A118" s="9" t="n">
        <v>1</v>
      </c>
      <c r="B118" s="9" t="n">
        <v>3</v>
      </c>
      <c r="C118" s="10" t="n">
        <f aca="false">INDEX(cfg_ct,A118)</f>
        <v>3</v>
      </c>
      <c r="D118" s="15" t="n">
        <f aca="false">SUMIFS($AC$31:$AC$111,$A$31:$A$111,A118,$B$31:$B$111,B118)</f>
        <v>10881</v>
      </c>
      <c r="E118" s="15" t="n">
        <f aca="false">INDEX(lg_Lu_40HC,B118)</f>
        <v>11930</v>
      </c>
      <c r="F118" s="27" t="b">
        <f aca="false">D118&lt;=E118+0.000001</f>
        <v>1</v>
      </c>
      <c r="G118" s="15" t="n">
        <f aca="false">SUMIFS($AD$31:$AD$111,$A$31:$A$111,A118,$B$31:$B$111,B118)</f>
        <v>11802.43968</v>
      </c>
      <c r="H118" s="15" t="n">
        <f aca="false">INDEX(ct_road,C118)</f>
        <v>19958</v>
      </c>
      <c r="I118" s="27" t="b">
        <f aca="false">G118&lt;=H118</f>
        <v>1</v>
      </c>
      <c r="J118" s="61" t="b">
        <f aca="false">AND(F118,I118)</f>
        <v>1</v>
      </c>
      <c r="K118" s="26" t="n">
        <f aca="false">D118/E118</f>
        <v>0.912070410729254</v>
      </c>
      <c r="L118" s="26" t="n">
        <f aca="false">SUMIFS($AE$31:$AE$111,$A$31:$A$111,A118,$B$31:$B$111,B118)/INDEX(ct_cube,C118)</f>
        <v>0.633232460732984</v>
      </c>
      <c r="M118" s="26" t="n">
        <f aca="false">G118/H118</f>
        <v>0.59136384808097</v>
      </c>
    </row>
    <row r="119" customFormat="false" ht="15" hidden="false" customHeight="false" outlineLevel="0" collapsed="false">
      <c r="A119" s="9" t="n">
        <v>2</v>
      </c>
      <c r="B119" s="9" t="n">
        <v>1</v>
      </c>
      <c r="C119" s="10" t="n">
        <f aca="false">INDEX(cfg_ct,A119)</f>
        <v>2</v>
      </c>
      <c r="D119" s="15" t="n">
        <f aca="false">SUMIFS($AC$31:$AC$111,$A$31:$A$111,A119,$B$31:$B$111,B119)</f>
        <v>9492</v>
      </c>
      <c r="E119" s="15" t="n">
        <f aca="false">INDEX(lg_Lu_40GP,B119)</f>
        <v>11930</v>
      </c>
      <c r="F119" s="27" t="b">
        <f aca="false">D119&lt;=E119+0.000001</f>
        <v>1</v>
      </c>
      <c r="G119" s="15" t="n">
        <f aca="false">SUMIFS($AD$31:$AD$111,$A$31:$A$111,A119,$B$31:$B$111,B119)</f>
        <v>9855.3664</v>
      </c>
      <c r="H119" s="15" t="n">
        <f aca="false">INDEX(ct_road,C119)</f>
        <v>19958</v>
      </c>
      <c r="I119" s="27" t="b">
        <f aca="false">G119&lt;=H119</f>
        <v>1</v>
      </c>
      <c r="J119" s="61" t="b">
        <f aca="false">AND(F119,I119)</f>
        <v>1</v>
      </c>
      <c r="K119" s="26" t="n">
        <f aca="false">D119/E119</f>
        <v>0.795641240569992</v>
      </c>
      <c r="L119" s="26" t="n">
        <f aca="false">SUMIFS($AE$31:$AE$111,$A$31:$A$111,A119,$B$31:$B$111,B119)/INDEX(ct_cube,C119)</f>
        <v>0.595506646971935</v>
      </c>
      <c r="M119" s="26" t="n">
        <f aca="false">G119/H119</f>
        <v>0.493805311153422</v>
      </c>
    </row>
    <row r="120" customFormat="false" ht="15" hidden="false" customHeight="false" outlineLevel="0" collapsed="false">
      <c r="A120" s="9" t="n">
        <v>2</v>
      </c>
      <c r="B120" s="9" t="n">
        <v>2</v>
      </c>
      <c r="C120" s="10" t="n">
        <f aca="false">INDEX(cfg_ct,A120)</f>
        <v>2</v>
      </c>
      <c r="D120" s="15" t="n">
        <f aca="false">SUMIFS($AC$31:$AC$111,$A$31:$A$111,A120,$B$31:$B$111,B120)</f>
        <v>10881</v>
      </c>
      <c r="E120" s="15" t="n">
        <f aca="false">INDEX(lg_Lu_40GP,B120)</f>
        <v>11930</v>
      </c>
      <c r="F120" s="27" t="b">
        <f aca="false">D120&lt;=E120+0.000001</f>
        <v>1</v>
      </c>
      <c r="G120" s="15" t="n">
        <f aca="false">SUMIFS($AD$31:$AD$111,$A$31:$A$111,A120,$B$31:$B$111,B120)</f>
        <v>10342.13472</v>
      </c>
      <c r="H120" s="15" t="n">
        <f aca="false">INDEX(ct_road,C120)</f>
        <v>19958</v>
      </c>
      <c r="I120" s="27" t="b">
        <f aca="false">G120&lt;=H120</f>
        <v>1</v>
      </c>
      <c r="J120" s="61" t="b">
        <f aca="false">AND(F120,I120)</f>
        <v>1</v>
      </c>
      <c r="K120" s="26" t="n">
        <f aca="false">D120/E120</f>
        <v>0.912070410729254</v>
      </c>
      <c r="L120" s="26" t="n">
        <f aca="false">SUMIFS($AE$31:$AE$111,$A$31:$A$111,A120,$B$31:$B$111,B120)/INDEX(ct_cube,C120)</f>
        <v>0.635207090103397</v>
      </c>
      <c r="M120" s="26" t="n">
        <f aca="false">G120/H120</f>
        <v>0.518194945385309</v>
      </c>
    </row>
    <row r="121" customFormat="false" ht="15" hidden="false" customHeight="false" outlineLevel="0" collapsed="false">
      <c r="A121" s="9" t="n">
        <v>2</v>
      </c>
      <c r="B121" s="9" t="n">
        <v>3</v>
      </c>
      <c r="C121" s="10" t="n">
        <f aca="false">INDEX(cfg_ct,A121)</f>
        <v>2</v>
      </c>
      <c r="D121" s="15" t="n">
        <f aca="false">SUMIFS($AC$31:$AC$111,$A$31:$A$111,A121,$B$31:$B$111,B121)</f>
        <v>12324</v>
      </c>
      <c r="E121" s="15" t="n">
        <f aca="false">INDEX(lg_Lu_40GP,B121)</f>
        <v>11930</v>
      </c>
      <c r="F121" s="27" t="b">
        <f aca="false">D121&lt;=E121+0.000001</f>
        <v>0</v>
      </c>
      <c r="G121" s="15" t="n">
        <f aca="false">SUMIFS($AD$31:$AD$111,$A$31:$A$111,A121,$B$31:$B$111,B121)</f>
        <v>11802.43968</v>
      </c>
      <c r="H121" s="15" t="n">
        <f aca="false">INDEX(ct_road,C121)</f>
        <v>19958</v>
      </c>
      <c r="I121" s="27" t="b">
        <f aca="false">G121&lt;=H121</f>
        <v>1</v>
      </c>
      <c r="J121" s="61" t="b">
        <f aca="false">AND(F121,I121)</f>
        <v>0</v>
      </c>
      <c r="K121" s="26" t="n">
        <f aca="false">D121/E121</f>
        <v>1.03302598491199</v>
      </c>
      <c r="L121" s="26" t="n">
        <f aca="false">SUMIFS($AE$31:$AE$111,$A$31:$A$111,A121,$B$31:$B$111,B121)/INDEX(ct_cube,C121)</f>
        <v>0.714607976366322</v>
      </c>
      <c r="M121" s="26" t="n">
        <f aca="false">G121/H121</f>
        <v>0.59136384808097</v>
      </c>
    </row>
    <row r="122" customFormat="false" ht="15" hidden="false" customHeight="false" outlineLevel="0" collapsed="false">
      <c r="A122" s="9" t="n">
        <v>3</v>
      </c>
      <c r="B122" s="9" t="n">
        <v>1</v>
      </c>
      <c r="C122" s="10" t="n">
        <f aca="false">INDEX(cfg_ct,A122)</f>
        <v>1</v>
      </c>
      <c r="D122" s="15" t="n">
        <f aca="false">SUMIFS($AC$31:$AC$111,$A$31:$A$111,A122,$B$31:$B$111,B122)</f>
        <v>5229</v>
      </c>
      <c r="E122" s="15" t="n">
        <f aca="false">INDEX(lg_Lu_20GP,B122)</f>
        <v>5800</v>
      </c>
      <c r="F122" s="27" t="b">
        <f aca="false">D122&lt;=E122+0.000001</f>
        <v>1</v>
      </c>
      <c r="G122" s="15" t="n">
        <f aca="false">SUMIFS($AD$31:$AD$111,$A$31:$A$111,A122,$B$31:$B$111,B122)</f>
        <v>4927.6832</v>
      </c>
      <c r="H122" s="15" t="n">
        <f aca="false">INDEX(ct_road,C122)</f>
        <v>17237</v>
      </c>
      <c r="I122" s="27" t="b">
        <f aca="false">G122&lt;=H122</f>
        <v>1</v>
      </c>
      <c r="J122" s="61" t="b">
        <f aca="false">AND(F122,I122)</f>
        <v>1</v>
      </c>
      <c r="K122" s="26" t="n">
        <f aca="false">D122/E122</f>
        <v>0.901551724137931</v>
      </c>
      <c r="L122" s="26" t="n">
        <f aca="false">SUMIFS($AE$31:$AE$111,$A$31:$A$111,A122,$B$31:$B$111,B122)/INDEX(ct_cube,C122)</f>
        <v>0.607165662650602</v>
      </c>
      <c r="M122" s="26" t="n">
        <f aca="false">G122/H122</f>
        <v>0.285878238672623</v>
      </c>
    </row>
    <row r="123" customFormat="false" ht="15" hidden="false" customHeight="false" outlineLevel="0" collapsed="false">
      <c r="A123" s="9" t="n">
        <v>3</v>
      </c>
      <c r="B123" s="9" t="n">
        <v>2</v>
      </c>
      <c r="C123" s="10" t="n">
        <f aca="false">INDEX(cfg_ct,A123)</f>
        <v>1</v>
      </c>
      <c r="D123" s="15" t="n">
        <f aca="false">SUMIFS($AC$31:$AC$111,$A$31:$A$111,A123,$B$31:$B$111,B123)</f>
        <v>5640</v>
      </c>
      <c r="E123" s="15" t="n">
        <f aca="false">INDEX(lg_Lu_20GP,B123)</f>
        <v>5800</v>
      </c>
      <c r="F123" s="27" t="b">
        <f aca="false">D123&lt;=E123+0.000001</f>
        <v>1</v>
      </c>
      <c r="G123" s="15" t="n">
        <f aca="false">SUMIFS($AD$31:$AD$111,$A$31:$A$111,A123,$B$31:$B$111,B123)</f>
        <v>5171.06736</v>
      </c>
      <c r="H123" s="15" t="n">
        <f aca="false">INDEX(ct_road,C123)</f>
        <v>17237</v>
      </c>
      <c r="I123" s="27" t="b">
        <f aca="false">G123&lt;=H123</f>
        <v>1</v>
      </c>
      <c r="J123" s="61" t="b">
        <f aca="false">AND(F123,I123)</f>
        <v>1</v>
      </c>
      <c r="K123" s="26" t="n">
        <f aca="false">D123/E123</f>
        <v>0.972413793103448</v>
      </c>
      <c r="L123" s="26" t="n">
        <f aca="false">SUMIFS($AE$31:$AE$111,$A$31:$A$111,A123,$B$31:$B$111,B123)/INDEX(ct_cube,C123)</f>
        <v>0.647643373493976</v>
      </c>
      <c r="M123" s="26" t="n">
        <f aca="false">G123/H123</f>
        <v>0.299998106399025</v>
      </c>
    </row>
    <row r="124" customFormat="false" ht="15" hidden="false" customHeight="false" outlineLevel="0" collapsed="false">
      <c r="A124" s="9" t="n">
        <v>3</v>
      </c>
      <c r="B124" s="9" t="n">
        <v>3</v>
      </c>
      <c r="C124" s="10" t="n">
        <f aca="false">INDEX(cfg_ct,A124)</f>
        <v>1</v>
      </c>
      <c r="D124" s="15" t="n">
        <f aca="false">SUMIFS($AC$31:$AC$111,$A$31:$A$111,A124,$B$31:$B$111,B124)</f>
        <v>6660</v>
      </c>
      <c r="E124" s="15" t="n">
        <f aca="false">INDEX(lg_Lu_20GP,B124)</f>
        <v>5800</v>
      </c>
      <c r="F124" s="27" t="b">
        <f aca="false">D124&lt;=E124+0.000001</f>
        <v>0</v>
      </c>
      <c r="G124" s="15" t="n">
        <f aca="false">SUMIFS($AD$31:$AD$111,$A$31:$A$111,A124,$B$31:$B$111,B124)</f>
        <v>5901.21984</v>
      </c>
      <c r="H124" s="15" t="n">
        <f aca="false">INDEX(ct_road,C124)</f>
        <v>17237</v>
      </c>
      <c r="I124" s="27" t="b">
        <f aca="false">G124&lt;=H124</f>
        <v>1</v>
      </c>
      <c r="J124" s="61" t="b">
        <f aca="false">AND(F124,I124)</f>
        <v>0</v>
      </c>
      <c r="K124" s="26" t="n">
        <f aca="false">D124/E124</f>
        <v>1.14827586206897</v>
      </c>
      <c r="L124" s="26" t="n">
        <f aca="false">SUMIFS($AE$31:$AE$111,$A$31:$A$111,A124,$B$31:$B$111,B124)/INDEX(ct_cube,C124)</f>
        <v>0.728598795180723</v>
      </c>
      <c r="M124" s="26" t="n">
        <f aca="false">G124/H124</f>
        <v>0.342357709578233</v>
      </c>
    </row>
    <row r="125" customFormat="false" ht="15" hidden="false" customHeight="false" outlineLevel="0" collapsed="false">
      <c r="A125" s="9" t="n">
        <v>4</v>
      </c>
      <c r="B125" s="9" t="n">
        <v>1</v>
      </c>
      <c r="C125" s="10" t="n">
        <f aca="false">INDEX(cfg_ct,A125)</f>
        <v>3</v>
      </c>
      <c r="D125" s="15" t="n">
        <f aca="false">SUMIFS($AC$31:$AC$111,$A$31:$A$111,A125,$B$31:$B$111,B125)</f>
        <v>11925</v>
      </c>
      <c r="E125" s="15" t="n">
        <f aca="false">INDEX(lg_Lu_40HC,B125)</f>
        <v>11930</v>
      </c>
      <c r="F125" s="27" t="b">
        <f aca="false">D125&lt;=E125+0.000001</f>
        <v>1</v>
      </c>
      <c r="G125" s="15" t="n">
        <f aca="false">SUMIFS($AD$31:$AD$111,$A$31:$A$111,A125,$B$31:$B$111,B125)</f>
        <v>13797.51296</v>
      </c>
      <c r="H125" s="15" t="n">
        <f aca="false">INDEX(ct_road,C125)</f>
        <v>19958</v>
      </c>
      <c r="I125" s="27" t="b">
        <f aca="false">G125&lt;=H125</f>
        <v>1</v>
      </c>
      <c r="J125" s="61" t="b">
        <f aca="false">AND(F125,I125)</f>
        <v>1</v>
      </c>
      <c r="K125" s="26" t="n">
        <f aca="false">D125/E125</f>
        <v>0.999580888516345</v>
      </c>
      <c r="L125" s="26" t="n">
        <f aca="false">SUMIFS($AE$31:$AE$111,$A$31:$A$111,A125,$B$31:$B$111,B125)/INDEX(ct_cube,C125)</f>
        <v>0.738771204188482</v>
      </c>
      <c r="M125" s="26" t="n">
        <f aca="false">G125/H125</f>
        <v>0.691327435614791</v>
      </c>
    </row>
    <row r="126" customFormat="false" ht="15" hidden="false" customHeight="false" outlineLevel="0" collapsed="false">
      <c r="A126" s="9" t="n">
        <v>4</v>
      </c>
      <c r="B126" s="9" t="n">
        <v>2</v>
      </c>
      <c r="C126" s="10" t="n">
        <f aca="false">INDEX(cfg_ct,A126)</f>
        <v>3</v>
      </c>
      <c r="D126" s="15" t="n">
        <f aca="false">SUMIFS($AC$31:$AC$111,$A$31:$A$111,A126,$B$31:$B$111,B126)</f>
        <v>11925</v>
      </c>
      <c r="E126" s="15" t="n">
        <f aca="false">INDEX(lg_Lu_40HC,B126)</f>
        <v>11930</v>
      </c>
      <c r="F126" s="27" t="b">
        <f aca="false">D126&lt;=E126+0.000001</f>
        <v>1</v>
      </c>
      <c r="G126" s="15" t="n">
        <f aca="false">SUMIFS($AD$31:$AD$111,$A$31:$A$111,A126,$B$31:$B$111,B126)</f>
        <v>13341.3537888</v>
      </c>
      <c r="H126" s="15" t="n">
        <f aca="false">INDEX(ct_road,C126)</f>
        <v>19958</v>
      </c>
      <c r="I126" s="27" t="b">
        <f aca="false">G126&lt;=H126</f>
        <v>1</v>
      </c>
      <c r="J126" s="61" t="b">
        <f aca="false">AND(F126,I126)</f>
        <v>1</v>
      </c>
      <c r="K126" s="26" t="n">
        <f aca="false">D126/E126</f>
        <v>0.999580888516345</v>
      </c>
      <c r="L126" s="26" t="n">
        <f aca="false">SUMIFS($AE$31:$AE$111,$A$31:$A$111,A126,$B$31:$B$111,B126)/INDEX(ct_cube,C126)</f>
        <v>0.726106554973822</v>
      </c>
      <c r="M126" s="26" t="n">
        <f aca="false">G126/H126</f>
        <v>0.668471479547049</v>
      </c>
    </row>
    <row r="127" customFormat="false" ht="15" hidden="false" customHeight="false" outlineLevel="0" collapsed="false">
      <c r="A127" s="9" t="n">
        <v>4</v>
      </c>
      <c r="B127" s="9" t="n">
        <v>3</v>
      </c>
      <c r="C127" s="10" t="n">
        <f aca="false">INDEX(cfg_ct,A127)</f>
        <v>3</v>
      </c>
      <c r="D127" s="15" t="n">
        <f aca="false">SUMIFS($AC$31:$AC$111,$A$31:$A$111,A127,$B$31:$B$111,B127)</f>
        <v>11925</v>
      </c>
      <c r="E127" s="15" t="n">
        <f aca="false">INDEX(lg_Lu_40HC,B127)</f>
        <v>11930</v>
      </c>
      <c r="F127" s="27" t="b">
        <f aca="false">D127&lt;=E127+0.000001</f>
        <v>1</v>
      </c>
      <c r="G127" s="15" t="n">
        <f aca="false">SUMIFS($AD$31:$AD$111,$A$31:$A$111,A127,$B$31:$B$111,B127)</f>
        <v>12628.6104576</v>
      </c>
      <c r="H127" s="15" t="n">
        <f aca="false">INDEX(ct_road,C127)</f>
        <v>19958</v>
      </c>
      <c r="I127" s="27" t="b">
        <f aca="false">G127&lt;=H127</f>
        <v>1</v>
      </c>
      <c r="J127" s="61" t="b">
        <f aca="false">AND(F127,I127)</f>
        <v>1</v>
      </c>
      <c r="K127" s="26" t="n">
        <f aca="false">D127/E127</f>
        <v>0.999580888516345</v>
      </c>
      <c r="L127" s="26" t="n">
        <f aca="false">SUMIFS($AE$31:$AE$111,$A$31:$A$111,A127,$B$31:$B$111,B127)/INDEX(ct_cube,C127)</f>
        <v>0.677558732984293</v>
      </c>
      <c r="M127" s="26" t="n">
        <f aca="false">G127/H127</f>
        <v>0.632759317446638</v>
      </c>
    </row>
    <row r="128" customFormat="false" ht="15" hidden="false" customHeight="false" outlineLevel="0" collapsed="false">
      <c r="A128" s="9" t="n">
        <v>5</v>
      </c>
      <c r="B128" s="9" t="n">
        <v>1</v>
      </c>
      <c r="C128" s="10" t="n">
        <f aca="false">INDEX(cfg_ct,A128)</f>
        <v>3</v>
      </c>
      <c r="D128" s="15" t="n">
        <f aca="false">SUMIFS($AC$31:$AC$111,$A$31:$A$111,A128,$B$31:$B$111,B128)</f>
        <v>11825</v>
      </c>
      <c r="E128" s="15" t="n">
        <f aca="false">INDEX(lg_Lu_40HC,B128)</f>
        <v>11930</v>
      </c>
      <c r="F128" s="27" t="b">
        <f aca="false">D128&lt;=E128+0.000001</f>
        <v>1</v>
      </c>
      <c r="G128" s="15" t="n">
        <f aca="false">SUMIFS($AD$31:$AD$111,$A$31:$A$111,A128,$B$31:$B$111,B128)</f>
        <v>13441.777328</v>
      </c>
      <c r="H128" s="15" t="n">
        <f aca="false">INDEX(ct_road,C128)</f>
        <v>19958</v>
      </c>
      <c r="I128" s="27" t="b">
        <f aca="false">G128&lt;=H128</f>
        <v>1</v>
      </c>
      <c r="J128" s="61" t="b">
        <f aca="false">AND(F128,I128)</f>
        <v>1</v>
      </c>
      <c r="K128" s="26" t="n">
        <f aca="false">D128/E128</f>
        <v>0.991198658843252</v>
      </c>
      <c r="L128" s="26" t="n">
        <f aca="false">SUMIFS($AE$31:$AE$111,$A$31:$A$111,A128,$B$31:$B$111,B128)/INDEX(ct_cube,C128)</f>
        <v>0.71974317408377</v>
      </c>
      <c r="M128" s="26" t="n">
        <f aca="false">G128/H128</f>
        <v>0.673503223168654</v>
      </c>
    </row>
    <row r="129" customFormat="false" ht="15" hidden="false" customHeight="false" outlineLevel="0" collapsed="false">
      <c r="A129" s="9" t="n">
        <v>5</v>
      </c>
      <c r="B129" s="9" t="n">
        <v>2</v>
      </c>
      <c r="C129" s="10" t="n">
        <f aca="false">INDEX(cfg_ct,A129)</f>
        <v>3</v>
      </c>
      <c r="D129" s="15" t="n">
        <f aca="false">SUMIFS($AC$31:$AC$111,$A$31:$A$111,A129,$B$31:$B$111,B129)</f>
        <v>11825</v>
      </c>
      <c r="E129" s="15" t="n">
        <f aca="false">INDEX(lg_Lu_40HC,B129)</f>
        <v>11930</v>
      </c>
      <c r="F129" s="27" t="b">
        <f aca="false">D129&lt;=E129+0.000001</f>
        <v>1</v>
      </c>
      <c r="G129" s="15" t="n">
        <f aca="false">SUMIFS($AD$31:$AD$111,$A$31:$A$111,A129,$B$31:$B$111,B129)</f>
        <v>13002.149312</v>
      </c>
      <c r="H129" s="15" t="n">
        <f aca="false">INDEX(ct_road,C129)</f>
        <v>19958</v>
      </c>
      <c r="I129" s="27" t="b">
        <f aca="false">G129&lt;=H129</f>
        <v>1</v>
      </c>
      <c r="J129" s="61" t="b">
        <f aca="false">AND(F129,I129)</f>
        <v>1</v>
      </c>
      <c r="K129" s="26" t="n">
        <f aca="false">D129/E129</f>
        <v>0.991198658843252</v>
      </c>
      <c r="L129" s="26" t="n">
        <f aca="false">SUMIFS($AE$31:$AE$111,$A$31:$A$111,A129,$B$31:$B$111,B129)/INDEX(ct_cube,C129)</f>
        <v>0.707667434554974</v>
      </c>
      <c r="M129" s="26" t="n">
        <f aca="false">G129/H129</f>
        <v>0.651475564284998</v>
      </c>
    </row>
    <row r="130" customFormat="false" ht="15" hidden="false" customHeight="false" outlineLevel="0" collapsed="false">
      <c r="A130" s="9" t="n">
        <v>5</v>
      </c>
      <c r="B130" s="9" t="n">
        <v>3</v>
      </c>
      <c r="C130" s="10" t="n">
        <f aca="false">INDEX(cfg_ct,A130)</f>
        <v>3</v>
      </c>
      <c r="D130" s="15" t="n">
        <f aca="false">SUMIFS($AC$31:$AC$111,$A$31:$A$111,A130,$B$31:$B$111,B130)</f>
        <v>11825</v>
      </c>
      <c r="E130" s="15" t="n">
        <f aca="false">INDEX(lg_Lu_40HC,B130)</f>
        <v>11930</v>
      </c>
      <c r="F130" s="27" t="b">
        <f aca="false">D130&lt;=E130+0.000001</f>
        <v>1</v>
      </c>
      <c r="G130" s="15" t="n">
        <f aca="false">SUMIFS($AD$31:$AD$111,$A$31:$A$111,A130,$B$31:$B$111,B130)</f>
        <v>12299.825664</v>
      </c>
      <c r="H130" s="15" t="n">
        <f aca="false">INDEX(ct_road,C130)</f>
        <v>19958</v>
      </c>
      <c r="I130" s="27" t="b">
        <f aca="false">G130&lt;=H130</f>
        <v>1</v>
      </c>
      <c r="J130" s="61" t="b">
        <f aca="false">AND(F130,I130)</f>
        <v>1</v>
      </c>
      <c r="K130" s="26" t="n">
        <f aca="false">D130/E130</f>
        <v>0.991198658843252</v>
      </c>
      <c r="L130" s="26" t="n">
        <f aca="false">SUMIFS($AE$31:$AE$111,$A$31:$A$111,A130,$B$31:$B$111,B130)/INDEX(ct_cube,C130)</f>
        <v>0.659946439790576</v>
      </c>
      <c r="M130" s="26" t="n">
        <f aca="false">G130/H130</f>
        <v>0.616285482713699</v>
      </c>
    </row>
    <row r="131" customFormat="false" ht="15" hidden="false" customHeight="false" outlineLevel="0" collapsed="false">
      <c r="A131" s="9" t="n">
        <v>6</v>
      </c>
      <c r="B131" s="9" t="n">
        <v>1</v>
      </c>
      <c r="C131" s="10" t="n">
        <f aca="false">INDEX(cfg_ct,A131)</f>
        <v>3</v>
      </c>
      <c r="D131" s="15" t="n">
        <f aca="false">SUMIFS($AC$31:$AC$111,$A$31:$A$111,A131,$B$31:$B$111,B131)</f>
        <v>11440</v>
      </c>
      <c r="E131" s="15" t="n">
        <f aca="false">INDEX(lg_Lu_40HC,B131)</f>
        <v>11930</v>
      </c>
      <c r="F131" s="27" t="b">
        <f aca="false">D131&lt;=E131+0.000001</f>
        <v>1</v>
      </c>
      <c r="G131" s="15" t="n">
        <f aca="false">SUMIFS($AD$31:$AD$111,$A$31:$A$111,A131,$B$31:$B$111,B131)</f>
        <v>14458.913192</v>
      </c>
      <c r="H131" s="15" t="n">
        <f aca="false">INDEX(ct_road,C131)</f>
        <v>19958</v>
      </c>
      <c r="I131" s="27" t="b">
        <f aca="false">G131&lt;=H131</f>
        <v>1</v>
      </c>
      <c r="J131" s="61" t="b">
        <f aca="false">AND(F131,I131)</f>
        <v>1</v>
      </c>
      <c r="K131" s="26" t="n">
        <f aca="false">D131/E131</f>
        <v>0.958927074601844</v>
      </c>
      <c r="L131" s="26" t="n">
        <f aca="false">SUMIFS($AE$31:$AE$111,$A$31:$A$111,A131,$B$31:$B$111,B131)/INDEX(ct_cube,C131)</f>
        <v>0.774765628272251</v>
      </c>
      <c r="M131" s="26" t="n">
        <f aca="false">G131/H131</f>
        <v>0.724467040384808</v>
      </c>
    </row>
    <row r="132" customFormat="false" ht="15" hidden="false" customHeight="false" outlineLevel="0" collapsed="false">
      <c r="A132" s="9" t="n">
        <v>6</v>
      </c>
      <c r="B132" s="9" t="n">
        <v>2</v>
      </c>
      <c r="C132" s="10" t="n">
        <f aca="false">INDEX(cfg_ct,A132)</f>
        <v>3</v>
      </c>
      <c r="D132" s="15" t="n">
        <f aca="false">SUMIFS($AC$31:$AC$111,$A$31:$A$111,A132,$B$31:$B$111,B132)</f>
        <v>11440</v>
      </c>
      <c r="E132" s="15" t="n">
        <f aca="false">INDEX(lg_Lu_40HC,B132)</f>
        <v>11930</v>
      </c>
      <c r="F132" s="27" t="b">
        <f aca="false">D132&lt;=E132+0.000001</f>
        <v>1</v>
      </c>
      <c r="G132" s="15" t="n">
        <f aca="false">SUMIFS($AD$31:$AD$111,$A$31:$A$111,A132,$B$31:$B$111,B132)</f>
        <v>13982.3882492</v>
      </c>
      <c r="H132" s="15" t="n">
        <f aca="false">INDEX(ct_road,C132)</f>
        <v>19958</v>
      </c>
      <c r="I132" s="27" t="b">
        <f aca="false">G132&lt;=H132</f>
        <v>1</v>
      </c>
      <c r="J132" s="61" t="b">
        <f aca="false">AND(F132,I132)</f>
        <v>1</v>
      </c>
      <c r="K132" s="26" t="n">
        <f aca="false">D132/E132</f>
        <v>0.958927074601844</v>
      </c>
      <c r="L132" s="26" t="n">
        <f aca="false">SUMIFS($AE$31:$AE$111,$A$31:$A$111,A132,$B$31:$B$111,B132)/INDEX(ct_cube,C132)</f>
        <v>0.761488</v>
      </c>
      <c r="M132" s="26" t="n">
        <f aca="false">G132/H132</f>
        <v>0.700590652830945</v>
      </c>
    </row>
    <row r="133" customFormat="false" ht="15" hidden="false" customHeight="false" outlineLevel="0" collapsed="false">
      <c r="A133" s="9" t="n">
        <v>6</v>
      </c>
      <c r="B133" s="9" t="n">
        <v>3</v>
      </c>
      <c r="C133" s="10" t="n">
        <f aca="false">INDEX(cfg_ct,A133)</f>
        <v>3</v>
      </c>
      <c r="D133" s="15" t="n">
        <f aca="false">SUMIFS($AC$31:$AC$111,$A$31:$A$111,A133,$B$31:$B$111,B133)</f>
        <v>11440</v>
      </c>
      <c r="E133" s="15" t="n">
        <f aca="false">INDEX(lg_Lu_40HC,B133)</f>
        <v>11930</v>
      </c>
      <c r="F133" s="27" t="b">
        <f aca="false">D133&lt;=E133+0.000001</f>
        <v>1</v>
      </c>
      <c r="G133" s="15" t="n">
        <f aca="false">SUMIFS($AD$31:$AD$111,$A$31:$A$111,A133,$B$31:$B$111,B133)</f>
        <v>13227.0274432</v>
      </c>
      <c r="H133" s="15" t="n">
        <f aca="false">INDEX(ct_road,C133)</f>
        <v>19958</v>
      </c>
      <c r="I133" s="27" t="b">
        <f aca="false">G133&lt;=H133</f>
        <v>1</v>
      </c>
      <c r="J133" s="61" t="b">
        <f aca="false">AND(F133,I133)</f>
        <v>1</v>
      </c>
      <c r="K133" s="26" t="n">
        <f aca="false">D133/E133</f>
        <v>0.958927074601844</v>
      </c>
      <c r="L133" s="26" t="n">
        <f aca="false">SUMIFS($AE$31:$AE$111,$A$31:$A$111,A133,$B$31:$B$111,B133)/INDEX(ct_cube,C133)</f>
        <v>0.709943748691099</v>
      </c>
      <c r="M133" s="26" t="n">
        <f aca="false">G133/H133</f>
        <v>0.662743132738751</v>
      </c>
    </row>
    <row r="134" customFormat="false" ht="15" hidden="false" customHeight="false" outlineLevel="0" collapsed="false">
      <c r="A134" s="9" t="n">
        <v>7</v>
      </c>
      <c r="B134" s="9" t="n">
        <v>1</v>
      </c>
      <c r="C134" s="10" t="n">
        <f aca="false">INDEX(cfg_ct,A134)</f>
        <v>3</v>
      </c>
      <c r="D134" s="15" t="n">
        <f aca="false">SUMIFS($AC$31:$AC$111,$A$31:$A$111,A134,$B$31:$B$111,B134)</f>
        <v>11760</v>
      </c>
      <c r="E134" s="15" t="n">
        <f aca="false">INDEX(lg_Lu_40HC,B134)</f>
        <v>11930</v>
      </c>
      <c r="F134" s="27" t="b">
        <f aca="false">D134&lt;=E134+0.000001</f>
        <v>1</v>
      </c>
      <c r="G134" s="15" t="n">
        <f aca="false">SUMIFS($AD$31:$AD$111,$A$31:$A$111,A134,$B$31:$B$111,B134)</f>
        <v>15053.126816</v>
      </c>
      <c r="H134" s="15" t="n">
        <f aca="false">INDEX(ct_road,C134)</f>
        <v>19958</v>
      </c>
      <c r="I134" s="27" t="b">
        <f aca="false">G134&lt;=H134</f>
        <v>1</v>
      </c>
      <c r="J134" s="61" t="b">
        <f aca="false">AND(F134,I134)</f>
        <v>1</v>
      </c>
      <c r="K134" s="26" t="n">
        <f aca="false">D134/E134</f>
        <v>0.985750209555742</v>
      </c>
      <c r="L134" s="26" t="n">
        <f aca="false">SUMIFS($AE$31:$AE$111,$A$31:$A$111,A134,$B$31:$B$111,B134)/INDEX(ct_cube,C134)</f>
        <v>0.805050942408377</v>
      </c>
      <c r="M134" s="26" t="n">
        <f aca="false">G134/H134</f>
        <v>0.754240245315162</v>
      </c>
    </row>
    <row r="135" customFormat="false" ht="15" hidden="false" customHeight="false" outlineLevel="0" collapsed="false">
      <c r="A135" s="9" t="n">
        <v>7</v>
      </c>
      <c r="B135" s="9" t="n">
        <v>2</v>
      </c>
      <c r="C135" s="10" t="n">
        <f aca="false">INDEX(cfg_ct,A135)</f>
        <v>3</v>
      </c>
      <c r="D135" s="15" t="n">
        <f aca="false">SUMIFS($AC$31:$AC$111,$A$31:$A$111,A135,$B$31:$B$111,B135)</f>
        <v>11760</v>
      </c>
      <c r="E135" s="15" t="n">
        <f aca="false">INDEX(lg_Lu_40HC,B135)</f>
        <v>11930</v>
      </c>
      <c r="F135" s="27" t="b">
        <f aca="false">D135&lt;=E135+0.000001</f>
        <v>1</v>
      </c>
      <c r="G135" s="15" t="n">
        <f aca="false">SUMIFS($AD$31:$AD$111,$A$31:$A$111,A135,$B$31:$B$111,B135)</f>
        <v>14562.4564288</v>
      </c>
      <c r="H135" s="15" t="n">
        <f aca="false">INDEX(ct_road,C135)</f>
        <v>19958</v>
      </c>
      <c r="I135" s="27" t="b">
        <f aca="false">G135&lt;=H135</f>
        <v>1</v>
      </c>
      <c r="J135" s="61" t="b">
        <f aca="false">AND(F135,I135)</f>
        <v>1</v>
      </c>
      <c r="K135" s="26" t="n">
        <f aca="false">D135/E135</f>
        <v>0.985750209555742</v>
      </c>
      <c r="L135" s="26" t="n">
        <f aca="false">SUMIFS($AE$31:$AE$111,$A$31:$A$111,A135,$B$31:$B$111,B135)/INDEX(ct_cube,C135)</f>
        <v>0.791749696335078</v>
      </c>
      <c r="M135" s="26" t="n">
        <f aca="false">G135/H135</f>
        <v>0.729655097144003</v>
      </c>
    </row>
    <row r="136" customFormat="false" ht="15" hidden="false" customHeight="false" outlineLevel="0" collapsed="false">
      <c r="A136" s="9" t="n">
        <v>7</v>
      </c>
      <c r="B136" s="9" t="n">
        <v>3</v>
      </c>
      <c r="C136" s="10" t="n">
        <f aca="false">INDEX(cfg_ct,A136)</f>
        <v>3</v>
      </c>
      <c r="D136" s="15" t="n">
        <f aca="false">SUMIFS($AC$31:$AC$111,$A$31:$A$111,A136,$B$31:$B$111,B136)</f>
        <v>11760</v>
      </c>
      <c r="E136" s="15" t="n">
        <f aca="false">INDEX(lg_Lu_40HC,B136)</f>
        <v>11930</v>
      </c>
      <c r="F136" s="27" t="b">
        <f aca="false">D136&lt;=E136+0.000001</f>
        <v>1</v>
      </c>
      <c r="G136" s="15" t="n">
        <f aca="false">SUMIFS($AD$31:$AD$111,$A$31:$A$111,A136,$B$31:$B$111,B136)</f>
        <v>13770.8113536</v>
      </c>
      <c r="H136" s="15" t="n">
        <f aca="false">INDEX(ct_road,C136)</f>
        <v>19958</v>
      </c>
      <c r="I136" s="27" t="b">
        <f aca="false">G136&lt;=H136</f>
        <v>1</v>
      </c>
      <c r="J136" s="61" t="b">
        <f aca="false">AND(F136,I136)</f>
        <v>1</v>
      </c>
      <c r="K136" s="26" t="n">
        <f aca="false">D136/E136</f>
        <v>0.985750209555742</v>
      </c>
      <c r="L136" s="26" t="n">
        <f aca="false">SUMIFS($AE$31:$AE$111,$A$31:$A$111,A136,$B$31:$B$111,B136)/INDEX(ct_cube,C136)</f>
        <v>0.738358680628272</v>
      </c>
      <c r="M136" s="26" t="n">
        <f aca="false">G136/H136</f>
        <v>0.689989545726025</v>
      </c>
    </row>
    <row r="137" customFormat="false" ht="15" hidden="false" customHeight="false" outlineLevel="0" collapsed="false">
      <c r="A137" s="9" t="n">
        <v>8</v>
      </c>
      <c r="B137" s="9" t="n">
        <v>1</v>
      </c>
      <c r="C137" s="10" t="n">
        <f aca="false">INDEX(cfg_ct,A137)</f>
        <v>2</v>
      </c>
      <c r="D137" s="15" t="n">
        <f aca="false">SUMIFS($AC$31:$AC$111,$A$31:$A$111,A137,$B$31:$B$111,B137)</f>
        <v>11925</v>
      </c>
      <c r="E137" s="15" t="n">
        <f aca="false">INDEX(lg_Lu_40GP,B137)</f>
        <v>11930</v>
      </c>
      <c r="F137" s="27" t="b">
        <f aca="false">D137&lt;=E137+0.000001</f>
        <v>1</v>
      </c>
      <c r="G137" s="15" t="n">
        <f aca="false">SUMIFS($AD$31:$AD$111,$A$31:$A$111,A137,$B$31:$B$111,B137)</f>
        <v>12171.377504</v>
      </c>
      <c r="H137" s="15" t="n">
        <f aca="false">INDEX(ct_road,C137)</f>
        <v>19958</v>
      </c>
      <c r="I137" s="27" t="b">
        <f aca="false">G137&lt;=H137</f>
        <v>1</v>
      </c>
      <c r="J137" s="61" t="b">
        <f aca="false">AND(F137,I137)</f>
        <v>1</v>
      </c>
      <c r="K137" s="26" t="n">
        <f aca="false">D137/E137</f>
        <v>0.999580888516345</v>
      </c>
      <c r="L137" s="26" t="n">
        <f aca="false">SUMIFS($AE$31:$AE$111,$A$31:$A$111,A137,$B$31:$B$111,B137)/INDEX(ct_cube,C137)</f>
        <v>0.73545070901034</v>
      </c>
      <c r="M137" s="26" t="n">
        <f aca="false">G137/H137</f>
        <v>0.609849559274476</v>
      </c>
    </row>
    <row r="138" customFormat="false" ht="15" hidden="false" customHeight="false" outlineLevel="0" collapsed="false">
      <c r="A138" s="9" t="n">
        <v>8</v>
      </c>
      <c r="B138" s="9" t="n">
        <v>2</v>
      </c>
      <c r="C138" s="10" t="n">
        <f aca="false">INDEX(cfg_ct,A138)</f>
        <v>2</v>
      </c>
      <c r="D138" s="15" t="n">
        <f aca="false">SUMIFS($AC$31:$AC$111,$A$31:$A$111,A138,$B$31:$B$111,B138)</f>
        <v>11925</v>
      </c>
      <c r="E138" s="15" t="n">
        <f aca="false">INDEX(lg_Lu_40GP,B138)</f>
        <v>11930</v>
      </c>
      <c r="F138" s="27" t="b">
        <f aca="false">D138&lt;=E138+0.000001</f>
        <v>1</v>
      </c>
      <c r="G138" s="15" t="n">
        <f aca="false">SUMIFS($AD$31:$AD$111,$A$31:$A$111,A138,$B$31:$B$111,B138)</f>
        <v>11686.6122336</v>
      </c>
      <c r="H138" s="15" t="n">
        <f aca="false">INDEX(ct_road,C138)</f>
        <v>19958</v>
      </c>
      <c r="I138" s="27" t="b">
        <f aca="false">G138&lt;=H138</f>
        <v>1</v>
      </c>
      <c r="J138" s="61" t="b">
        <f aca="false">AND(F138,I138)</f>
        <v>1</v>
      </c>
      <c r="K138" s="26" t="n">
        <f aca="false">D138/E138</f>
        <v>0.999580888516345</v>
      </c>
      <c r="L138" s="26" t="n">
        <f aca="false">SUMIFS($AE$31:$AE$111,$A$31:$A$111,A138,$B$31:$B$111,B138)/INDEX(ct_cube,C138)</f>
        <v>0.717784011816839</v>
      </c>
      <c r="M138" s="26" t="n">
        <f aca="false">G138/H138</f>
        <v>0.585560288285399</v>
      </c>
    </row>
    <row r="139" customFormat="false" ht="15" hidden="false" customHeight="false" outlineLevel="0" collapsed="false">
      <c r="A139" s="9" t="n">
        <v>8</v>
      </c>
      <c r="B139" s="9" t="n">
        <v>3</v>
      </c>
      <c r="C139" s="10" t="n">
        <f aca="false">INDEX(cfg_ct,A139)</f>
        <v>2</v>
      </c>
      <c r="D139" s="15" t="n">
        <f aca="false">SUMIFS($AC$31:$AC$111,$A$31:$A$111,A139,$B$31:$B$111,B139)</f>
        <v>11925</v>
      </c>
      <c r="E139" s="15" t="n">
        <f aca="false">INDEX(lg_Lu_40GP,B139)</f>
        <v>11930</v>
      </c>
      <c r="F139" s="27" t="b">
        <f aca="false">D139&lt;=E139+0.000001</f>
        <v>1</v>
      </c>
      <c r="G139" s="15" t="n">
        <f aca="false">SUMIFS($AD$31:$AD$111,$A$31:$A$111,A139,$B$31:$B$111,B139)</f>
        <v>11271.3298944</v>
      </c>
      <c r="H139" s="15" t="n">
        <f aca="false">INDEX(ct_road,C139)</f>
        <v>19958</v>
      </c>
      <c r="I139" s="27" t="b">
        <f aca="false">G139&lt;=H139</f>
        <v>1</v>
      </c>
      <c r="J139" s="61" t="b">
        <f aca="false">AND(F139,I139)</f>
        <v>1</v>
      </c>
      <c r="K139" s="26" t="n">
        <f aca="false">D139/E139</f>
        <v>0.999580888516345</v>
      </c>
      <c r="L139" s="26" t="n">
        <f aca="false">SUMIFS($AE$31:$AE$111,$A$31:$A$111,A139,$B$31:$B$111,B139)/INDEX(ct_cube,C139)</f>
        <v>0.682450617429838</v>
      </c>
      <c r="M139" s="26" t="n">
        <f aca="false">G139/H139</f>
        <v>0.564752474917326</v>
      </c>
    </row>
    <row r="140" customFormat="false" ht="15" hidden="false" customHeight="false" outlineLevel="0" collapsed="false">
      <c r="A140" s="9" t="n">
        <v>9</v>
      </c>
      <c r="B140" s="9" t="n">
        <v>1</v>
      </c>
      <c r="C140" s="10" t="n">
        <f aca="false">INDEX(cfg_ct,A140)</f>
        <v>1</v>
      </c>
      <c r="D140" s="15" t="n">
        <f aca="false">SUMIFS($AC$31:$AC$111,$A$31:$A$111,A140,$B$31:$B$111,B140)</f>
        <v>5640</v>
      </c>
      <c r="E140" s="15" t="n">
        <f aca="false">INDEX(lg_Lu_20GP,B140)</f>
        <v>5800</v>
      </c>
      <c r="F140" s="27" t="b">
        <f aca="false">D140&lt;=E140+0.000001</f>
        <v>1</v>
      </c>
      <c r="G140" s="15" t="n">
        <f aca="false">SUMIFS($AD$31:$AD$111,$A$31:$A$111,A140,$B$31:$B$111,B140)</f>
        <v>5716.112512</v>
      </c>
      <c r="H140" s="15" t="n">
        <f aca="false">INDEX(ct_road,C140)</f>
        <v>17237</v>
      </c>
      <c r="I140" s="27" t="b">
        <f aca="false">G140&lt;=H140</f>
        <v>1</v>
      </c>
      <c r="J140" s="61" t="b">
        <f aca="false">AND(F140,I140)</f>
        <v>1</v>
      </c>
      <c r="K140" s="26" t="n">
        <f aca="false">D140/E140</f>
        <v>0.972413793103448</v>
      </c>
      <c r="L140" s="26" t="n">
        <f aca="false">SUMIFS($AE$31:$AE$111,$A$31:$A$111,A140,$B$31:$B$111,B140)/INDEX(ct_cube,C140)</f>
        <v>0.704312168674699</v>
      </c>
      <c r="M140" s="26" t="n">
        <f aca="false">G140/H140</f>
        <v>0.331618756860243</v>
      </c>
    </row>
    <row r="141" customFormat="false" ht="15" hidden="false" customHeight="false" outlineLevel="0" collapsed="false">
      <c r="A141" s="9" t="n">
        <v>9</v>
      </c>
      <c r="B141" s="9" t="n">
        <v>2</v>
      </c>
      <c r="C141" s="10" t="n">
        <f aca="false">INDEX(cfg_ct,A141)</f>
        <v>1</v>
      </c>
      <c r="D141" s="15" t="n">
        <f aca="false">SUMIFS($AC$31:$AC$111,$A$31:$A$111,A141,$B$31:$B$111,B141)</f>
        <v>5640</v>
      </c>
      <c r="E141" s="15" t="n">
        <f aca="false">INDEX(lg_Lu_20GP,B141)</f>
        <v>5800</v>
      </c>
      <c r="F141" s="27" t="b">
        <f aca="false">D141&lt;=E141+0.000001</f>
        <v>1</v>
      </c>
      <c r="G141" s="15" t="n">
        <f aca="false">SUMIFS($AD$31:$AD$111,$A$31:$A$111,A141,$B$31:$B$111,B141)</f>
        <v>5481.3314016</v>
      </c>
      <c r="H141" s="15" t="n">
        <f aca="false">INDEX(ct_road,C141)</f>
        <v>17237</v>
      </c>
      <c r="I141" s="27" t="b">
        <f aca="false">G141&lt;=H141</f>
        <v>1</v>
      </c>
      <c r="J141" s="61" t="b">
        <f aca="false">AND(F141,I141)</f>
        <v>1</v>
      </c>
      <c r="K141" s="26" t="n">
        <f aca="false">D141/E141</f>
        <v>0.972413793103448</v>
      </c>
      <c r="L141" s="26" t="n">
        <f aca="false">SUMIFS($AE$31:$AE$111,$A$31:$A$111,A141,$B$31:$B$111,B141)/INDEX(ct_cube,C141)</f>
        <v>0.686501975903614</v>
      </c>
      <c r="M141" s="26" t="n">
        <f aca="false">G141/H141</f>
        <v>0.317997992782967</v>
      </c>
    </row>
    <row r="142" customFormat="false" ht="15" hidden="false" customHeight="false" outlineLevel="0" collapsed="false">
      <c r="A142" s="9" t="n">
        <v>9</v>
      </c>
      <c r="B142" s="9" t="n">
        <v>3</v>
      </c>
      <c r="C142" s="10" t="n">
        <f aca="false">INDEX(cfg_ct,A142)</f>
        <v>1</v>
      </c>
      <c r="D142" s="15" t="n">
        <f aca="false">SUMIFS($AC$31:$AC$111,$A$31:$A$111,A142,$B$31:$B$111,B142)</f>
        <v>5640</v>
      </c>
      <c r="E142" s="15" t="n">
        <f aca="false">INDEX(lg_Lu_20GP,B142)</f>
        <v>5800</v>
      </c>
      <c r="F142" s="27" t="b">
        <f aca="false">D142&lt;=E142+0.000001</f>
        <v>1</v>
      </c>
      <c r="G142" s="15" t="n">
        <f aca="false">SUMIFS($AD$31:$AD$111,$A$31:$A$111,A142,$B$31:$B$111,B142)</f>
        <v>5311.097856</v>
      </c>
      <c r="H142" s="15" t="n">
        <f aca="false">INDEX(ct_road,C142)</f>
        <v>17237</v>
      </c>
      <c r="I142" s="27" t="b">
        <f aca="false">G142&lt;=H142</f>
        <v>1</v>
      </c>
      <c r="J142" s="61" t="b">
        <f aca="false">AND(F142,I142)</f>
        <v>1</v>
      </c>
      <c r="K142" s="26" t="n">
        <f aca="false">D142/E142</f>
        <v>0.972413793103448</v>
      </c>
      <c r="L142" s="26" t="n">
        <f aca="false">SUMIFS($AE$31:$AE$111,$A$31:$A$111,A142,$B$31:$B$111,B142)/INDEX(ct_cube,C142)</f>
        <v>0.655738915662651</v>
      </c>
      <c r="M142" s="26" t="n">
        <f aca="false">G142/H142</f>
        <v>0.30812193862041</v>
      </c>
    </row>
  </sheetData>
  <mergeCells count="6">
    <mergeCell ref="C18:N18"/>
    <mergeCell ref="C19:N19"/>
    <mergeCell ref="C20:N20"/>
    <mergeCell ref="C21:N21"/>
    <mergeCell ref="C22:N22"/>
    <mergeCell ref="C23:N23"/>
  </mergeCells>
  <conditionalFormatting sqref="T6:V15">
    <cfRule type="cellIs" priority="2" operator="equal" aboveAverage="0" equalAverage="0" bottom="0" percent="0" rank="0" text="" dxfId="1">
      <formula>0</formula>
    </cfRule>
    <cfRule type="cellIs" priority="3" operator="equal" aboveAverage="0" equalAverage="0" bottom="0" percent="0" rank="0" text="" dxfId="0">
      <formula>1</formula>
    </cfRule>
  </conditionalFormatting>
  <conditionalFormatting sqref="J116:J142">
    <cfRule type="cellIs" priority="4" operator="equal" aboveAverage="0" equalAverage="0" bottom="0" percent="0" rank="0" text="" dxfId="1">
      <formula>0</formula>
    </cfRule>
    <cfRule type="cellIs" priority="5" operator="equal" aboveAverage="0" equalAverage="0" bottom="0" percent="0" rank="0" text="" dxfId="0">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J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6" min="3" style="0" width="11"/>
    <col collapsed="false" customWidth="true" hidden="false" outlineLevel="0" max="7" min="7" style="0" width="14"/>
    <col collapsed="false" customWidth="true" hidden="false" outlineLevel="0" max="8" min="8" style="0" width="18"/>
    <col collapsed="false" customWidth="true" hidden="false" outlineLevel="0" max="9" min="9" style="0" width="16"/>
    <col collapsed="false" customWidth="true" hidden="false" outlineLevel="0" max="10" min="10" style="0" width="70"/>
  </cols>
  <sheetData>
    <row r="1" customFormat="false" ht="18.55" hidden="false" customHeight="false" outlineLevel="0" collapsed="false">
      <c r="A1" s="1" t="s">
        <v>798</v>
      </c>
    </row>
    <row r="2" customFormat="false" ht="15" hidden="false" customHeight="false" outlineLevel="0" collapsed="false">
      <c r="A2" s="2" t="s">
        <v>799</v>
      </c>
    </row>
    <row r="4" customFormat="false" ht="15" hidden="false" customHeight="false" outlineLevel="0" collapsed="false">
      <c r="A4" s="3" t="s">
        <v>800</v>
      </c>
      <c r="B4" s="4"/>
      <c r="C4" s="4"/>
      <c r="D4" s="4"/>
      <c r="E4" s="4"/>
      <c r="F4" s="4"/>
      <c r="G4" s="4"/>
      <c r="H4" s="4"/>
      <c r="I4" s="4"/>
      <c r="J4" s="4"/>
    </row>
    <row r="5" customFormat="false" ht="23.85" hidden="false" customHeight="false" outlineLevel="0" collapsed="false">
      <c r="A5" s="13" t="s">
        <v>279</v>
      </c>
      <c r="B5" s="13" t="s">
        <v>280</v>
      </c>
      <c r="C5" s="13" t="s">
        <v>18</v>
      </c>
      <c r="D5" s="13" t="s">
        <v>103</v>
      </c>
      <c r="E5" s="13" t="s">
        <v>104</v>
      </c>
      <c r="F5" s="13" t="s">
        <v>105</v>
      </c>
      <c r="G5" s="13" t="s">
        <v>281</v>
      </c>
      <c r="H5" s="13" t="s">
        <v>282</v>
      </c>
      <c r="I5" s="13" t="s">
        <v>283</v>
      </c>
      <c r="J5" s="13" t="s">
        <v>284</v>
      </c>
    </row>
    <row r="6" customFormat="false" ht="15" hidden="false" customHeight="false" outlineLevel="0" collapsed="false">
      <c r="A6" s="9" t="s">
        <v>801</v>
      </c>
      <c r="B6" s="16" t="s">
        <v>802</v>
      </c>
      <c r="C6" s="9" t="s">
        <v>803</v>
      </c>
      <c r="D6" s="39" t="n">
        <v>8500</v>
      </c>
      <c r="E6" s="39" t="n">
        <v>10500</v>
      </c>
      <c r="F6" s="39" t="n">
        <v>13500</v>
      </c>
      <c r="G6" s="15" t="n">
        <f aca="false">INDEX(D6:F6,1,sel_scen)</f>
        <v>10500</v>
      </c>
      <c r="H6" s="9" t="s">
        <v>303</v>
      </c>
      <c r="I6" s="16" t="s">
        <v>804</v>
      </c>
      <c r="J6" s="16" t="s">
        <v>805</v>
      </c>
    </row>
    <row r="7" customFormat="false" ht="15" hidden="false" customHeight="false" outlineLevel="0" collapsed="false">
      <c r="A7" s="9" t="s">
        <v>806</v>
      </c>
      <c r="B7" s="16" t="s">
        <v>807</v>
      </c>
      <c r="C7" s="9" t="s">
        <v>803</v>
      </c>
      <c r="D7" s="39" t="n">
        <v>11000</v>
      </c>
      <c r="E7" s="39" t="n">
        <v>14000</v>
      </c>
      <c r="F7" s="39" t="n">
        <v>18000</v>
      </c>
      <c r="G7" s="15" t="n">
        <f aca="false">INDEX(D7:F7,1,sel_scen)</f>
        <v>14000</v>
      </c>
      <c r="H7" s="9" t="s">
        <v>303</v>
      </c>
      <c r="I7" s="16" t="s">
        <v>804</v>
      </c>
      <c r="J7" s="16" t="s">
        <v>808</v>
      </c>
    </row>
    <row r="8" customFormat="false" ht="15" hidden="false" customHeight="false" outlineLevel="0" collapsed="false">
      <c r="A8" s="9" t="s">
        <v>809</v>
      </c>
      <c r="B8" s="16" t="s">
        <v>810</v>
      </c>
      <c r="C8" s="9" t="s">
        <v>811</v>
      </c>
      <c r="D8" s="39" t="n">
        <v>4000</v>
      </c>
      <c r="E8" s="39" t="n">
        <v>6000</v>
      </c>
      <c r="F8" s="39" t="n">
        <v>9000</v>
      </c>
      <c r="G8" s="15" t="n">
        <f aca="false">INDEX(D8:F8,1,sel_scen)</f>
        <v>6000</v>
      </c>
      <c r="H8" s="9" t="s">
        <v>287</v>
      </c>
      <c r="I8" s="16" t="s">
        <v>812</v>
      </c>
      <c r="J8" s="16" t="s">
        <v>813</v>
      </c>
    </row>
    <row r="9" customFormat="false" ht="15" hidden="false" customHeight="false" outlineLevel="0" collapsed="false">
      <c r="A9" s="9" t="s">
        <v>814</v>
      </c>
      <c r="B9" s="16" t="s">
        <v>815</v>
      </c>
      <c r="C9" s="9" t="s">
        <v>811</v>
      </c>
      <c r="D9" s="39" t="n">
        <v>0</v>
      </c>
      <c r="E9" s="39" t="n">
        <v>1000</v>
      </c>
      <c r="F9" s="39" t="n">
        <v>2000</v>
      </c>
      <c r="G9" s="15" t="n">
        <f aca="false">INDEX(D9:F9,1,sel_scen)</f>
        <v>1000</v>
      </c>
      <c r="H9" s="9" t="s">
        <v>287</v>
      </c>
      <c r="I9" s="16"/>
      <c r="J9" s="16" t="s">
        <v>816</v>
      </c>
    </row>
    <row r="10" customFormat="false" ht="15" hidden="false" customHeight="false" outlineLevel="0" collapsed="false">
      <c r="A10" s="9" t="s">
        <v>817</v>
      </c>
      <c r="B10" s="16" t="s">
        <v>818</v>
      </c>
      <c r="C10" s="9" t="s">
        <v>819</v>
      </c>
      <c r="D10" s="62" t="n">
        <v>45</v>
      </c>
      <c r="E10" s="62" t="n">
        <v>65</v>
      </c>
      <c r="F10" s="62" t="n">
        <v>80</v>
      </c>
      <c r="G10" s="22" t="n">
        <f aca="false">INDEX(D10:F10,1,sel_scen)</f>
        <v>65</v>
      </c>
      <c r="H10" s="9" t="s">
        <v>820</v>
      </c>
      <c r="I10" s="16" t="s">
        <v>821</v>
      </c>
      <c r="J10" s="16" t="s">
        <v>822</v>
      </c>
    </row>
    <row r="11" customFormat="false" ht="15" hidden="false" customHeight="false" outlineLevel="0" collapsed="false">
      <c r="A11" s="9" t="s">
        <v>823</v>
      </c>
      <c r="B11" s="16" t="s">
        <v>824</v>
      </c>
      <c r="C11" s="9" t="s">
        <v>819</v>
      </c>
      <c r="D11" s="62" t="n">
        <v>130</v>
      </c>
      <c r="E11" s="62" t="n">
        <v>140</v>
      </c>
      <c r="F11" s="62" t="n">
        <v>150</v>
      </c>
      <c r="G11" s="22" t="n">
        <f aca="false">INDEX(D11:F11,1,sel_scen)</f>
        <v>140</v>
      </c>
      <c r="H11" s="9" t="s">
        <v>820</v>
      </c>
      <c r="I11" s="16" t="s">
        <v>825</v>
      </c>
      <c r="J11" s="16" t="s">
        <v>826</v>
      </c>
    </row>
    <row r="12" customFormat="false" ht="15" hidden="false" customHeight="false" outlineLevel="0" collapsed="false">
      <c r="A12" s="9" t="s">
        <v>827</v>
      </c>
      <c r="B12" s="16" t="s">
        <v>828</v>
      </c>
      <c r="C12" s="9" t="s">
        <v>819</v>
      </c>
      <c r="D12" s="62" t="n">
        <v>201</v>
      </c>
      <c r="E12" s="62" t="n">
        <v>210</v>
      </c>
      <c r="F12" s="62" t="n">
        <v>220</v>
      </c>
      <c r="G12" s="22" t="n">
        <f aca="false">INDEX(D12:F12,1,sel_scen)</f>
        <v>210</v>
      </c>
      <c r="H12" s="9" t="s">
        <v>820</v>
      </c>
      <c r="I12" s="16" t="s">
        <v>825</v>
      </c>
      <c r="J12" s="16"/>
    </row>
    <row r="13" customFormat="false" ht="23.85" hidden="false" customHeight="false" outlineLevel="0" collapsed="false">
      <c r="A13" s="9" t="s">
        <v>829</v>
      </c>
      <c r="B13" s="16" t="s">
        <v>830</v>
      </c>
      <c r="C13" s="9" t="s">
        <v>831</v>
      </c>
      <c r="D13" s="6" t="n">
        <v>0</v>
      </c>
      <c r="E13" s="6" t="n">
        <v>0</v>
      </c>
      <c r="F13" s="6" t="n">
        <v>0</v>
      </c>
      <c r="G13" s="10" t="n">
        <f aca="false">INDEX(D13:F13,1,sel_scen)</f>
        <v>0</v>
      </c>
      <c r="H13" s="9" t="s">
        <v>287</v>
      </c>
      <c r="I13" s="16" t="s">
        <v>832</v>
      </c>
      <c r="J13" s="16" t="s">
        <v>833</v>
      </c>
    </row>
    <row r="14" customFormat="false" ht="15" hidden="false" customHeight="false" outlineLevel="0" collapsed="false">
      <c r="A14" s="9" t="s">
        <v>834</v>
      </c>
      <c r="B14" s="16" t="s">
        <v>835</v>
      </c>
      <c r="C14" s="9" t="s">
        <v>819</v>
      </c>
      <c r="D14" s="62" t="n">
        <v>10</v>
      </c>
      <c r="E14" s="62" t="n">
        <v>15</v>
      </c>
      <c r="F14" s="62" t="n">
        <v>20</v>
      </c>
      <c r="G14" s="22" t="n">
        <f aca="false">INDEX(D14:F14,1,sel_scen)</f>
        <v>15</v>
      </c>
      <c r="H14" s="9" t="s">
        <v>287</v>
      </c>
      <c r="I14" s="16"/>
      <c r="J14" s="16"/>
    </row>
    <row r="15" customFormat="false" ht="15" hidden="false" customHeight="false" outlineLevel="0" collapsed="false">
      <c r="A15" s="9" t="s">
        <v>836</v>
      </c>
      <c r="B15" s="16" t="s">
        <v>837</v>
      </c>
      <c r="C15" s="9" t="s">
        <v>838</v>
      </c>
      <c r="D15" s="62" t="n">
        <v>50</v>
      </c>
      <c r="E15" s="62" t="n">
        <v>75</v>
      </c>
      <c r="F15" s="62" t="n">
        <v>100</v>
      </c>
      <c r="G15" s="22" t="n">
        <f aca="false">INDEX(D15:F15,1,sel_scen)</f>
        <v>75</v>
      </c>
      <c r="H15" s="9" t="s">
        <v>287</v>
      </c>
      <c r="I15" s="16" t="s">
        <v>825</v>
      </c>
      <c r="J15" s="16" t="s">
        <v>839</v>
      </c>
    </row>
    <row r="16" customFormat="false" ht="15" hidden="false" customHeight="false" outlineLevel="0" collapsed="false">
      <c r="A16" s="9" t="s">
        <v>840</v>
      </c>
      <c r="B16" s="16" t="s">
        <v>841</v>
      </c>
      <c r="C16" s="9" t="s">
        <v>838</v>
      </c>
      <c r="D16" s="62" t="n">
        <v>75</v>
      </c>
      <c r="E16" s="62" t="n">
        <v>100</v>
      </c>
      <c r="F16" s="62" t="n">
        <v>150</v>
      </c>
      <c r="G16" s="22" t="n">
        <f aca="false">INDEX(D16:F16,1,sel_scen)</f>
        <v>100</v>
      </c>
      <c r="H16" s="9" t="s">
        <v>287</v>
      </c>
      <c r="I16" s="16"/>
      <c r="J16" s="16"/>
    </row>
    <row r="17" customFormat="false" ht="15" hidden="false" customHeight="false" outlineLevel="0" collapsed="false">
      <c r="A17" s="9" t="s">
        <v>842</v>
      </c>
      <c r="B17" s="16" t="s">
        <v>843</v>
      </c>
      <c r="C17" s="9" t="s">
        <v>819</v>
      </c>
      <c r="D17" s="62" t="n">
        <v>0</v>
      </c>
      <c r="E17" s="62" t="n">
        <v>0</v>
      </c>
      <c r="F17" s="62" t="n">
        <v>64</v>
      </c>
      <c r="G17" s="22" t="n">
        <f aca="false">INDEX(D17:F17,1,sel_scen)</f>
        <v>0</v>
      </c>
      <c r="H17" s="9" t="s">
        <v>820</v>
      </c>
      <c r="I17" s="16" t="s">
        <v>821</v>
      </c>
      <c r="J17" s="16"/>
    </row>
    <row r="18" customFormat="false" ht="15" hidden="false" customHeight="false" outlineLevel="0" collapsed="false">
      <c r="A18" s="9" t="s">
        <v>844</v>
      </c>
      <c r="B18" s="16" t="s">
        <v>845</v>
      </c>
      <c r="C18" s="9" t="s">
        <v>302</v>
      </c>
      <c r="D18" s="48" t="n">
        <v>0</v>
      </c>
      <c r="E18" s="48" t="n">
        <v>0</v>
      </c>
      <c r="F18" s="48" t="n">
        <v>3</v>
      </c>
      <c r="G18" s="49" t="n">
        <f aca="false">INDEX(D18:F18,1,sel_scen)</f>
        <v>0</v>
      </c>
      <c r="H18" s="9" t="s">
        <v>287</v>
      </c>
      <c r="I18" s="16" t="s">
        <v>846</v>
      </c>
      <c r="J18" s="16"/>
    </row>
    <row r="19" customFormat="false" ht="15" hidden="false" customHeight="false" outlineLevel="0" collapsed="false">
      <c r="A19" s="9" t="s">
        <v>847</v>
      </c>
      <c r="B19" s="16" t="s">
        <v>848</v>
      </c>
      <c r="C19" s="9" t="s">
        <v>849</v>
      </c>
      <c r="D19" s="62" t="n">
        <v>14</v>
      </c>
      <c r="E19" s="62" t="n">
        <v>14</v>
      </c>
      <c r="F19" s="62" t="n">
        <v>14</v>
      </c>
      <c r="G19" s="22" t="n">
        <f aca="false">INDEX(D19:F19,1,sel_scen)</f>
        <v>14</v>
      </c>
      <c r="H19" s="9" t="s">
        <v>820</v>
      </c>
      <c r="I19" s="16" t="s">
        <v>846</v>
      </c>
      <c r="J19" s="16" t="s">
        <v>850</v>
      </c>
    </row>
    <row r="20" customFormat="false" ht="15" hidden="false" customHeight="false" outlineLevel="0" collapsed="false">
      <c r="A20" s="9" t="s">
        <v>851</v>
      </c>
      <c r="B20" s="16" t="s">
        <v>852</v>
      </c>
      <c r="C20" s="9" t="s">
        <v>849</v>
      </c>
      <c r="D20" s="62" t="n">
        <v>28</v>
      </c>
      <c r="E20" s="62" t="n">
        <v>28</v>
      </c>
      <c r="F20" s="62" t="n">
        <v>28</v>
      </c>
      <c r="G20" s="22" t="n">
        <f aca="false">INDEX(D20:F20,1,sel_scen)</f>
        <v>28</v>
      </c>
      <c r="H20" s="9" t="s">
        <v>820</v>
      </c>
      <c r="I20" s="16" t="s">
        <v>846</v>
      </c>
      <c r="J20" s="16"/>
    </row>
    <row r="21" customFormat="false" ht="15" hidden="false" customHeight="false" outlineLevel="0" collapsed="false">
      <c r="A21" s="9" t="s">
        <v>853</v>
      </c>
      <c r="B21" s="16" t="s">
        <v>854</v>
      </c>
      <c r="C21" s="9" t="s">
        <v>803</v>
      </c>
      <c r="D21" s="39" t="n">
        <v>0</v>
      </c>
      <c r="E21" s="39" t="n">
        <v>0</v>
      </c>
      <c r="F21" s="39" t="n">
        <v>2000</v>
      </c>
      <c r="G21" s="15" t="n">
        <f aca="false">INDEX(D21:F21,1,sel_scen)</f>
        <v>0</v>
      </c>
      <c r="H21" s="9" t="s">
        <v>287</v>
      </c>
      <c r="I21" s="16" t="s">
        <v>855</v>
      </c>
      <c r="J21" s="16" t="s">
        <v>856</v>
      </c>
    </row>
    <row r="22" customFormat="false" ht="15" hidden="false" customHeight="false" outlineLevel="0" collapsed="false">
      <c r="A22" s="9" t="s">
        <v>857</v>
      </c>
      <c r="B22" s="16" t="s">
        <v>858</v>
      </c>
      <c r="C22" s="9" t="s">
        <v>838</v>
      </c>
      <c r="D22" s="62" t="n">
        <v>0</v>
      </c>
      <c r="E22" s="62" t="n">
        <v>350</v>
      </c>
      <c r="F22" s="62" t="n">
        <v>450</v>
      </c>
      <c r="G22" s="22" t="n">
        <f aca="false">INDEX(D22:F22,1,sel_scen)</f>
        <v>350</v>
      </c>
      <c r="H22" s="9" t="s">
        <v>287</v>
      </c>
      <c r="I22" s="16"/>
      <c r="J22" s="16"/>
    </row>
    <row r="23" customFormat="false" ht="15" hidden="false" customHeight="false" outlineLevel="0" collapsed="false">
      <c r="A23" s="9" t="s">
        <v>859</v>
      </c>
      <c r="B23" s="16" t="s">
        <v>860</v>
      </c>
      <c r="C23" s="9" t="s">
        <v>861</v>
      </c>
      <c r="D23" s="48" t="n">
        <v>4</v>
      </c>
      <c r="E23" s="48" t="n">
        <v>4</v>
      </c>
      <c r="F23" s="48" t="n">
        <v>4</v>
      </c>
      <c r="G23" s="49" t="n">
        <f aca="false">INDEX(D23:F23,1,sel_scen)</f>
        <v>4</v>
      </c>
      <c r="H23" s="9" t="s">
        <v>287</v>
      </c>
      <c r="I23" s="16"/>
      <c r="J23" s="16" t="s">
        <v>862</v>
      </c>
    </row>
    <row r="24" customFormat="false" ht="15" hidden="false" customHeight="false" outlineLevel="0" collapsed="false">
      <c r="A24" s="9" t="s">
        <v>863</v>
      </c>
      <c r="B24" s="16" t="s">
        <v>864</v>
      </c>
      <c r="C24" s="9" t="s">
        <v>865</v>
      </c>
      <c r="D24" s="62" t="n">
        <v>25</v>
      </c>
      <c r="E24" s="62" t="n">
        <v>40</v>
      </c>
      <c r="F24" s="62" t="n">
        <v>60</v>
      </c>
      <c r="G24" s="22" t="n">
        <f aca="false">INDEX(D24:F24,1,sel_scen)</f>
        <v>40</v>
      </c>
      <c r="H24" s="9" t="s">
        <v>287</v>
      </c>
      <c r="I24" s="16"/>
      <c r="J24" s="16"/>
    </row>
    <row r="25" customFormat="false" ht="15" hidden="false" customHeight="false" outlineLevel="0" collapsed="false">
      <c r="A25" s="9" t="s">
        <v>866</v>
      </c>
      <c r="B25" s="16" t="s">
        <v>867</v>
      </c>
      <c r="C25" s="9" t="s">
        <v>811</v>
      </c>
      <c r="D25" s="39" t="n">
        <v>5000</v>
      </c>
      <c r="E25" s="39" t="n">
        <v>7000</v>
      </c>
      <c r="F25" s="39" t="n">
        <v>9000</v>
      </c>
      <c r="G25" s="15" t="n">
        <f aca="false">INDEX(D25:F25,1,sel_scen)</f>
        <v>7000</v>
      </c>
      <c r="H25" s="9" t="s">
        <v>287</v>
      </c>
      <c r="I25" s="16"/>
      <c r="J25" s="16"/>
    </row>
    <row r="26" customFormat="false" ht="15" hidden="false" customHeight="false" outlineLevel="0" collapsed="false">
      <c r="A26" s="9" t="s">
        <v>868</v>
      </c>
      <c r="B26" s="16" t="s">
        <v>869</v>
      </c>
      <c r="C26" s="9" t="s">
        <v>838</v>
      </c>
      <c r="D26" s="62" t="n">
        <v>100</v>
      </c>
      <c r="E26" s="62" t="n">
        <v>150</v>
      </c>
      <c r="F26" s="62" t="n">
        <v>200</v>
      </c>
      <c r="G26" s="22" t="n">
        <f aca="false">INDEX(D26:F26,1,sel_scen)</f>
        <v>150</v>
      </c>
      <c r="H26" s="9" t="s">
        <v>287</v>
      </c>
      <c r="I26" s="16"/>
      <c r="J26" s="16" t="s">
        <v>870</v>
      </c>
    </row>
    <row r="28" customFormat="false" ht="15" hidden="false" customHeight="false" outlineLevel="0" collapsed="false">
      <c r="A28" s="3" t="s">
        <v>871</v>
      </c>
      <c r="B28" s="4"/>
      <c r="C28" s="4"/>
      <c r="D28" s="4"/>
      <c r="E28" s="4"/>
      <c r="F28" s="4"/>
      <c r="G28" s="4"/>
      <c r="H28" s="4"/>
      <c r="I28" s="4"/>
      <c r="J28" s="4"/>
    </row>
    <row r="29" customFormat="false" ht="15" hidden="false" customHeight="false" outlineLevel="0" collapsed="false">
      <c r="A29" s="13"/>
      <c r="B29" s="13" t="s">
        <v>872</v>
      </c>
      <c r="C29" s="13"/>
      <c r="D29" s="13" t="s">
        <v>37</v>
      </c>
      <c r="E29" s="13" t="s">
        <v>873</v>
      </c>
      <c r="F29" s="13"/>
      <c r="G29" s="13"/>
      <c r="H29" s="13"/>
      <c r="I29" s="13"/>
      <c r="J29" s="13" t="s">
        <v>19</v>
      </c>
    </row>
    <row r="30" customFormat="false" ht="23.85" hidden="false" customHeight="false" outlineLevel="0" collapsed="false">
      <c r="B30" s="16" t="s">
        <v>874</v>
      </c>
      <c r="D30" s="22" t="n">
        <f aca="false">INDEX(eng_orig_ctr,sel_row)</f>
        <v>555.278125165799</v>
      </c>
      <c r="E30" s="20" t="n">
        <f aca="false">D30/INDEX(eng_SALE,sel_row)</f>
        <v>0.00728338678584188</v>
      </c>
    </row>
    <row r="31" customFormat="false" ht="23.85" hidden="false" customHeight="false" outlineLevel="0" collapsed="false">
      <c r="B31" s="16" t="s">
        <v>875</v>
      </c>
      <c r="D31" s="22" t="n">
        <f aca="false">INDEX(eng_orig_shp,sel_row)</f>
        <v>817.639062582899</v>
      </c>
      <c r="E31" s="20" t="n">
        <f aca="false">D31/INDEX(eng_SALE,sel_row)</f>
        <v>0.010724682414288</v>
      </c>
    </row>
    <row r="32" customFormat="false" ht="15" hidden="false" customHeight="false" outlineLevel="0" collapsed="false">
      <c r="B32" s="63" t="s">
        <v>876</v>
      </c>
      <c r="D32" s="44" t="n">
        <f aca="false">INDEX(eng_ORIGIN,sel_row)</f>
        <v>1372.9171877487</v>
      </c>
      <c r="E32" s="20" t="n">
        <f aca="false">D32/INDEX(eng_SALE,sel_row)</f>
        <v>0.0180080692001298</v>
      </c>
    </row>
    <row r="34" customFormat="false" ht="15" hidden="false" customHeight="false" outlineLevel="0" collapsed="false">
      <c r="A34" s="3" t="s">
        <v>877</v>
      </c>
      <c r="B34" s="4"/>
      <c r="C34" s="4"/>
      <c r="D34" s="4"/>
      <c r="E34" s="4"/>
      <c r="F34" s="4"/>
      <c r="G34" s="4"/>
      <c r="H34" s="4"/>
      <c r="I34" s="4"/>
      <c r="J34" s="4"/>
    </row>
    <row r="35" customFormat="false" ht="31.5" hidden="false" customHeight="true" outlineLevel="0" collapsed="false">
      <c r="B35" s="16" t="s">
        <v>878</v>
      </c>
      <c r="C35" s="16"/>
      <c r="D35" s="16"/>
      <c r="E35" s="16"/>
      <c r="F35" s="16"/>
      <c r="G35" s="16"/>
      <c r="H35" s="16"/>
      <c r="I35" s="16"/>
      <c r="J35" s="16"/>
    </row>
    <row r="36" customFormat="false" ht="31.5" hidden="false" customHeight="true" outlineLevel="0" collapsed="false">
      <c r="B36" s="16" t="s">
        <v>879</v>
      </c>
      <c r="C36" s="16"/>
      <c r="D36" s="16"/>
      <c r="E36" s="16"/>
      <c r="F36" s="16"/>
      <c r="G36" s="16"/>
      <c r="H36" s="16"/>
      <c r="I36" s="16"/>
      <c r="J36" s="16"/>
    </row>
    <row r="37" customFormat="false" ht="31.5" hidden="false" customHeight="true" outlineLevel="0" collapsed="false">
      <c r="B37" s="16" t="s">
        <v>880</v>
      </c>
      <c r="C37" s="16"/>
      <c r="D37" s="16"/>
      <c r="E37" s="16"/>
      <c r="F37" s="16"/>
      <c r="G37" s="16"/>
      <c r="H37" s="16"/>
      <c r="I37" s="16"/>
      <c r="J37" s="16"/>
    </row>
    <row r="38" customFormat="false" ht="31.5" hidden="false" customHeight="true" outlineLevel="0" collapsed="false">
      <c r="B38" s="16" t="s">
        <v>881</v>
      </c>
      <c r="C38" s="16"/>
      <c r="D38" s="16"/>
      <c r="E38" s="16"/>
      <c r="F38" s="16"/>
      <c r="G38" s="16"/>
      <c r="H38" s="16"/>
      <c r="I38" s="16"/>
      <c r="J38" s="16"/>
    </row>
    <row r="39" customFormat="false" ht="31.5" hidden="false" customHeight="true" outlineLevel="0" collapsed="false">
      <c r="B39" s="16" t="s">
        <v>882</v>
      </c>
      <c r="C39" s="16"/>
      <c r="D39" s="16"/>
      <c r="E39" s="16"/>
      <c r="F39" s="16"/>
      <c r="G39" s="16"/>
      <c r="H39" s="16"/>
      <c r="I39" s="16"/>
      <c r="J39" s="16"/>
    </row>
  </sheetData>
  <mergeCells count="5">
    <mergeCell ref="B35:J35"/>
    <mergeCell ref="B36:J36"/>
    <mergeCell ref="B37:J37"/>
    <mergeCell ref="B38:J38"/>
    <mergeCell ref="B39:J39"/>
  </mergeCells>
  <conditionalFormatting sqref="H6:H26">
    <cfRule type="expression" priority="2" aboveAverage="0" equalAverage="0" bottom="0" percent="0" rank="0" text="" dxfId="0">
      <formula>LEFT(H6,8)="VERIFIED"</formula>
    </cfRule>
    <cfRule type="expression" priority="3" aboveAverage="0" equalAverage="0" bottom="0" percent="0" rank="0" text="" dxfId="2">
      <formula>OR(H6="ESTIMATED",H6="CALCULATED")</formula>
    </cfRule>
    <cfRule type="expression" priority="4" aboveAverage="0" equalAverage="0" bottom="0" percent="0" rank="0" text="" dxfId="1">
      <formula>OR(H6="ASSUMED",H6="UNRESOLVED",H6="UNVERIFIED")</formula>
    </cfRule>
  </conditionalFormatting>
  <dataValidations count="1">
    <dataValidation allowBlank="true" error="Value outside the allowed range" errorStyle="stop" operator="between" showDropDown="false" showErrorMessage="false" showInputMessage="false" sqref="D6:F26"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J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6" min="3" style="0" width="11"/>
    <col collapsed="false" customWidth="true" hidden="false" outlineLevel="0" max="7" min="7" style="0" width="14"/>
    <col collapsed="false" customWidth="true" hidden="false" outlineLevel="0" max="8" min="8" style="0" width="18"/>
    <col collapsed="false" customWidth="true" hidden="false" outlineLevel="0" max="9" min="9" style="0" width="22"/>
    <col collapsed="false" customWidth="true" hidden="false" outlineLevel="0" max="10" min="10" style="0" width="70"/>
  </cols>
  <sheetData>
    <row r="1" customFormat="false" ht="18.55" hidden="false" customHeight="false" outlineLevel="0" collapsed="false">
      <c r="A1" s="1" t="s">
        <v>883</v>
      </c>
    </row>
    <row r="2" customFormat="false" ht="15" hidden="false" customHeight="false" outlineLevel="0" collapsed="false">
      <c r="A2" s="2" t="s">
        <v>884</v>
      </c>
    </row>
    <row r="4" customFormat="false" ht="15" hidden="false" customHeight="false" outlineLevel="0" collapsed="false">
      <c r="A4" s="3" t="s">
        <v>885</v>
      </c>
      <c r="B4" s="4"/>
      <c r="C4" s="4"/>
      <c r="D4" s="4"/>
      <c r="E4" s="4"/>
      <c r="F4" s="4"/>
      <c r="G4" s="4"/>
      <c r="H4" s="4"/>
      <c r="I4" s="4"/>
      <c r="J4" s="4"/>
    </row>
    <row r="5" customFormat="false" ht="23.85" hidden="false" customHeight="false" outlineLevel="0" collapsed="false">
      <c r="A5" s="13" t="s">
        <v>279</v>
      </c>
      <c r="B5" s="13" t="s">
        <v>280</v>
      </c>
      <c r="C5" s="13" t="s">
        <v>18</v>
      </c>
      <c r="D5" s="13" t="s">
        <v>103</v>
      </c>
      <c r="E5" s="13" t="s">
        <v>104</v>
      </c>
      <c r="F5" s="13" t="s">
        <v>105</v>
      </c>
      <c r="G5" s="13" t="s">
        <v>281</v>
      </c>
      <c r="H5" s="13" t="s">
        <v>282</v>
      </c>
      <c r="I5" s="13" t="s">
        <v>283</v>
      </c>
      <c r="J5" s="13" t="s">
        <v>284</v>
      </c>
    </row>
    <row r="6" customFormat="false" ht="23.85" hidden="false" customHeight="false" outlineLevel="0" collapsed="false">
      <c r="A6" s="9" t="s">
        <v>886</v>
      </c>
      <c r="B6" s="16" t="s">
        <v>887</v>
      </c>
      <c r="C6" s="9" t="s">
        <v>819</v>
      </c>
      <c r="D6" s="62" t="n">
        <v>2000</v>
      </c>
      <c r="E6" s="62" t="n">
        <v>3000</v>
      </c>
      <c r="F6" s="62" t="n">
        <v>3900</v>
      </c>
      <c r="G6" s="22" t="n">
        <f aca="false">INDEX(D6:F6,1,sel_scen)</f>
        <v>3000</v>
      </c>
      <c r="H6" s="9" t="s">
        <v>303</v>
      </c>
      <c r="I6" s="16" t="s">
        <v>888</v>
      </c>
      <c r="J6" s="16" t="s">
        <v>889</v>
      </c>
    </row>
    <row r="7" customFormat="false" ht="23.85" hidden="false" customHeight="false" outlineLevel="0" collapsed="false">
      <c r="A7" s="9" t="s">
        <v>890</v>
      </c>
      <c r="B7" s="16" t="s">
        <v>891</v>
      </c>
      <c r="C7" s="9" t="s">
        <v>819</v>
      </c>
      <c r="D7" s="62" t="n">
        <v>2800</v>
      </c>
      <c r="E7" s="62" t="n">
        <v>3900</v>
      </c>
      <c r="F7" s="62" t="n">
        <v>4900</v>
      </c>
      <c r="G7" s="22" t="n">
        <f aca="false">INDEX(D7:F7,1,sel_scen)</f>
        <v>3900</v>
      </c>
      <c r="H7" s="9" t="s">
        <v>303</v>
      </c>
      <c r="I7" s="16" t="s">
        <v>892</v>
      </c>
      <c r="J7" s="16" t="s">
        <v>893</v>
      </c>
    </row>
    <row r="8" customFormat="false" ht="15" hidden="false" customHeight="false" outlineLevel="0" collapsed="false">
      <c r="A8" s="9" t="s">
        <v>894</v>
      </c>
      <c r="B8" s="16" t="s">
        <v>895</v>
      </c>
      <c r="C8" s="9" t="s">
        <v>819</v>
      </c>
      <c r="D8" s="62" t="n">
        <v>2900</v>
      </c>
      <c r="E8" s="62" t="n">
        <v>4000</v>
      </c>
      <c r="F8" s="62" t="n">
        <v>5000</v>
      </c>
      <c r="G8" s="22" t="n">
        <f aca="false">INDEX(D8:F8,1,sel_scen)</f>
        <v>4000</v>
      </c>
      <c r="H8" s="9" t="s">
        <v>303</v>
      </c>
      <c r="I8" s="16" t="s">
        <v>896</v>
      </c>
      <c r="J8" s="16" t="s">
        <v>897</v>
      </c>
    </row>
    <row r="9" customFormat="false" ht="15" hidden="false" customHeight="false" outlineLevel="0" collapsed="false">
      <c r="A9" s="9" t="s">
        <v>898</v>
      </c>
      <c r="B9" s="16" t="s">
        <v>899</v>
      </c>
      <c r="C9" s="9" t="s">
        <v>900</v>
      </c>
      <c r="D9" s="62" t="n">
        <v>30</v>
      </c>
      <c r="E9" s="62" t="n">
        <v>35</v>
      </c>
      <c r="F9" s="62" t="n">
        <v>45</v>
      </c>
      <c r="G9" s="22" t="n">
        <f aca="false">INDEX(D9:F9,1,sel_scen)</f>
        <v>35</v>
      </c>
      <c r="H9" s="9" t="s">
        <v>287</v>
      </c>
      <c r="I9" s="16"/>
      <c r="J9" s="16"/>
    </row>
    <row r="10" customFormat="false" ht="15" hidden="false" customHeight="false" outlineLevel="0" collapsed="false">
      <c r="A10" s="9" t="s">
        <v>901</v>
      </c>
      <c r="B10" s="16" t="s">
        <v>902</v>
      </c>
      <c r="C10" s="9" t="s">
        <v>302</v>
      </c>
      <c r="D10" s="48" t="n">
        <v>25</v>
      </c>
      <c r="E10" s="48" t="n">
        <v>30</v>
      </c>
      <c r="F10" s="48" t="n">
        <v>38</v>
      </c>
      <c r="G10" s="49" t="n">
        <f aca="false">INDEX(D10:F10,1,sel_scen)</f>
        <v>30</v>
      </c>
      <c r="H10" s="9" t="s">
        <v>820</v>
      </c>
      <c r="I10" s="16" t="s">
        <v>903</v>
      </c>
      <c r="J10" s="16" t="s">
        <v>904</v>
      </c>
    </row>
    <row r="11" customFormat="false" ht="15" hidden="false" customHeight="false" outlineLevel="0" collapsed="false">
      <c r="A11" s="9" t="s">
        <v>905</v>
      </c>
      <c r="B11" s="16" t="s">
        <v>906</v>
      </c>
      <c r="C11" s="9" t="s">
        <v>41</v>
      </c>
      <c r="D11" s="46" t="n">
        <v>0.0015</v>
      </c>
      <c r="E11" s="46" t="n">
        <v>0.0025</v>
      </c>
      <c r="F11" s="46" t="n">
        <v>0.004</v>
      </c>
      <c r="G11" s="47" t="n">
        <f aca="false">INDEX(D11:F11,1,sel_scen)</f>
        <v>0.0025</v>
      </c>
      <c r="H11" s="9" t="s">
        <v>303</v>
      </c>
      <c r="I11" s="16" t="s">
        <v>907</v>
      </c>
      <c r="J11" s="16"/>
    </row>
    <row r="12" customFormat="false" ht="15" hidden="false" customHeight="false" outlineLevel="0" collapsed="false">
      <c r="A12" s="9" t="s">
        <v>908</v>
      </c>
      <c r="B12" s="16" t="s">
        <v>909</v>
      </c>
      <c r="C12" s="9" t="s">
        <v>41</v>
      </c>
      <c r="D12" s="46" t="n">
        <v>0.1</v>
      </c>
      <c r="E12" s="46" t="n">
        <v>0.1</v>
      </c>
      <c r="F12" s="46" t="n">
        <v>0.1</v>
      </c>
      <c r="G12" s="47" t="n">
        <f aca="false">INDEX(D12:F12,1,sel_scen)</f>
        <v>0.1</v>
      </c>
      <c r="H12" s="9" t="s">
        <v>303</v>
      </c>
      <c r="I12" s="16" t="s">
        <v>907</v>
      </c>
      <c r="J12" s="16"/>
    </row>
    <row r="13" customFormat="false" ht="15" hidden="false" customHeight="false" outlineLevel="0" collapsed="false">
      <c r="A13" s="9" t="s">
        <v>910</v>
      </c>
      <c r="B13" s="16" t="s">
        <v>911</v>
      </c>
      <c r="C13" s="9" t="s">
        <v>37</v>
      </c>
      <c r="D13" s="62" t="n">
        <v>50</v>
      </c>
      <c r="E13" s="62" t="n">
        <v>75</v>
      </c>
      <c r="F13" s="62" t="n">
        <v>100</v>
      </c>
      <c r="G13" s="22" t="n">
        <f aca="false">INDEX(D13:F13,1,sel_scen)</f>
        <v>75</v>
      </c>
      <c r="H13" s="9" t="s">
        <v>287</v>
      </c>
      <c r="I13" s="16" t="s">
        <v>907</v>
      </c>
      <c r="J13" s="16"/>
    </row>
    <row r="14" customFormat="false" ht="15" hidden="false" customHeight="false" outlineLevel="0" collapsed="false">
      <c r="A14" s="9" t="s">
        <v>912</v>
      </c>
      <c r="B14" s="16" t="s">
        <v>913</v>
      </c>
      <c r="C14" s="9" t="s">
        <v>831</v>
      </c>
      <c r="D14" s="6" t="n">
        <v>0</v>
      </c>
      <c r="E14" s="6" t="n">
        <v>0</v>
      </c>
      <c r="F14" s="6" t="n">
        <v>0</v>
      </c>
      <c r="G14" s="10" t="n">
        <f aca="false">INDEX(D14:F14,1,sel_scen)</f>
        <v>0</v>
      </c>
      <c r="H14" s="9" t="s">
        <v>287</v>
      </c>
      <c r="I14" s="16"/>
      <c r="J14" s="16" t="s">
        <v>914</v>
      </c>
    </row>
    <row r="15" customFormat="false" ht="35.05" hidden="false" customHeight="false" outlineLevel="0" collapsed="false">
      <c r="A15" s="9" t="s">
        <v>915</v>
      </c>
      <c r="B15" s="16" t="s">
        <v>916</v>
      </c>
      <c r="C15" s="9" t="s">
        <v>917</v>
      </c>
      <c r="D15" s="62" t="n">
        <v>120</v>
      </c>
      <c r="E15" s="62" t="n">
        <v>170</v>
      </c>
      <c r="F15" s="62" t="n">
        <v>230</v>
      </c>
      <c r="G15" s="22" t="n">
        <f aca="false">INDEX(D15:F15,1,sel_scen)</f>
        <v>170</v>
      </c>
      <c r="H15" s="9" t="s">
        <v>287</v>
      </c>
      <c r="I15" s="16"/>
      <c r="J15" s="16" t="s">
        <v>918</v>
      </c>
    </row>
    <row r="16" customFormat="false" ht="15" hidden="false" customHeight="false" outlineLevel="0" collapsed="false">
      <c r="A16" s="9" t="s">
        <v>919</v>
      </c>
      <c r="B16" s="16" t="s">
        <v>920</v>
      </c>
      <c r="C16" s="9" t="s">
        <v>447</v>
      </c>
      <c r="D16" s="40" t="n">
        <v>1.1</v>
      </c>
      <c r="E16" s="40" t="n">
        <v>1.1</v>
      </c>
      <c r="F16" s="40" t="n">
        <v>1.15</v>
      </c>
      <c r="G16" s="24" t="n">
        <f aca="false">INDEX(D16:F16,1,sel_scen)</f>
        <v>1.1</v>
      </c>
      <c r="H16" s="9" t="s">
        <v>287</v>
      </c>
      <c r="I16" s="16"/>
      <c r="J16" s="16"/>
    </row>
    <row r="17" customFormat="false" ht="15" hidden="false" customHeight="false" outlineLevel="0" collapsed="false">
      <c r="A17" s="9" t="s">
        <v>921</v>
      </c>
      <c r="B17" s="16" t="s">
        <v>922</v>
      </c>
      <c r="C17" s="9" t="s">
        <v>302</v>
      </c>
      <c r="D17" s="48" t="n">
        <v>5</v>
      </c>
      <c r="E17" s="48" t="n">
        <v>7</v>
      </c>
      <c r="F17" s="48" t="n">
        <v>12</v>
      </c>
      <c r="G17" s="49" t="n">
        <f aca="false">INDEX(D17:F17,1,sel_scen)</f>
        <v>7</v>
      </c>
      <c r="H17" s="9" t="s">
        <v>287</v>
      </c>
      <c r="I17" s="16"/>
      <c r="J17" s="16"/>
    </row>
    <row r="19" customFormat="false" ht="15" hidden="false" customHeight="false" outlineLevel="0" collapsed="false">
      <c r="A19" s="3" t="s">
        <v>923</v>
      </c>
      <c r="B19" s="4"/>
      <c r="C19" s="4"/>
      <c r="D19" s="4"/>
      <c r="E19" s="4"/>
      <c r="F19" s="4"/>
      <c r="G19" s="4"/>
      <c r="H19" s="4"/>
      <c r="I19" s="4"/>
      <c r="J19" s="4"/>
    </row>
    <row r="20" customFormat="false" ht="15" hidden="false" customHeight="false" outlineLevel="0" collapsed="false">
      <c r="A20" s="13" t="s">
        <v>356</v>
      </c>
      <c r="B20" s="13" t="s">
        <v>924</v>
      </c>
      <c r="C20" s="13"/>
      <c r="D20" s="13" t="s">
        <v>103</v>
      </c>
      <c r="E20" s="13" t="s">
        <v>104</v>
      </c>
      <c r="F20" s="13" t="s">
        <v>105</v>
      </c>
      <c r="G20" s="13" t="s">
        <v>584</v>
      </c>
      <c r="H20" s="13" t="s">
        <v>282</v>
      </c>
      <c r="I20" s="13" t="s">
        <v>523</v>
      </c>
      <c r="J20" s="13" t="s">
        <v>19</v>
      </c>
    </row>
    <row r="21" customFormat="false" ht="15" hidden="false" customHeight="false" outlineLevel="0" collapsed="false">
      <c r="A21" s="9" t="n">
        <v>1</v>
      </c>
      <c r="B21" s="9" t="s">
        <v>925</v>
      </c>
      <c r="D21" s="64" t="n">
        <v>0</v>
      </c>
      <c r="E21" s="64" t="n">
        <v>0</v>
      </c>
      <c r="F21" s="64" t="n">
        <v>0</v>
      </c>
      <c r="G21" s="65" t="n">
        <f aca="false">INDEX(D21:F21,1,sel_scen)</f>
        <v>0</v>
      </c>
      <c r="H21" s="9" t="s">
        <v>820</v>
      </c>
      <c r="I21" s="9" t="s">
        <v>832</v>
      </c>
      <c r="J21" s="16" t="s">
        <v>926</v>
      </c>
    </row>
    <row r="22" customFormat="false" ht="15" hidden="false" customHeight="false" outlineLevel="0" collapsed="false">
      <c r="A22" s="9" t="n">
        <v>2</v>
      </c>
      <c r="B22" s="9" t="s">
        <v>927</v>
      </c>
      <c r="D22" s="64" t="n">
        <v>0</v>
      </c>
      <c r="E22" s="64" t="n">
        <v>150</v>
      </c>
      <c r="F22" s="64" t="n">
        <v>300</v>
      </c>
      <c r="G22" s="65" t="n">
        <f aca="false">INDEX(D22:F22,1,sel_scen)</f>
        <v>150</v>
      </c>
      <c r="H22" s="9" t="s">
        <v>287</v>
      </c>
      <c r="I22" s="9"/>
      <c r="J22" s="16" t="s">
        <v>928</v>
      </c>
    </row>
    <row r="23" customFormat="false" ht="15" hidden="false" customHeight="false" outlineLevel="0" collapsed="false">
      <c r="A23" s="9" t="n">
        <v>3</v>
      </c>
      <c r="B23" s="9" t="s">
        <v>929</v>
      </c>
      <c r="D23" s="64" t="n">
        <v>0</v>
      </c>
      <c r="E23" s="64" t="n">
        <v>0</v>
      </c>
      <c r="F23" s="64" t="n">
        <v>100</v>
      </c>
      <c r="G23" s="65" t="n">
        <f aca="false">INDEX(D23:F23,1,sel_scen)</f>
        <v>0</v>
      </c>
      <c r="H23" s="9" t="s">
        <v>287</v>
      </c>
      <c r="I23" s="9"/>
      <c r="J23" s="16" t="s">
        <v>930</v>
      </c>
    </row>
    <row r="24" customFormat="false" ht="15" hidden="false" customHeight="false" outlineLevel="0" collapsed="false">
      <c r="A24" s="9" t="n">
        <v>4</v>
      </c>
      <c r="B24" s="9" t="s">
        <v>931</v>
      </c>
      <c r="D24" s="64" t="n">
        <v>0</v>
      </c>
      <c r="E24" s="64" t="n">
        <v>100</v>
      </c>
      <c r="F24" s="64" t="n">
        <v>200</v>
      </c>
      <c r="G24" s="65" t="n">
        <f aca="false">INDEX(D24:F24,1,sel_scen)</f>
        <v>100</v>
      </c>
      <c r="H24" s="9" t="s">
        <v>303</v>
      </c>
      <c r="I24" s="9" t="s">
        <v>932</v>
      </c>
      <c r="J24" s="16" t="s">
        <v>933</v>
      </c>
    </row>
    <row r="26" customFormat="false" ht="15" hidden="false" customHeight="false" outlineLevel="0" collapsed="false">
      <c r="A26" s="3" t="s">
        <v>934</v>
      </c>
      <c r="B26" s="4"/>
      <c r="C26" s="4"/>
      <c r="D26" s="4"/>
      <c r="E26" s="4"/>
      <c r="F26" s="4"/>
      <c r="G26" s="4"/>
      <c r="H26" s="4"/>
      <c r="I26" s="4"/>
      <c r="J26" s="4"/>
    </row>
    <row r="27" customFormat="false" ht="15" hidden="false" customHeight="false" outlineLevel="0" collapsed="false">
      <c r="A27" s="13" t="s">
        <v>523</v>
      </c>
      <c r="B27" s="13" t="s">
        <v>935</v>
      </c>
      <c r="C27" s="13" t="s">
        <v>936</v>
      </c>
      <c r="D27" s="13" t="s">
        <v>937</v>
      </c>
      <c r="E27" s="13" t="s">
        <v>938</v>
      </c>
      <c r="F27" s="13" t="s">
        <v>587</v>
      </c>
      <c r="G27" s="13" t="s">
        <v>589</v>
      </c>
      <c r="H27" s="13"/>
      <c r="I27" s="13"/>
      <c r="J27" s="13" t="s">
        <v>939</v>
      </c>
    </row>
    <row r="28" customFormat="false" ht="15" hidden="false" customHeight="false" outlineLevel="0" collapsed="false">
      <c r="A28" s="9" t="s">
        <v>832</v>
      </c>
      <c r="B28" s="16" t="s">
        <v>940</v>
      </c>
      <c r="C28" s="9" t="s">
        <v>941</v>
      </c>
      <c r="D28" s="66" t="n">
        <v>2750</v>
      </c>
      <c r="E28" s="66" t="n">
        <v>3600</v>
      </c>
      <c r="F28" s="9" t="s">
        <v>942</v>
      </c>
      <c r="G28" s="9" t="s">
        <v>943</v>
      </c>
      <c r="J28" s="16" t="s">
        <v>944</v>
      </c>
    </row>
    <row r="29" customFormat="false" ht="15" hidden="false" customHeight="false" outlineLevel="0" collapsed="false">
      <c r="A29" s="9" t="s">
        <v>945</v>
      </c>
      <c r="B29" s="16" t="s">
        <v>946</v>
      </c>
      <c r="C29" s="9" t="s">
        <v>947</v>
      </c>
      <c r="D29" s="66" t="n">
        <v>300</v>
      </c>
      <c r="E29" s="66" t="n">
        <v>600</v>
      </c>
      <c r="F29" s="9" t="s">
        <v>948</v>
      </c>
      <c r="G29" s="9" t="s">
        <v>949</v>
      </c>
      <c r="J29" s="16" t="s">
        <v>950</v>
      </c>
    </row>
    <row r="30" customFormat="false" ht="15" hidden="false" customHeight="false" outlineLevel="0" collapsed="false">
      <c r="A30" s="9" t="s">
        <v>951</v>
      </c>
      <c r="B30" s="16" t="s">
        <v>952</v>
      </c>
      <c r="C30" s="9" t="s">
        <v>953</v>
      </c>
      <c r="D30" s="9" t="s">
        <v>413</v>
      </c>
      <c r="E30" s="66" t="n">
        <v>2723</v>
      </c>
      <c r="F30" s="9" t="s">
        <v>954</v>
      </c>
      <c r="G30" s="9" t="s">
        <v>955</v>
      </c>
      <c r="J30" s="16" t="s">
        <v>956</v>
      </c>
    </row>
    <row r="31" customFormat="false" ht="15" hidden="false" customHeight="false" outlineLevel="0" collapsed="false">
      <c r="A31" s="9" t="s">
        <v>957</v>
      </c>
      <c r="B31" s="16" t="s">
        <v>958</v>
      </c>
      <c r="C31" s="9" t="s">
        <v>953</v>
      </c>
      <c r="D31" s="9" t="s">
        <v>413</v>
      </c>
      <c r="E31" s="66" t="n">
        <v>2741</v>
      </c>
      <c r="F31" s="9" t="s">
        <v>959</v>
      </c>
      <c r="G31" s="9" t="s">
        <v>955</v>
      </c>
      <c r="J31" s="16" t="s">
        <v>960</v>
      </c>
    </row>
    <row r="32" customFormat="false" ht="15" hidden="false" customHeight="false" outlineLevel="0" collapsed="false">
      <c r="A32" s="9" t="s">
        <v>961</v>
      </c>
      <c r="B32" s="16" t="s">
        <v>962</v>
      </c>
      <c r="C32" s="9" t="s">
        <v>963</v>
      </c>
      <c r="D32" s="9" t="s">
        <v>413</v>
      </c>
      <c r="E32" s="66" t="n">
        <v>3116</v>
      </c>
      <c r="F32" s="9" t="s">
        <v>964</v>
      </c>
      <c r="G32" s="9" t="s">
        <v>965</v>
      </c>
      <c r="J32" s="16" t="s">
        <v>966</v>
      </c>
    </row>
    <row r="33" customFormat="false" ht="15" hidden="false" customHeight="false" outlineLevel="0" collapsed="false">
      <c r="A33" s="9" t="s">
        <v>967</v>
      </c>
      <c r="B33" s="16" t="s">
        <v>968</v>
      </c>
      <c r="C33" s="9" t="s">
        <v>969</v>
      </c>
      <c r="D33" s="66" t="n">
        <v>1336</v>
      </c>
      <c r="E33" s="9" t="s">
        <v>413</v>
      </c>
      <c r="F33" s="9" t="s">
        <v>970</v>
      </c>
      <c r="G33" s="9" t="s">
        <v>971</v>
      </c>
      <c r="J33" s="16" t="s">
        <v>972</v>
      </c>
    </row>
    <row r="34" customFormat="false" ht="15" hidden="false" customHeight="false" outlineLevel="0" collapsed="false">
      <c r="A34" s="9" t="s">
        <v>973</v>
      </c>
      <c r="B34" s="16" t="s">
        <v>974</v>
      </c>
      <c r="C34" s="9" t="s">
        <v>975</v>
      </c>
      <c r="D34" s="9" t="s">
        <v>413</v>
      </c>
      <c r="E34" s="9" t="s">
        <v>413</v>
      </c>
      <c r="F34" s="9" t="s">
        <v>976</v>
      </c>
      <c r="G34" s="9" t="s">
        <v>977</v>
      </c>
      <c r="J34" s="16" t="s">
        <v>978</v>
      </c>
    </row>
    <row r="36" customFormat="false" ht="15" hidden="false" customHeight="false" outlineLevel="0" collapsed="false">
      <c r="A36" s="3" t="s">
        <v>979</v>
      </c>
      <c r="B36" s="4"/>
      <c r="C36" s="4"/>
      <c r="D36" s="4"/>
      <c r="E36" s="4"/>
      <c r="F36" s="4"/>
      <c r="G36" s="4"/>
      <c r="H36" s="4"/>
      <c r="I36" s="4"/>
      <c r="J36" s="4"/>
    </row>
    <row r="37" customFormat="false" ht="15" hidden="false" customHeight="false" outlineLevel="0" collapsed="false">
      <c r="B37" s="16" t="s">
        <v>980</v>
      </c>
      <c r="D37" s="22" t="n">
        <f aca="false">INDEX(eng_ocean_ctr,sel_row)</f>
        <v>4000</v>
      </c>
    </row>
    <row r="38" customFormat="false" ht="15" hidden="false" customHeight="false" outlineLevel="0" collapsed="false">
      <c r="B38" s="16" t="s">
        <v>981</v>
      </c>
      <c r="D38" s="22" t="n">
        <f aca="false">INDEX(in_oce_ams,1,sel_scen)</f>
        <v>35</v>
      </c>
    </row>
    <row r="39" customFormat="false" ht="15" hidden="false" customHeight="false" outlineLevel="0" collapsed="false">
      <c r="B39" s="16" t="s">
        <v>982</v>
      </c>
      <c r="D39" s="22" t="n">
        <f aca="false">INDEX(eng_INS,sel_row)</f>
        <v>75</v>
      </c>
    </row>
    <row r="40" customFormat="false" ht="15" hidden="false" customHeight="false" outlineLevel="0" collapsed="false">
      <c r="B40" s="16" t="s">
        <v>983</v>
      </c>
      <c r="D40" s="20" t="n">
        <f aca="false">INDEX(eng_OCEAN,sel_row)/INDEX(eng_SALE,sel_row)</f>
        <v>0.0529256679652147</v>
      </c>
    </row>
    <row r="41" customFormat="false" ht="15" hidden="false" customHeight="false" outlineLevel="0" collapsed="false">
      <c r="B41" s="16" t="s">
        <v>984</v>
      </c>
      <c r="D41" s="10" t="n">
        <f aca="false">INDEX(eng_t2,sel_row)-INDEX(eng_t1,sel_row)</f>
        <v>30</v>
      </c>
    </row>
    <row r="43" customFormat="false" ht="15" hidden="false" customHeight="false" outlineLevel="0" collapsed="false">
      <c r="A43" s="3" t="s">
        <v>985</v>
      </c>
      <c r="B43" s="4"/>
      <c r="C43" s="4"/>
      <c r="D43" s="4"/>
      <c r="E43" s="4"/>
      <c r="F43" s="4"/>
      <c r="G43" s="4"/>
      <c r="H43" s="4"/>
      <c r="I43" s="4"/>
      <c r="J43" s="4"/>
    </row>
    <row r="44" customFormat="false" ht="27.75" hidden="false" customHeight="true" outlineLevel="0" collapsed="false">
      <c r="B44" s="16" t="s">
        <v>986</v>
      </c>
      <c r="C44" s="16"/>
      <c r="D44" s="16"/>
      <c r="E44" s="16"/>
      <c r="F44" s="16"/>
      <c r="G44" s="16"/>
      <c r="H44" s="16"/>
      <c r="I44" s="16"/>
      <c r="J44" s="16"/>
    </row>
    <row r="45" customFormat="false" ht="27.75" hidden="false" customHeight="true" outlineLevel="0" collapsed="false">
      <c r="B45" s="16" t="s">
        <v>987</v>
      </c>
      <c r="C45" s="16"/>
      <c r="D45" s="16"/>
      <c r="E45" s="16"/>
      <c r="F45" s="16"/>
      <c r="G45" s="16"/>
      <c r="H45" s="16"/>
      <c r="I45" s="16"/>
      <c r="J45" s="16"/>
    </row>
    <row r="46" customFormat="false" ht="27.75" hidden="false" customHeight="true" outlineLevel="0" collapsed="false">
      <c r="B46" s="16" t="s">
        <v>988</v>
      </c>
      <c r="C46" s="16"/>
      <c r="D46" s="16"/>
      <c r="E46" s="16"/>
      <c r="F46" s="16"/>
      <c r="G46" s="16"/>
      <c r="H46" s="16"/>
      <c r="I46" s="16"/>
      <c r="J46" s="16"/>
    </row>
  </sheetData>
  <mergeCells count="3">
    <mergeCell ref="B44:J44"/>
    <mergeCell ref="B45:J45"/>
    <mergeCell ref="B46:J46"/>
  </mergeCells>
  <conditionalFormatting sqref="H6:H17">
    <cfRule type="expression" priority="2" aboveAverage="0" equalAverage="0" bottom="0" percent="0" rank="0" text="" dxfId="0">
      <formula>LEFT(H6,8)="VERIFIED"</formula>
    </cfRule>
    <cfRule type="expression" priority="3" aboveAverage="0" equalAverage="0" bottom="0" percent="0" rank="0" text="" dxfId="2">
      <formula>OR(H6="ESTIMATED",H6="CALCULATED")</formula>
    </cfRule>
    <cfRule type="expression" priority="4" aboveAverage="0" equalAverage="0" bottom="0" percent="0" rank="0" text="" dxfId="1">
      <formula>OR(H6="ASSUMED",H6="UNRESOLVED",H6="UNVERIFIED")</formula>
    </cfRule>
  </conditionalFormatting>
  <conditionalFormatting sqref="H21:H24">
    <cfRule type="expression" priority="5" aboveAverage="0" equalAverage="0" bottom="0" percent="0" rank="0" text="" dxfId="0">
      <formula>LEFT(H21,8)="VERIFIED"</formula>
    </cfRule>
    <cfRule type="expression" priority="6" aboveAverage="0" equalAverage="0" bottom="0" percent="0" rank="0" text="" dxfId="2">
      <formula>OR(H21="ESTIMATED",H21="CALCULATED")</formula>
    </cfRule>
    <cfRule type="expression" priority="7" aboveAverage="0" equalAverage="0" bottom="0" percent="0" rank="0" text="" dxfId="1">
      <formula>OR(H21="ASSUMED",H21="UNRESOLVED",H21="UNVERIFIED")</formula>
    </cfRule>
  </conditionalFormatting>
  <dataValidations count="1">
    <dataValidation allowBlank="true" error="Value outside the allowed range" errorStyle="stop" operator="between" showDropDown="false" showErrorMessage="false" showInputMessage="false" sqref="D6:F17"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J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14"/>
    <col collapsed="false" customWidth="true" hidden="false" outlineLevel="0" max="6" min="4" style="0" width="11"/>
    <col collapsed="false" customWidth="true" hidden="false" outlineLevel="0" max="7" min="7" style="0" width="14"/>
    <col collapsed="false" customWidth="true" hidden="false" outlineLevel="0" max="8" min="8" style="0" width="18"/>
    <col collapsed="false" customWidth="true" hidden="false" outlineLevel="0" max="9" min="9" style="0" width="14"/>
    <col collapsed="false" customWidth="true" hidden="false" outlineLevel="0" max="10" min="10" style="0" width="70"/>
  </cols>
  <sheetData>
    <row r="1" customFormat="false" ht="18.55" hidden="false" customHeight="false" outlineLevel="0" collapsed="false">
      <c r="A1" s="1" t="s">
        <v>989</v>
      </c>
    </row>
    <row r="2" customFormat="false" ht="15" hidden="false" customHeight="false" outlineLevel="0" collapsed="false">
      <c r="A2" s="2" t="s">
        <v>990</v>
      </c>
    </row>
    <row r="4" customFormat="false" ht="15" hidden="false" customHeight="false" outlineLevel="0" collapsed="false">
      <c r="A4" s="3" t="s">
        <v>991</v>
      </c>
      <c r="B4" s="4"/>
      <c r="C4" s="4"/>
      <c r="D4" s="4"/>
      <c r="E4" s="4"/>
      <c r="F4" s="4"/>
      <c r="G4" s="4"/>
      <c r="H4" s="4"/>
      <c r="I4" s="4"/>
      <c r="J4" s="4"/>
    </row>
    <row r="5" customFormat="false" ht="23.85" hidden="false" customHeight="false" outlineLevel="0" collapsed="false">
      <c r="A5" s="13" t="s">
        <v>279</v>
      </c>
      <c r="B5" s="13" t="s">
        <v>280</v>
      </c>
      <c r="C5" s="13" t="s">
        <v>18</v>
      </c>
      <c r="D5" s="13" t="s">
        <v>103</v>
      </c>
      <c r="E5" s="13" t="s">
        <v>104</v>
      </c>
      <c r="F5" s="13" t="s">
        <v>105</v>
      </c>
      <c r="G5" s="13" t="s">
        <v>281</v>
      </c>
      <c r="H5" s="13" t="s">
        <v>282</v>
      </c>
      <c r="I5" s="13" t="s">
        <v>283</v>
      </c>
      <c r="J5" s="13" t="s">
        <v>284</v>
      </c>
    </row>
    <row r="6" customFormat="false" ht="15" hidden="false" customHeight="false" outlineLevel="0" collapsed="false">
      <c r="A6" s="9" t="s">
        <v>992</v>
      </c>
      <c r="B6" s="16" t="s">
        <v>993</v>
      </c>
      <c r="C6" s="9" t="s">
        <v>994</v>
      </c>
      <c r="D6" s="62" t="n">
        <v>175</v>
      </c>
      <c r="E6" s="62" t="n">
        <v>200</v>
      </c>
      <c r="F6" s="62" t="n">
        <v>300</v>
      </c>
      <c r="G6" s="22" t="n">
        <f aca="false">INDEX(D6:F6,1,sel_scen)</f>
        <v>200</v>
      </c>
      <c r="H6" s="9" t="s">
        <v>303</v>
      </c>
      <c r="I6" s="16" t="s">
        <v>995</v>
      </c>
      <c r="J6" s="16"/>
    </row>
    <row r="7" customFormat="false" ht="15" hidden="false" customHeight="false" outlineLevel="0" collapsed="false">
      <c r="A7" s="9" t="s">
        <v>996</v>
      </c>
      <c r="B7" s="16" t="s">
        <v>997</v>
      </c>
      <c r="C7" s="9" t="s">
        <v>838</v>
      </c>
      <c r="D7" s="62" t="n">
        <v>35</v>
      </c>
      <c r="E7" s="62" t="n">
        <v>50</v>
      </c>
      <c r="F7" s="62" t="n">
        <v>75</v>
      </c>
      <c r="G7" s="22" t="n">
        <f aca="false">INDEX(D7:F7,1,sel_scen)</f>
        <v>50</v>
      </c>
      <c r="H7" s="9" t="s">
        <v>303</v>
      </c>
      <c r="I7" s="16" t="s">
        <v>998</v>
      </c>
      <c r="J7" s="16"/>
    </row>
    <row r="8" customFormat="false" ht="15" hidden="false" customHeight="false" outlineLevel="0" collapsed="false">
      <c r="A8" s="9" t="s">
        <v>999</v>
      </c>
      <c r="B8" s="16" t="s">
        <v>1000</v>
      </c>
      <c r="C8" s="9" t="s">
        <v>1001</v>
      </c>
      <c r="D8" s="41" t="n">
        <v>4</v>
      </c>
      <c r="E8" s="41" t="n">
        <v>6</v>
      </c>
      <c r="F8" s="41" t="n">
        <v>7</v>
      </c>
      <c r="G8" s="35" t="n">
        <f aca="false">INDEX(D8:F8,1,sel_scen)</f>
        <v>6</v>
      </c>
      <c r="H8" s="9" t="s">
        <v>303</v>
      </c>
      <c r="I8" s="16" t="s">
        <v>1002</v>
      </c>
      <c r="J8" s="16" t="s">
        <v>1003</v>
      </c>
    </row>
    <row r="9" customFormat="false" ht="15" hidden="false" customHeight="false" outlineLevel="0" collapsed="false">
      <c r="A9" s="9" t="s">
        <v>1004</v>
      </c>
      <c r="B9" s="16" t="s">
        <v>1005</v>
      </c>
      <c r="C9" s="9" t="s">
        <v>37</v>
      </c>
      <c r="D9" s="62" t="n">
        <v>50</v>
      </c>
      <c r="E9" s="62" t="n">
        <v>75</v>
      </c>
      <c r="F9" s="62" t="n">
        <v>75</v>
      </c>
      <c r="G9" s="22" t="n">
        <f aca="false">INDEX(D9:F9,1,sel_scen)</f>
        <v>75</v>
      </c>
      <c r="H9" s="9" t="s">
        <v>303</v>
      </c>
      <c r="I9" s="16" t="s">
        <v>1002</v>
      </c>
      <c r="J9" s="16"/>
    </row>
    <row r="10" customFormat="false" ht="15" hidden="false" customHeight="false" outlineLevel="0" collapsed="false">
      <c r="A10" s="9" t="s">
        <v>1006</v>
      </c>
      <c r="B10" s="16" t="s">
        <v>1007</v>
      </c>
      <c r="C10" s="9" t="s">
        <v>838</v>
      </c>
      <c r="D10" s="62" t="n">
        <v>50</v>
      </c>
      <c r="E10" s="62" t="n">
        <v>60</v>
      </c>
      <c r="F10" s="62" t="n">
        <v>75</v>
      </c>
      <c r="G10" s="22" t="n">
        <f aca="false">INDEX(D10:F10,1,sel_scen)</f>
        <v>60</v>
      </c>
      <c r="H10" s="9" t="s">
        <v>287</v>
      </c>
      <c r="I10" s="16" t="s">
        <v>1002</v>
      </c>
      <c r="J10" s="16"/>
    </row>
    <row r="11" customFormat="false" ht="15" hidden="false" customHeight="false" outlineLevel="0" collapsed="false">
      <c r="A11" s="9" t="s">
        <v>1008</v>
      </c>
      <c r="B11" s="16" t="s">
        <v>1009</v>
      </c>
      <c r="C11" s="9" t="s">
        <v>1010</v>
      </c>
      <c r="D11" s="62" t="n">
        <v>14.8</v>
      </c>
      <c r="E11" s="62" t="n">
        <v>14.8</v>
      </c>
      <c r="F11" s="62" t="n">
        <v>14.8</v>
      </c>
      <c r="G11" s="22" t="n">
        <f aca="false">INDEX(D11:F11,1,sel_scen)</f>
        <v>14.8</v>
      </c>
      <c r="H11" s="9" t="s">
        <v>576</v>
      </c>
      <c r="I11" s="16" t="s">
        <v>1011</v>
      </c>
      <c r="J11" s="16" t="s">
        <v>1012</v>
      </c>
    </row>
    <row r="12" customFormat="false" ht="15" hidden="false" customHeight="false" outlineLevel="0" collapsed="false">
      <c r="A12" s="9" t="s">
        <v>1013</v>
      </c>
      <c r="B12" s="16" t="s">
        <v>1014</v>
      </c>
      <c r="C12" s="9" t="s">
        <v>831</v>
      </c>
      <c r="D12" s="6" t="n">
        <v>0</v>
      </c>
      <c r="E12" s="6" t="n">
        <v>0</v>
      </c>
      <c r="F12" s="6" t="n">
        <v>0</v>
      </c>
      <c r="G12" s="10" t="n">
        <f aca="false">INDEX(D12:F12,1,sel_scen)</f>
        <v>0</v>
      </c>
      <c r="H12" s="9" t="s">
        <v>287</v>
      </c>
      <c r="I12" s="16" t="s">
        <v>1011</v>
      </c>
      <c r="J12" s="16" t="s">
        <v>1015</v>
      </c>
    </row>
    <row r="13" customFormat="false" ht="15" hidden="false" customHeight="false" outlineLevel="0" collapsed="false">
      <c r="A13" s="9" t="s">
        <v>1016</v>
      </c>
      <c r="B13" s="16" t="s">
        <v>1017</v>
      </c>
      <c r="C13" s="9" t="s">
        <v>838</v>
      </c>
      <c r="D13" s="62" t="n">
        <v>75</v>
      </c>
      <c r="E13" s="62" t="n">
        <v>125</v>
      </c>
      <c r="F13" s="62" t="n">
        <v>175</v>
      </c>
      <c r="G13" s="22" t="n">
        <f aca="false">INDEX(D13:F13,1,sel_scen)</f>
        <v>125</v>
      </c>
      <c r="H13" s="9" t="s">
        <v>287</v>
      </c>
      <c r="I13" s="16"/>
      <c r="J13" s="16"/>
    </row>
    <row r="14" customFormat="false" ht="15" hidden="false" customHeight="false" outlineLevel="0" collapsed="false">
      <c r="A14" s="9" t="s">
        <v>1018</v>
      </c>
      <c r="B14" s="16" t="s">
        <v>1019</v>
      </c>
      <c r="C14" s="9" t="s">
        <v>819</v>
      </c>
      <c r="D14" s="62" t="n">
        <v>0</v>
      </c>
      <c r="E14" s="62" t="n">
        <v>0</v>
      </c>
      <c r="F14" s="62" t="n">
        <v>350</v>
      </c>
      <c r="G14" s="22" t="n">
        <f aca="false">INDEX(D14:F14,1,sel_scen)</f>
        <v>0</v>
      </c>
      <c r="H14" s="9" t="s">
        <v>303</v>
      </c>
      <c r="I14" s="16" t="s">
        <v>1020</v>
      </c>
      <c r="J14" s="16"/>
    </row>
    <row r="15" customFormat="false" ht="15" hidden="false" customHeight="false" outlineLevel="0" collapsed="false">
      <c r="A15" s="9" t="s">
        <v>1021</v>
      </c>
      <c r="B15" s="16" t="s">
        <v>1022</v>
      </c>
      <c r="C15" s="9" t="s">
        <v>819</v>
      </c>
      <c r="D15" s="62" t="n">
        <v>0</v>
      </c>
      <c r="E15" s="62" t="n">
        <v>0</v>
      </c>
      <c r="F15" s="62" t="n">
        <v>250</v>
      </c>
      <c r="G15" s="22" t="n">
        <f aca="false">INDEX(D15:F15,1,sel_scen)</f>
        <v>0</v>
      </c>
      <c r="H15" s="9" t="s">
        <v>287</v>
      </c>
      <c r="I15" s="16" t="s">
        <v>1020</v>
      </c>
      <c r="J15" s="16"/>
    </row>
    <row r="16" customFormat="false" ht="15" hidden="false" customHeight="false" outlineLevel="0" collapsed="false">
      <c r="A16" s="9" t="s">
        <v>1023</v>
      </c>
      <c r="B16" s="16" t="s">
        <v>1024</v>
      </c>
      <c r="C16" s="9" t="s">
        <v>302</v>
      </c>
      <c r="D16" s="48" t="n">
        <v>0</v>
      </c>
      <c r="E16" s="48" t="n">
        <v>0</v>
      </c>
      <c r="F16" s="48" t="n">
        <v>3</v>
      </c>
      <c r="G16" s="49" t="n">
        <f aca="false">INDEX(D16:F16,1,sel_scen)</f>
        <v>0</v>
      </c>
      <c r="H16" s="9" t="s">
        <v>287</v>
      </c>
      <c r="I16" s="16" t="s">
        <v>1025</v>
      </c>
      <c r="J16" s="16"/>
    </row>
    <row r="17" customFormat="false" ht="15" hidden="false" customHeight="false" outlineLevel="0" collapsed="false">
      <c r="A17" s="9" t="s">
        <v>1026</v>
      </c>
      <c r="B17" s="16" t="s">
        <v>1027</v>
      </c>
      <c r="C17" s="9" t="s">
        <v>849</v>
      </c>
      <c r="D17" s="62" t="n">
        <v>150</v>
      </c>
      <c r="E17" s="62" t="n">
        <v>200</v>
      </c>
      <c r="F17" s="62" t="n">
        <v>250</v>
      </c>
      <c r="G17" s="22" t="n">
        <f aca="false">INDEX(D17:F17,1,sel_scen)</f>
        <v>200</v>
      </c>
      <c r="H17" s="9" t="s">
        <v>303</v>
      </c>
      <c r="I17" s="16" t="s">
        <v>1025</v>
      </c>
      <c r="J17" s="16"/>
    </row>
    <row r="19" customFormat="false" ht="15" hidden="false" customHeight="false" outlineLevel="0" collapsed="false">
      <c r="A19" s="3" t="s">
        <v>1028</v>
      </c>
      <c r="B19" s="4"/>
      <c r="C19" s="4"/>
      <c r="D19" s="4"/>
      <c r="E19" s="4"/>
      <c r="F19" s="4"/>
      <c r="G19" s="4"/>
      <c r="H19" s="4"/>
      <c r="I19" s="4"/>
      <c r="J19" s="4"/>
    </row>
    <row r="20" customFormat="false" ht="15" hidden="false" customHeight="false" outlineLevel="0" collapsed="false">
      <c r="B20" s="9" t="s">
        <v>1029</v>
      </c>
      <c r="D20" s="22" t="n">
        <f aca="false">INDEX(eng_STB,sel_row)</f>
        <v>76.7618045087428</v>
      </c>
    </row>
    <row r="21" customFormat="false" ht="15" hidden="false" customHeight="false" outlineLevel="0" collapsed="false">
      <c r="B21" s="9" t="s">
        <v>1030</v>
      </c>
      <c r="D21" s="22" t="n">
        <f aca="false">INDEX(eng_US_SHP,sel_row)</f>
        <v>511.761804508743</v>
      </c>
    </row>
    <row r="22" customFormat="false" ht="15" hidden="false" customHeight="false" outlineLevel="0" collapsed="false">
      <c r="B22" s="9" t="s">
        <v>1031</v>
      </c>
      <c r="D22" s="22" t="n">
        <f aca="false">INDEX(eng_CFC,sel_row)</f>
        <v>29.6</v>
      </c>
    </row>
    <row r="23" customFormat="false" ht="15" hidden="false" customHeight="false" outlineLevel="0" collapsed="false">
      <c r="B23" s="9" t="s">
        <v>1032</v>
      </c>
      <c r="D23" s="22" t="n">
        <f aca="false">INDEX(eng_EXAM,sel_row)</f>
        <v>0</v>
      </c>
    </row>
    <row r="24" customFormat="false" ht="15" hidden="false" customHeight="false" outlineLevel="0" collapsed="false">
      <c r="B24" s="9" t="s">
        <v>1033</v>
      </c>
      <c r="D24" s="22" t="n">
        <f aca="false">INDEX(eng_DEM,sel_row)</f>
        <v>0</v>
      </c>
    </row>
    <row r="25" customFormat="false" ht="15" hidden="false" customHeight="false" outlineLevel="0" collapsed="false">
      <c r="B25" s="9" t="s">
        <v>1034</v>
      </c>
      <c r="D25" s="22" t="n">
        <f aca="false">INDEX(eng_MPF,sel_row)</f>
        <v>39.2286441256054</v>
      </c>
    </row>
    <row r="26" customFormat="false" ht="15" hidden="false" customHeight="false" outlineLevel="0" collapsed="false">
      <c r="B26" s="9" t="s">
        <v>1035</v>
      </c>
      <c r="D26" s="22" t="n">
        <f aca="false">INDEX(eng_HMF,sel_row)</f>
        <v>14.1558328975193</v>
      </c>
    </row>
    <row r="27" customFormat="false" ht="15" hidden="false" customHeight="false" outlineLevel="0" collapsed="false">
      <c r="B27" s="9" t="s">
        <v>1036</v>
      </c>
      <c r="D27" s="22" t="n">
        <f aca="false">INDEX(eng_DUTY,sel_row)</f>
        <v>1415.58328975193</v>
      </c>
    </row>
    <row r="29" customFormat="false" ht="15" hidden="false" customHeight="false" outlineLevel="0" collapsed="false">
      <c r="A29" s="3" t="s">
        <v>1037</v>
      </c>
      <c r="B29" s="4"/>
      <c r="C29" s="4"/>
      <c r="D29" s="4"/>
      <c r="E29" s="4"/>
      <c r="F29" s="4"/>
      <c r="G29" s="4"/>
      <c r="H29" s="4"/>
      <c r="I29" s="4"/>
      <c r="J29" s="4"/>
    </row>
    <row r="30" customFormat="false" ht="15" hidden="false" customHeight="false" outlineLevel="0" collapsed="false">
      <c r="A30" s="13"/>
      <c r="B30" s="13" t="s">
        <v>872</v>
      </c>
      <c r="C30" s="13" t="s">
        <v>589</v>
      </c>
      <c r="D30" s="13" t="s">
        <v>1038</v>
      </c>
      <c r="E30" s="13"/>
      <c r="F30" s="13"/>
      <c r="G30" s="13"/>
      <c r="H30" s="13" t="s">
        <v>282</v>
      </c>
      <c r="I30" s="13" t="s">
        <v>523</v>
      </c>
      <c r="J30" s="13" t="s">
        <v>19</v>
      </c>
    </row>
    <row r="31" customFormat="false" ht="15" hidden="false" customHeight="false" outlineLevel="0" collapsed="false">
      <c r="B31" s="16" t="s">
        <v>1039</v>
      </c>
      <c r="C31" s="9" t="s">
        <v>1040</v>
      </c>
      <c r="D31" s="9" t="s">
        <v>1041</v>
      </c>
      <c r="H31" s="9" t="s">
        <v>576</v>
      </c>
      <c r="I31" s="9" t="s">
        <v>1042</v>
      </c>
      <c r="J31" s="16" t="s">
        <v>1043</v>
      </c>
    </row>
    <row r="32" customFormat="false" ht="15" hidden="false" customHeight="false" outlineLevel="0" collapsed="false">
      <c r="B32" s="16" t="s">
        <v>1044</v>
      </c>
      <c r="C32" s="9" t="s">
        <v>1040</v>
      </c>
      <c r="D32" s="9" t="s">
        <v>1045</v>
      </c>
      <c r="H32" s="9" t="s">
        <v>287</v>
      </c>
      <c r="I32" s="9"/>
      <c r="J32" s="16"/>
    </row>
    <row r="33" customFormat="false" ht="15" hidden="false" customHeight="false" outlineLevel="0" collapsed="false">
      <c r="B33" s="16" t="s">
        <v>1046</v>
      </c>
      <c r="C33" s="9" t="s">
        <v>1047</v>
      </c>
      <c r="D33" s="9" t="s">
        <v>1048</v>
      </c>
      <c r="H33" s="9" t="s">
        <v>287</v>
      </c>
      <c r="I33" s="9"/>
      <c r="J33" s="16" t="s">
        <v>1049</v>
      </c>
    </row>
    <row r="34" customFormat="false" ht="15" hidden="false" customHeight="false" outlineLevel="0" collapsed="false">
      <c r="B34" s="16" t="s">
        <v>1050</v>
      </c>
      <c r="C34" s="9" t="s">
        <v>1051</v>
      </c>
      <c r="D34" s="9" t="s">
        <v>1052</v>
      </c>
      <c r="H34" s="9" t="s">
        <v>303</v>
      </c>
      <c r="I34" s="9" t="s">
        <v>1002</v>
      </c>
      <c r="J34" s="16" t="s">
        <v>1053</v>
      </c>
    </row>
    <row r="35" customFormat="false" ht="15" hidden="false" customHeight="false" outlineLevel="0" collapsed="false">
      <c r="B35" s="16" t="s">
        <v>1054</v>
      </c>
      <c r="C35" s="9" t="s">
        <v>1055</v>
      </c>
      <c r="D35" s="9" t="s">
        <v>1056</v>
      </c>
      <c r="H35" s="9" t="s">
        <v>303</v>
      </c>
      <c r="I35" s="9" t="s">
        <v>1002</v>
      </c>
      <c r="J35" s="16" t="s">
        <v>1057</v>
      </c>
    </row>
    <row r="36" customFormat="false" ht="15" hidden="false" customHeight="false" outlineLevel="0" collapsed="false">
      <c r="B36" s="16" t="s">
        <v>1058</v>
      </c>
      <c r="C36" s="9" t="s">
        <v>1055</v>
      </c>
      <c r="D36" s="9" t="s">
        <v>554</v>
      </c>
      <c r="H36" s="9" t="s">
        <v>303</v>
      </c>
      <c r="I36" s="9" t="s">
        <v>995</v>
      </c>
      <c r="J36" s="16"/>
    </row>
    <row r="37" customFormat="false" ht="15" hidden="false" customHeight="false" outlineLevel="0" collapsed="false">
      <c r="B37" s="16" t="s">
        <v>1059</v>
      </c>
      <c r="C37" s="9" t="s">
        <v>1055</v>
      </c>
      <c r="D37" s="9" t="s">
        <v>1060</v>
      </c>
      <c r="H37" s="9" t="s">
        <v>303</v>
      </c>
      <c r="I37" s="9" t="s">
        <v>995</v>
      </c>
      <c r="J37" s="16" t="s">
        <v>1061</v>
      </c>
    </row>
    <row r="38" customFormat="false" ht="15" hidden="false" customHeight="false" outlineLevel="0" collapsed="false">
      <c r="B38" s="16" t="s">
        <v>1062</v>
      </c>
      <c r="C38" s="9" t="s">
        <v>1063</v>
      </c>
      <c r="D38" s="9" t="s">
        <v>1064</v>
      </c>
      <c r="H38" s="9" t="s">
        <v>576</v>
      </c>
      <c r="I38" s="9" t="s">
        <v>1065</v>
      </c>
      <c r="J38" s="16"/>
    </row>
    <row r="39" customFormat="false" ht="15" hidden="false" customHeight="false" outlineLevel="0" collapsed="false">
      <c r="B39" s="16" t="s">
        <v>1066</v>
      </c>
      <c r="C39" s="9" t="s">
        <v>1067</v>
      </c>
      <c r="D39" s="9" t="s">
        <v>1064</v>
      </c>
      <c r="H39" s="9" t="s">
        <v>576</v>
      </c>
      <c r="I39" s="9" t="s">
        <v>1068</v>
      </c>
      <c r="J39" s="16"/>
    </row>
    <row r="40" customFormat="false" ht="15" hidden="false" customHeight="false" outlineLevel="0" collapsed="false">
      <c r="B40" s="16" t="s">
        <v>1069</v>
      </c>
      <c r="C40" s="9" t="s">
        <v>489</v>
      </c>
      <c r="D40" s="9" t="s">
        <v>1070</v>
      </c>
      <c r="H40" s="9" t="s">
        <v>576</v>
      </c>
      <c r="I40" s="9" t="s">
        <v>1071</v>
      </c>
      <c r="J40" s="16" t="s">
        <v>1072</v>
      </c>
    </row>
    <row r="42" customFormat="false" ht="15" hidden="false" customHeight="false" outlineLevel="0" collapsed="false">
      <c r="A42" s="3" t="s">
        <v>1073</v>
      </c>
      <c r="B42" s="4"/>
      <c r="C42" s="4"/>
      <c r="D42" s="4"/>
      <c r="E42" s="4"/>
      <c r="F42" s="4"/>
      <c r="G42" s="4"/>
      <c r="H42" s="4"/>
      <c r="I42" s="4"/>
      <c r="J42" s="4"/>
    </row>
    <row r="43" customFormat="false" ht="30" hidden="false" customHeight="true" outlineLevel="0" collapsed="false">
      <c r="B43" s="16" t="s">
        <v>1074</v>
      </c>
      <c r="C43" s="16"/>
      <c r="D43" s="16"/>
      <c r="E43" s="16"/>
      <c r="F43" s="16"/>
      <c r="G43" s="16"/>
      <c r="H43" s="16"/>
      <c r="I43" s="16"/>
      <c r="J43" s="16"/>
    </row>
    <row r="44" customFormat="false" ht="30" hidden="false" customHeight="true" outlineLevel="0" collapsed="false">
      <c r="B44" s="16" t="s">
        <v>1075</v>
      </c>
      <c r="C44" s="16"/>
      <c r="D44" s="16"/>
      <c r="E44" s="16"/>
      <c r="F44" s="16"/>
      <c r="G44" s="16"/>
      <c r="H44" s="16"/>
      <c r="I44" s="16"/>
      <c r="J44" s="16"/>
    </row>
    <row r="45" customFormat="false" ht="30" hidden="false" customHeight="true" outlineLevel="0" collapsed="false">
      <c r="B45" s="16" t="s">
        <v>1076</v>
      </c>
      <c r="C45" s="16"/>
      <c r="D45" s="16"/>
      <c r="E45" s="16"/>
      <c r="F45" s="16"/>
      <c r="G45" s="16"/>
      <c r="H45" s="16"/>
      <c r="I45" s="16"/>
      <c r="J45" s="16"/>
    </row>
    <row r="46" customFormat="false" ht="30" hidden="false" customHeight="true" outlineLevel="0" collapsed="false">
      <c r="B46" s="16" t="s">
        <v>1077</v>
      </c>
      <c r="C46" s="16"/>
      <c r="D46" s="16"/>
      <c r="E46" s="16"/>
      <c r="F46" s="16"/>
      <c r="G46" s="16"/>
      <c r="H46" s="16"/>
      <c r="I46" s="16"/>
      <c r="J46" s="16"/>
    </row>
    <row r="47" customFormat="false" ht="30" hidden="false" customHeight="true" outlineLevel="0" collapsed="false">
      <c r="B47" s="16" t="s">
        <v>1078</v>
      </c>
      <c r="C47" s="16"/>
      <c r="D47" s="16"/>
      <c r="E47" s="16"/>
      <c r="F47" s="16"/>
      <c r="G47" s="16"/>
      <c r="H47" s="16"/>
      <c r="I47" s="16"/>
      <c r="J47" s="16"/>
    </row>
    <row r="48" customFormat="false" ht="30" hidden="false" customHeight="true" outlineLevel="0" collapsed="false">
      <c r="B48" s="16" t="s">
        <v>1079</v>
      </c>
      <c r="C48" s="16"/>
      <c r="D48" s="16"/>
      <c r="E48" s="16"/>
      <c r="F48" s="16"/>
      <c r="G48" s="16"/>
      <c r="H48" s="16"/>
      <c r="I48" s="16"/>
      <c r="J48" s="16"/>
    </row>
    <row r="49" customFormat="false" ht="30" hidden="false" customHeight="true" outlineLevel="0" collapsed="false">
      <c r="B49" s="16" t="s">
        <v>1080</v>
      </c>
      <c r="C49" s="16"/>
      <c r="D49" s="16"/>
      <c r="E49" s="16"/>
      <c r="F49" s="16"/>
      <c r="G49" s="16"/>
      <c r="H49" s="16"/>
      <c r="I49" s="16"/>
      <c r="J49" s="16"/>
    </row>
    <row r="50" customFormat="false" ht="30" hidden="false" customHeight="true" outlineLevel="0" collapsed="false">
      <c r="B50" s="16" t="s">
        <v>1081</v>
      </c>
      <c r="C50" s="16"/>
      <c r="D50" s="16"/>
      <c r="E50" s="16"/>
      <c r="F50" s="16"/>
      <c r="G50" s="16"/>
      <c r="H50" s="16"/>
      <c r="I50" s="16"/>
      <c r="J50" s="16"/>
    </row>
    <row r="51" customFormat="false" ht="30" hidden="false" customHeight="true" outlineLevel="0" collapsed="false">
      <c r="B51" s="16" t="s">
        <v>1082</v>
      </c>
      <c r="C51" s="16"/>
      <c r="D51" s="16"/>
      <c r="E51" s="16"/>
      <c r="F51" s="16"/>
      <c r="G51" s="16"/>
      <c r="H51" s="16"/>
      <c r="I51" s="16"/>
      <c r="J51" s="16"/>
    </row>
    <row r="52" customFormat="false" ht="30" hidden="false" customHeight="true" outlineLevel="0" collapsed="false">
      <c r="B52" s="16" t="s">
        <v>1083</v>
      </c>
      <c r="C52" s="16"/>
      <c r="D52" s="16"/>
      <c r="E52" s="16"/>
      <c r="F52" s="16"/>
      <c r="G52" s="16"/>
      <c r="H52" s="16"/>
      <c r="I52" s="16"/>
      <c r="J52" s="16"/>
    </row>
    <row r="53" customFormat="false" ht="30" hidden="false" customHeight="true" outlineLevel="0" collapsed="false">
      <c r="B53" s="16" t="s">
        <v>1084</v>
      </c>
      <c r="C53" s="16"/>
      <c r="D53" s="16"/>
      <c r="E53" s="16"/>
      <c r="F53" s="16"/>
      <c r="G53" s="16"/>
      <c r="H53" s="16"/>
      <c r="I53" s="16"/>
      <c r="J53" s="16"/>
    </row>
    <row r="54" customFormat="false" ht="30" hidden="false" customHeight="true" outlineLevel="0" collapsed="false">
      <c r="B54" s="16" t="s">
        <v>1085</v>
      </c>
      <c r="C54" s="16"/>
      <c r="D54" s="16"/>
      <c r="E54" s="16"/>
      <c r="F54" s="16"/>
      <c r="G54" s="16"/>
      <c r="H54" s="16"/>
      <c r="I54" s="16"/>
      <c r="J54" s="16"/>
    </row>
    <row r="56" customFormat="false" ht="15" hidden="false" customHeight="false" outlineLevel="0" collapsed="false">
      <c r="A56" s="3" t="s">
        <v>1086</v>
      </c>
      <c r="B56" s="4"/>
      <c r="C56" s="4"/>
      <c r="D56" s="4"/>
      <c r="E56" s="4"/>
      <c r="F56" s="4"/>
      <c r="G56" s="4"/>
      <c r="H56" s="4"/>
      <c r="I56" s="4"/>
      <c r="J56" s="4"/>
    </row>
    <row r="57" customFormat="false" ht="23.85" hidden="false" customHeight="false" outlineLevel="0" collapsed="false">
      <c r="A57" s="13"/>
      <c r="B57" s="13" t="s">
        <v>1087</v>
      </c>
      <c r="C57" s="13" t="s">
        <v>1088</v>
      </c>
      <c r="D57" s="13" t="s">
        <v>1089</v>
      </c>
      <c r="E57" s="13" t="s">
        <v>1090</v>
      </c>
      <c r="F57" s="13" t="s">
        <v>1091</v>
      </c>
      <c r="G57" s="13" t="s">
        <v>1092</v>
      </c>
      <c r="H57" s="13" t="s">
        <v>1093</v>
      </c>
      <c r="I57" s="13" t="s">
        <v>1094</v>
      </c>
      <c r="J57" s="13" t="s">
        <v>1095</v>
      </c>
    </row>
    <row r="58" customFormat="false" ht="42" hidden="false" customHeight="true" outlineLevel="0" collapsed="false">
      <c r="B58" s="16" t="s">
        <v>1096</v>
      </c>
      <c r="C58" s="16" t="s">
        <v>1097</v>
      </c>
      <c r="D58" s="16" t="s">
        <v>1098</v>
      </c>
      <c r="E58" s="16" t="s">
        <v>1099</v>
      </c>
      <c r="F58" s="16" t="s">
        <v>1100</v>
      </c>
      <c r="G58" s="16" t="s">
        <v>1100</v>
      </c>
      <c r="H58" s="16" t="s">
        <v>1101</v>
      </c>
      <c r="I58" s="16" t="s">
        <v>1102</v>
      </c>
      <c r="J58" s="16" t="s">
        <v>1103</v>
      </c>
    </row>
    <row r="59" customFormat="false" ht="42" hidden="false" customHeight="true" outlineLevel="0" collapsed="false">
      <c r="B59" s="16" t="s">
        <v>1104</v>
      </c>
      <c r="C59" s="16" t="s">
        <v>1105</v>
      </c>
      <c r="D59" s="16" t="s">
        <v>1106</v>
      </c>
      <c r="E59" s="16" t="s">
        <v>1107</v>
      </c>
      <c r="F59" s="16" t="s">
        <v>1100</v>
      </c>
      <c r="G59" s="16" t="s">
        <v>1100</v>
      </c>
      <c r="H59" s="16" t="s">
        <v>1108</v>
      </c>
      <c r="I59" s="16" t="s">
        <v>1109</v>
      </c>
      <c r="J59" s="16" t="s">
        <v>1110</v>
      </c>
    </row>
    <row r="60" customFormat="false" ht="42" hidden="false" customHeight="true" outlineLevel="0" collapsed="false">
      <c r="B60" s="16" t="s">
        <v>1111</v>
      </c>
      <c r="C60" s="16" t="s">
        <v>1105</v>
      </c>
      <c r="D60" s="16" t="s">
        <v>1112</v>
      </c>
      <c r="E60" s="16" t="s">
        <v>1113</v>
      </c>
      <c r="F60" s="16" t="s">
        <v>1100</v>
      </c>
      <c r="G60" s="16" t="s">
        <v>1114</v>
      </c>
      <c r="H60" s="16" t="s">
        <v>1115</v>
      </c>
      <c r="I60" s="16" t="s">
        <v>1116</v>
      </c>
      <c r="J60" s="16" t="s">
        <v>1117</v>
      </c>
    </row>
    <row r="61" customFormat="false" ht="42" hidden="false" customHeight="true" outlineLevel="0" collapsed="false">
      <c r="B61" s="16" t="s">
        <v>1118</v>
      </c>
      <c r="C61" s="16" t="s">
        <v>1105</v>
      </c>
      <c r="D61" s="16" t="s">
        <v>1119</v>
      </c>
      <c r="E61" s="16" t="s">
        <v>1120</v>
      </c>
      <c r="F61" s="16" t="s">
        <v>1121</v>
      </c>
      <c r="G61" s="16" t="s">
        <v>1122</v>
      </c>
      <c r="H61" s="16" t="s">
        <v>1115</v>
      </c>
      <c r="I61" s="16" t="s">
        <v>1123</v>
      </c>
      <c r="J61" s="16" t="s">
        <v>1124</v>
      </c>
    </row>
    <row r="63" customFormat="false" ht="15" hidden="false" customHeight="true" outlineLevel="0" collapsed="false">
      <c r="B63" s="16" t="s">
        <v>1125</v>
      </c>
      <c r="C63" s="16"/>
      <c r="D63" s="16"/>
      <c r="E63" s="16"/>
      <c r="F63" s="16"/>
      <c r="G63" s="16"/>
      <c r="H63" s="16"/>
      <c r="I63" s="16"/>
      <c r="J63" s="16"/>
    </row>
  </sheetData>
  <mergeCells count="13">
    <mergeCell ref="B43:J43"/>
    <mergeCell ref="B44:J44"/>
    <mergeCell ref="B45:J45"/>
    <mergeCell ref="B46:J46"/>
    <mergeCell ref="B47:J47"/>
    <mergeCell ref="B48:J48"/>
    <mergeCell ref="B49:J49"/>
    <mergeCell ref="B50:J50"/>
    <mergeCell ref="B51:J51"/>
    <mergeCell ref="B52:J52"/>
    <mergeCell ref="B53:J53"/>
    <mergeCell ref="B54:J54"/>
    <mergeCell ref="B63:J63"/>
  </mergeCells>
  <conditionalFormatting sqref="H6:H17">
    <cfRule type="expression" priority="2" aboveAverage="0" equalAverage="0" bottom="0" percent="0" rank="0" text="" dxfId="0">
      <formula>LEFT(H6,8)="VERIFIED"</formula>
    </cfRule>
    <cfRule type="expression" priority="3" aboveAverage="0" equalAverage="0" bottom="0" percent="0" rank="0" text="" dxfId="2">
      <formula>OR(H6="ESTIMATED",H6="CALCULATED")</formula>
    </cfRule>
    <cfRule type="expression" priority="4" aboveAverage="0" equalAverage="0" bottom="0" percent="0" rank="0" text="" dxfId="1">
      <formula>OR(H6="ASSUMED",H6="UNRESOLVED",H6="UNVERIFIED")</formula>
    </cfRule>
  </conditionalFormatting>
  <dataValidations count="1">
    <dataValidation allowBlank="true" error="Value outside the allowed range" errorStyle="stop" operator="between" showDropDown="false" showErrorMessage="false" showInputMessage="false" sqref="D6:F17"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Q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52"/>
    <col collapsed="false" customWidth="true" hidden="false" outlineLevel="0" max="4" min="4" style="0" width="8"/>
    <col collapsed="false" customWidth="true" hidden="false" outlineLevel="0" max="13" min="5" style="0" width="9"/>
    <col collapsed="false" customWidth="true" hidden="false" outlineLevel="0" max="14" min="14" style="0" width="7"/>
    <col collapsed="false" customWidth="true" hidden="false" outlineLevel="0" max="17" min="15" style="0" width="14"/>
  </cols>
  <sheetData>
    <row r="1" customFormat="false" ht="18.55" hidden="false" customHeight="false" outlineLevel="0" collapsed="false">
      <c r="A1" s="1" t="s">
        <v>1126</v>
      </c>
    </row>
    <row r="2" customFormat="false" ht="15" hidden="false" customHeight="false" outlineLevel="0" collapsed="false">
      <c r="A2" s="2" t="s">
        <v>1127</v>
      </c>
    </row>
    <row r="4" customFormat="false" ht="15" hidden="false" customHeight="false" outlineLevel="0" collapsed="false">
      <c r="A4" s="3" t="s">
        <v>1128</v>
      </c>
      <c r="B4" s="4"/>
      <c r="C4" s="4"/>
      <c r="D4" s="4"/>
      <c r="E4" s="4"/>
      <c r="F4" s="4"/>
      <c r="G4" s="4"/>
      <c r="H4" s="4"/>
      <c r="I4" s="4"/>
      <c r="J4" s="4"/>
      <c r="K4" s="4"/>
      <c r="L4" s="4"/>
      <c r="M4" s="4"/>
      <c r="N4" s="4"/>
      <c r="O4" s="4"/>
      <c r="P4" s="4"/>
      <c r="Q4" s="4"/>
    </row>
    <row r="5" customFormat="false" ht="23.85" hidden="false" customHeight="false" outlineLevel="0" collapsed="false">
      <c r="A5" s="13" t="s">
        <v>356</v>
      </c>
      <c r="B5" s="13" t="s">
        <v>924</v>
      </c>
      <c r="C5" s="13" t="s">
        <v>1129</v>
      </c>
      <c r="D5" s="13" t="s">
        <v>1130</v>
      </c>
      <c r="E5" s="13" t="s">
        <v>1131</v>
      </c>
      <c r="F5" s="13" t="s">
        <v>1132</v>
      </c>
      <c r="G5" s="13" t="s">
        <v>1133</v>
      </c>
      <c r="H5" s="13" t="s">
        <v>1134</v>
      </c>
      <c r="I5" s="13" t="s">
        <v>1135</v>
      </c>
      <c r="J5" s="13" t="s">
        <v>1136</v>
      </c>
      <c r="K5" s="13" t="s">
        <v>1137</v>
      </c>
      <c r="L5" s="13" t="s">
        <v>1138</v>
      </c>
      <c r="M5" s="13" t="s">
        <v>1139</v>
      </c>
      <c r="N5" s="13" t="s">
        <v>1140</v>
      </c>
      <c r="O5" s="13" t="s">
        <v>1141</v>
      </c>
      <c r="P5" s="13" t="s">
        <v>104</v>
      </c>
      <c r="Q5" s="13" t="s">
        <v>105</v>
      </c>
    </row>
    <row r="6" customFormat="false" ht="15" hidden="false" customHeight="false" outlineLevel="0" collapsed="false">
      <c r="A6" s="5" t="n">
        <v>1</v>
      </c>
      <c r="B6" s="9" t="s">
        <v>1142</v>
      </c>
      <c r="C6" s="16" t="s">
        <v>1143</v>
      </c>
      <c r="D6" s="6" t="n">
        <v>28</v>
      </c>
      <c r="E6" s="64" t="n">
        <v>500</v>
      </c>
      <c r="F6" s="64" t="n">
        <v>650</v>
      </c>
      <c r="G6" s="64" t="n">
        <v>800</v>
      </c>
      <c r="H6" s="64" t="n">
        <v>30</v>
      </c>
      <c r="I6" s="64" t="n">
        <v>40</v>
      </c>
      <c r="J6" s="64" t="n">
        <v>50</v>
      </c>
      <c r="K6" s="64" t="n">
        <v>28</v>
      </c>
      <c r="L6" s="64" t="n">
        <v>35</v>
      </c>
      <c r="M6" s="64" t="n">
        <v>45</v>
      </c>
      <c r="N6" s="6" t="n">
        <v>1</v>
      </c>
      <c r="O6" s="65" t="n">
        <f aca="false">E6*(1+INDEX(in_dra_fsc,1,1))+H6+INDEX(in_dra_chassis_days,1,1)*K6*(1-INDEX(in_dra_chassis_in_dray,1,1))+INDEX(in_dra_wait_hours,1,1)*INDEX(in_dra_wait_rate,1,1)+INDEX(in_dra_split,1,1)+INDEX(in_dra_prepull,1,1)+INDEX(in_dra_dryrun,1,1)+INDEX(in_dra_unload_40,1,1)*(1-INDEX(in_dra_unload_in_dray,1,1))</f>
        <v>911</v>
      </c>
      <c r="P6" s="65" t="n">
        <f aca="false">F6*(1+INDEX(in_dra_fsc,1,2))+I6+INDEX(in_dra_chassis_days,1,2)*L6*(1-INDEX(in_dra_chassis_in_dray,1,2))+INDEX(in_dra_wait_hours,1,2)*INDEX(in_dra_wait_rate,1,2)+INDEX(in_dra_split,1,2)+INDEX(in_dra_prepull,1,2)+INDEX(in_dra_dryrun,1,2)+INDEX(in_dra_unload_40,1,2)*(1-INDEX(in_dra_unload_in_dray,1,2))</f>
        <v>1510</v>
      </c>
      <c r="Q6" s="65" t="n">
        <f aca="false">G6*(1+INDEX(in_dra_fsc,1,3))+J6+INDEX(in_dra_chassis_days,1,3)*M6*(1-INDEX(in_dra_chassis_in_dray,1,3))+INDEX(in_dra_wait_hours,1,3)*INDEX(in_dra_wait_rate,1,3)+INDEX(in_dra_split,1,3)+INDEX(in_dra_prepull,1,3)+INDEX(in_dra_dryrun,1,3)+INDEX(in_dra_unload_40,1,3)*(1-INDEX(in_dra_unload_in_dray,1,3))</f>
        <v>2930</v>
      </c>
    </row>
    <row r="7" customFormat="false" ht="15" hidden="false" customHeight="false" outlineLevel="0" collapsed="false">
      <c r="A7" s="5" t="n">
        <v>2</v>
      </c>
      <c r="B7" s="9" t="s">
        <v>1142</v>
      </c>
      <c r="C7" s="16" t="s">
        <v>1144</v>
      </c>
      <c r="D7" s="6" t="n">
        <v>22</v>
      </c>
      <c r="E7" s="64" t="n">
        <v>600</v>
      </c>
      <c r="F7" s="64" t="n">
        <v>800</v>
      </c>
      <c r="G7" s="64" t="n">
        <v>1000</v>
      </c>
      <c r="H7" s="64" t="n">
        <v>120</v>
      </c>
      <c r="I7" s="64" t="n">
        <v>150</v>
      </c>
      <c r="J7" s="64" t="n">
        <v>180</v>
      </c>
      <c r="K7" s="64" t="n">
        <v>28</v>
      </c>
      <c r="L7" s="64" t="n">
        <v>35</v>
      </c>
      <c r="M7" s="64" t="n">
        <v>45</v>
      </c>
      <c r="N7" s="6" t="n">
        <v>1</v>
      </c>
      <c r="O7" s="65" t="n">
        <f aca="false">E7*(1+INDEX(in_dra_fsc,1,1))+H7+INDEX(in_dra_chassis_days,1,1)*K7*(1-INDEX(in_dra_chassis_in_dray,1,1))+INDEX(in_dra_wait_hours,1,1)*INDEX(in_dra_wait_rate,1,1)+INDEX(in_dra_split,1,1)+INDEX(in_dra_prepull,1,1)+INDEX(in_dra_dryrun,1,1)+INDEX(in_dra_unload_40,1,1)*(1-INDEX(in_dra_unload_in_dray,1,1))</f>
        <v>1116</v>
      </c>
      <c r="P7" s="65" t="n">
        <f aca="false">F7*(1+INDEX(in_dra_fsc,1,2))+I7+INDEX(in_dra_chassis_days,1,2)*L7*(1-INDEX(in_dra_chassis_in_dray,1,2))+INDEX(in_dra_wait_hours,1,2)*INDEX(in_dra_wait_rate,1,2)+INDEX(in_dra_split,1,2)+INDEX(in_dra_prepull,1,2)+INDEX(in_dra_dryrun,1,2)+INDEX(in_dra_unload_40,1,2)*(1-INDEX(in_dra_unload_in_dray,1,2))</f>
        <v>1800</v>
      </c>
      <c r="Q7" s="65" t="n">
        <f aca="false">G7*(1+INDEX(in_dra_fsc,1,3))+J7+INDEX(in_dra_chassis_days,1,3)*M7*(1-INDEX(in_dra_chassis_in_dray,1,3))+INDEX(in_dra_wait_hours,1,3)*INDEX(in_dra_wait_rate,1,3)+INDEX(in_dra_split,1,3)+INDEX(in_dra_prepull,1,3)+INDEX(in_dra_dryrun,1,3)+INDEX(in_dra_unload_40,1,3)*(1-INDEX(in_dra_unload_in_dray,1,3))</f>
        <v>3310</v>
      </c>
    </row>
    <row r="8" customFormat="false" ht="23.85" hidden="false" customHeight="false" outlineLevel="0" collapsed="false">
      <c r="A8" s="5" t="n">
        <v>3</v>
      </c>
      <c r="B8" s="9" t="s">
        <v>927</v>
      </c>
      <c r="C8" s="16" t="s">
        <v>1145</v>
      </c>
      <c r="D8" s="6" t="n">
        <v>15</v>
      </c>
      <c r="E8" s="64" t="n">
        <v>450</v>
      </c>
      <c r="F8" s="64" t="n">
        <v>550</v>
      </c>
      <c r="G8" s="64" t="n">
        <v>700</v>
      </c>
      <c r="H8" s="64" t="n">
        <v>0</v>
      </c>
      <c r="I8" s="64" t="n">
        <v>10</v>
      </c>
      <c r="J8" s="64" t="n">
        <v>20</v>
      </c>
      <c r="K8" s="64" t="n">
        <v>25</v>
      </c>
      <c r="L8" s="64" t="n">
        <v>32</v>
      </c>
      <c r="M8" s="64" t="n">
        <v>40</v>
      </c>
      <c r="N8" s="6" t="n">
        <v>2</v>
      </c>
      <c r="O8" s="65" t="n">
        <f aca="false">E8*(1+INDEX(in_dra_fsc,1,1))+H8+INDEX(in_dra_chassis_days,1,1)*K8*(1-INDEX(in_dra_chassis_in_dray,1,1))+INDEX(in_dra_wait_hours,1,1)*INDEX(in_dra_wait_rate,1,1)+INDEX(in_dra_split,1,1)+INDEX(in_dra_prepull,1,1)+INDEX(in_dra_dryrun,1,1)+INDEX(in_dra_unload_40,1,1)*(1-INDEX(in_dra_unload_in_dray,1,1))</f>
        <v>817.5</v>
      </c>
      <c r="P8" s="65" t="n">
        <f aca="false">F8*(1+INDEX(in_dra_fsc,1,2))+I8+INDEX(in_dra_chassis_days,1,2)*L8*(1-INDEX(in_dra_chassis_in_dray,1,2))+INDEX(in_dra_wait_hours,1,2)*INDEX(in_dra_wait_rate,1,2)+INDEX(in_dra_split,1,2)+INDEX(in_dra_prepull,1,2)+INDEX(in_dra_dryrun,1,2)+INDEX(in_dra_unload_40,1,2)*(1-INDEX(in_dra_unload_in_dray,1,2))</f>
        <v>1354</v>
      </c>
      <c r="Q8" s="65" t="n">
        <f aca="false">G8*(1+INDEX(in_dra_fsc,1,3))+J8+INDEX(in_dra_chassis_days,1,3)*M8*(1-INDEX(in_dra_chassis_in_dray,1,3))+INDEX(in_dra_wait_hours,1,3)*INDEX(in_dra_wait_rate,1,3)+INDEX(in_dra_split,1,3)+INDEX(in_dra_prepull,1,3)+INDEX(in_dra_dryrun,1,3)+INDEX(in_dra_unload_40,1,3)*(1-INDEX(in_dra_unload_in_dray,1,3))</f>
        <v>2750</v>
      </c>
    </row>
    <row r="9" customFormat="false" ht="15" hidden="false" customHeight="false" outlineLevel="0" collapsed="false">
      <c r="A9" s="5" t="n">
        <v>4</v>
      </c>
      <c r="B9" s="9" t="s">
        <v>929</v>
      </c>
      <c r="C9" s="16" t="s">
        <v>1146</v>
      </c>
      <c r="D9" s="6" t="n">
        <v>95</v>
      </c>
      <c r="E9" s="64" t="n">
        <v>850</v>
      </c>
      <c r="F9" s="64" t="n">
        <v>1050</v>
      </c>
      <c r="G9" s="64" t="n">
        <v>1300</v>
      </c>
      <c r="H9" s="64" t="n">
        <v>0</v>
      </c>
      <c r="I9" s="64" t="n">
        <v>10</v>
      </c>
      <c r="J9" s="64" t="n">
        <v>20</v>
      </c>
      <c r="K9" s="64" t="n">
        <v>25</v>
      </c>
      <c r="L9" s="64" t="n">
        <v>32</v>
      </c>
      <c r="M9" s="64" t="n">
        <v>40</v>
      </c>
      <c r="N9" s="6" t="n">
        <v>3</v>
      </c>
      <c r="O9" s="65" t="n">
        <f aca="false">E9*(1+INDEX(in_dra_fsc,1,1))+H9+INDEX(in_dra_chassis_days,1,1)*K9*(1-INDEX(in_dra_chassis_in_dray,1,1))+INDEX(in_dra_wait_hours,1,1)*INDEX(in_dra_wait_rate,1,1)+INDEX(in_dra_split,1,1)+INDEX(in_dra_prepull,1,1)+INDEX(in_dra_dryrun,1,1)+INDEX(in_dra_unload_40,1,1)*(1-INDEX(in_dra_unload_in_dray,1,1))</f>
        <v>1277.5</v>
      </c>
      <c r="P9" s="65" t="n">
        <f aca="false">F9*(1+INDEX(in_dra_fsc,1,2))+I9+INDEX(in_dra_chassis_days,1,2)*L9*(1-INDEX(in_dra_chassis_in_dray,1,2))+INDEX(in_dra_wait_hours,1,2)*INDEX(in_dra_wait_rate,1,2)+INDEX(in_dra_split,1,2)+INDEX(in_dra_prepull,1,2)+INDEX(in_dra_dryrun,1,2)+INDEX(in_dra_unload_40,1,2)*(1-INDEX(in_dra_unload_in_dray,1,2))</f>
        <v>1954</v>
      </c>
      <c r="Q9" s="65" t="n">
        <f aca="false">G9*(1+INDEX(in_dra_fsc,1,3))+J9+INDEX(in_dra_chassis_days,1,3)*M9*(1-INDEX(in_dra_chassis_in_dray,1,3))+INDEX(in_dra_wait_hours,1,3)*INDEX(in_dra_wait_rate,1,3)+INDEX(in_dra_split,1,3)+INDEX(in_dra_prepull,1,3)+INDEX(in_dra_dryrun,1,3)+INDEX(in_dra_unload_40,1,3)*(1-INDEX(in_dra_unload_in_dray,1,3))</f>
        <v>3500</v>
      </c>
    </row>
    <row r="10" customFormat="false" ht="15" hidden="false" customHeight="false" outlineLevel="0" collapsed="false">
      <c r="A10" s="5" t="n">
        <v>5</v>
      </c>
      <c r="B10" s="9" t="s">
        <v>931</v>
      </c>
      <c r="C10" s="16" t="s">
        <v>1147</v>
      </c>
      <c r="D10" s="6" t="n">
        <v>250</v>
      </c>
      <c r="E10" s="64" t="n">
        <v>1200</v>
      </c>
      <c r="F10" s="64" t="n">
        <v>1450</v>
      </c>
      <c r="G10" s="64" t="n">
        <v>1800</v>
      </c>
      <c r="H10" s="64" t="n">
        <v>0</v>
      </c>
      <c r="I10" s="64" t="n">
        <v>0</v>
      </c>
      <c r="J10" s="64" t="n">
        <v>20</v>
      </c>
      <c r="K10" s="64" t="n">
        <v>22</v>
      </c>
      <c r="L10" s="64" t="n">
        <v>30</v>
      </c>
      <c r="M10" s="64" t="n">
        <v>38</v>
      </c>
      <c r="N10" s="6" t="n">
        <v>4</v>
      </c>
      <c r="O10" s="65" t="n">
        <f aca="false">E10*(1+INDEX(in_dra_fsc,1,1))+H10+INDEX(in_dra_chassis_days,1,1)*K10*(1-INDEX(in_dra_chassis_in_dray,1,1))+INDEX(in_dra_wait_hours,1,1)*INDEX(in_dra_wait_rate,1,1)+INDEX(in_dra_split,1,1)+INDEX(in_dra_prepull,1,1)+INDEX(in_dra_dryrun,1,1)+INDEX(in_dra_unload_40,1,1)*(1-INDEX(in_dra_unload_in_dray,1,1))</f>
        <v>1674</v>
      </c>
      <c r="P10" s="65" t="n">
        <f aca="false">F10*(1+INDEX(in_dra_fsc,1,2))+I10+INDEX(in_dra_chassis_days,1,2)*L10*(1-INDEX(in_dra_chassis_in_dray,1,2))+INDEX(in_dra_wait_hours,1,2)*INDEX(in_dra_wait_rate,1,2)+INDEX(in_dra_split,1,2)+INDEX(in_dra_prepull,1,2)+INDEX(in_dra_dryrun,1,2)+INDEX(in_dra_unload_40,1,2)*(1-INDEX(in_dra_unload_in_dray,1,2))</f>
        <v>2420</v>
      </c>
      <c r="Q10" s="65" t="n">
        <f aca="false">G10*(1+INDEX(in_dra_fsc,1,3))+J10+INDEX(in_dra_chassis_days,1,3)*M10*(1-INDEX(in_dra_chassis_in_dray,1,3))+INDEX(in_dra_wait_hours,1,3)*INDEX(in_dra_wait_rate,1,3)+INDEX(in_dra_split,1,3)+INDEX(in_dra_prepull,1,3)+INDEX(in_dra_dryrun,1,3)+INDEX(in_dra_unload_40,1,3)*(1-INDEX(in_dra_unload_in_dray,1,3))</f>
        <v>4115</v>
      </c>
    </row>
    <row r="11" customFormat="false" ht="15" hidden="false" customHeight="true" outlineLevel="0" collapsed="false">
      <c r="C11" s="16" t="s">
        <v>1148</v>
      </c>
      <c r="D11" s="16"/>
      <c r="E11" s="16"/>
      <c r="F11" s="16"/>
      <c r="G11" s="16"/>
      <c r="H11" s="16"/>
      <c r="I11" s="16"/>
      <c r="J11" s="16"/>
      <c r="K11" s="16"/>
      <c r="L11" s="16"/>
      <c r="M11" s="16"/>
      <c r="N11" s="16"/>
      <c r="O11" s="16"/>
      <c r="P11" s="16"/>
      <c r="Q11" s="16"/>
    </row>
    <row r="13" customFormat="false" ht="15" hidden="false" customHeight="false" outlineLevel="0" collapsed="false">
      <c r="A13" s="3" t="s">
        <v>1149</v>
      </c>
      <c r="B13" s="4"/>
      <c r="C13" s="4"/>
      <c r="D13" s="4"/>
      <c r="E13" s="4"/>
      <c r="F13" s="4"/>
      <c r="G13" s="4"/>
      <c r="H13" s="4"/>
      <c r="I13" s="4"/>
      <c r="J13" s="4"/>
    </row>
    <row r="14" customFormat="false" ht="35.05" hidden="false" customHeight="false" outlineLevel="0" collapsed="false">
      <c r="A14" s="13" t="s">
        <v>279</v>
      </c>
      <c r="B14" s="13" t="s">
        <v>280</v>
      </c>
      <c r="C14" s="13" t="s">
        <v>18</v>
      </c>
      <c r="D14" s="13" t="s">
        <v>103</v>
      </c>
      <c r="E14" s="13" t="s">
        <v>104</v>
      </c>
      <c r="F14" s="13" t="s">
        <v>105</v>
      </c>
      <c r="G14" s="13" t="s">
        <v>281</v>
      </c>
      <c r="H14" s="13" t="s">
        <v>282</v>
      </c>
      <c r="I14" s="13" t="s">
        <v>283</v>
      </c>
      <c r="J14" s="13" t="s">
        <v>284</v>
      </c>
    </row>
    <row r="15" customFormat="false" ht="23.85" hidden="false" customHeight="false" outlineLevel="0" collapsed="false">
      <c r="A15" s="9" t="s">
        <v>1150</v>
      </c>
      <c r="B15" s="16" t="s">
        <v>1151</v>
      </c>
      <c r="C15" s="9" t="s">
        <v>41</v>
      </c>
      <c r="D15" s="46" t="n">
        <v>0.15</v>
      </c>
      <c r="E15" s="46" t="n">
        <v>0.2</v>
      </c>
      <c r="F15" s="46" t="n">
        <v>0.25</v>
      </c>
      <c r="G15" s="47" t="n">
        <f aca="false">INDEX(D15:F15,1,sel_scen)</f>
        <v>0.2</v>
      </c>
      <c r="H15" s="9" t="s">
        <v>303</v>
      </c>
      <c r="I15" s="16" t="s">
        <v>1152</v>
      </c>
      <c r="J15" s="16"/>
    </row>
    <row r="16" customFormat="false" ht="15" hidden="false" customHeight="false" outlineLevel="0" collapsed="false">
      <c r="A16" s="9" t="s">
        <v>1153</v>
      </c>
      <c r="B16" s="16" t="s">
        <v>1154</v>
      </c>
      <c r="C16" s="9" t="s">
        <v>302</v>
      </c>
      <c r="D16" s="48" t="n">
        <v>2</v>
      </c>
      <c r="E16" s="48" t="n">
        <v>2</v>
      </c>
      <c r="F16" s="48" t="n">
        <v>5</v>
      </c>
      <c r="G16" s="49" t="n">
        <f aca="false">INDEX(D16:F16,1,sel_scen)</f>
        <v>2</v>
      </c>
      <c r="H16" s="9" t="s">
        <v>303</v>
      </c>
      <c r="I16" s="16" t="s">
        <v>1155</v>
      </c>
      <c r="J16" s="16"/>
    </row>
    <row r="17" customFormat="false" ht="35.05" hidden="false" customHeight="false" outlineLevel="0" collapsed="false">
      <c r="A17" s="9" t="s">
        <v>1156</v>
      </c>
      <c r="B17" s="16" t="s">
        <v>1157</v>
      </c>
      <c r="C17" s="9" t="s">
        <v>1158</v>
      </c>
      <c r="D17" s="48" t="n">
        <v>0</v>
      </c>
      <c r="E17" s="48" t="n">
        <v>2</v>
      </c>
      <c r="F17" s="48" t="n">
        <v>4</v>
      </c>
      <c r="G17" s="49" t="n">
        <f aca="false">INDEX(D17:F17,1,sel_scen)</f>
        <v>2</v>
      </c>
      <c r="H17" s="9" t="s">
        <v>287</v>
      </c>
      <c r="I17" s="16"/>
      <c r="J17" s="16"/>
    </row>
    <row r="18" customFormat="false" ht="15" hidden="false" customHeight="false" outlineLevel="0" collapsed="false">
      <c r="A18" s="9" t="s">
        <v>1159</v>
      </c>
      <c r="B18" s="16" t="s">
        <v>1160</v>
      </c>
      <c r="C18" s="9" t="s">
        <v>1161</v>
      </c>
      <c r="D18" s="62" t="n">
        <v>75</v>
      </c>
      <c r="E18" s="62" t="n">
        <v>85</v>
      </c>
      <c r="F18" s="62" t="n">
        <v>95</v>
      </c>
      <c r="G18" s="22" t="n">
        <f aca="false">INDEX(D18:F18,1,sel_scen)</f>
        <v>85</v>
      </c>
      <c r="H18" s="9" t="s">
        <v>287</v>
      </c>
      <c r="I18" s="16"/>
      <c r="J18" s="16"/>
    </row>
    <row r="19" customFormat="false" ht="15" hidden="false" customHeight="false" outlineLevel="0" collapsed="false">
      <c r="A19" s="9" t="s">
        <v>1162</v>
      </c>
      <c r="B19" s="16" t="s">
        <v>1163</v>
      </c>
      <c r="C19" s="9" t="s">
        <v>819</v>
      </c>
      <c r="D19" s="62" t="n">
        <v>0</v>
      </c>
      <c r="E19" s="62" t="n">
        <v>0</v>
      </c>
      <c r="F19" s="62" t="n">
        <v>75</v>
      </c>
      <c r="G19" s="22" t="n">
        <f aca="false">INDEX(D19:F19,1,sel_scen)</f>
        <v>0</v>
      </c>
      <c r="H19" s="9" t="s">
        <v>303</v>
      </c>
      <c r="I19" s="16" t="s">
        <v>1152</v>
      </c>
      <c r="J19" s="16"/>
    </row>
    <row r="20" customFormat="false" ht="35.05" hidden="false" customHeight="false" outlineLevel="0" collapsed="false">
      <c r="A20" s="9" t="s">
        <v>1164</v>
      </c>
      <c r="B20" s="16" t="s">
        <v>1165</v>
      </c>
      <c r="C20" s="9" t="s">
        <v>831</v>
      </c>
      <c r="D20" s="6" t="n">
        <v>0</v>
      </c>
      <c r="E20" s="6" t="n">
        <v>0</v>
      </c>
      <c r="F20" s="6" t="n">
        <v>0</v>
      </c>
      <c r="G20" s="10" t="n">
        <f aca="false">INDEX(D20:F20,1,sel_scen)</f>
        <v>0</v>
      </c>
      <c r="H20" s="9" t="s">
        <v>287</v>
      </c>
      <c r="I20" s="16"/>
      <c r="J20" s="16" t="s">
        <v>1015</v>
      </c>
    </row>
    <row r="21" customFormat="false" ht="79.85" hidden="false" customHeight="false" outlineLevel="0" collapsed="false">
      <c r="A21" s="9" t="s">
        <v>1166</v>
      </c>
      <c r="B21" s="16" t="s">
        <v>1167</v>
      </c>
      <c r="C21" s="9" t="s">
        <v>831</v>
      </c>
      <c r="D21" s="6" t="n">
        <v>0</v>
      </c>
      <c r="E21" s="6" t="n">
        <v>0</v>
      </c>
      <c r="F21" s="6" t="n">
        <v>0</v>
      </c>
      <c r="G21" s="10" t="n">
        <f aca="false">INDEX(D21:F21,1,sel_scen)</f>
        <v>0</v>
      </c>
      <c r="H21" s="9" t="s">
        <v>287</v>
      </c>
      <c r="I21" s="16"/>
      <c r="J21" s="16" t="s">
        <v>1168</v>
      </c>
    </row>
    <row r="22" customFormat="false" ht="23.85" hidden="false" customHeight="false" outlineLevel="0" collapsed="false">
      <c r="A22" s="9" t="s">
        <v>1169</v>
      </c>
      <c r="B22" s="16" t="s">
        <v>1170</v>
      </c>
      <c r="C22" s="9" t="s">
        <v>819</v>
      </c>
      <c r="D22" s="62" t="n">
        <v>0</v>
      </c>
      <c r="E22" s="62" t="n">
        <v>0</v>
      </c>
      <c r="F22" s="62" t="n">
        <v>250</v>
      </c>
      <c r="G22" s="22" t="n">
        <f aca="false">INDEX(D22:F22,1,sel_scen)</f>
        <v>0</v>
      </c>
      <c r="H22" s="9" t="s">
        <v>287</v>
      </c>
      <c r="I22" s="16"/>
      <c r="J22" s="16"/>
    </row>
    <row r="23" customFormat="false" ht="15" hidden="false" customHeight="false" outlineLevel="0" collapsed="false">
      <c r="A23" s="9" t="s">
        <v>1171</v>
      </c>
      <c r="B23" s="16" t="s">
        <v>1172</v>
      </c>
      <c r="C23" s="9" t="s">
        <v>819</v>
      </c>
      <c r="D23" s="62" t="n">
        <v>0</v>
      </c>
      <c r="E23" s="62" t="n">
        <v>0</v>
      </c>
      <c r="F23" s="62" t="n">
        <v>300</v>
      </c>
      <c r="G23" s="22" t="n">
        <f aca="false">INDEX(D23:F23,1,sel_scen)</f>
        <v>0</v>
      </c>
      <c r="H23" s="9" t="s">
        <v>287</v>
      </c>
      <c r="I23" s="16"/>
      <c r="J23" s="16"/>
    </row>
    <row r="24" customFormat="false" ht="23.85" hidden="false" customHeight="false" outlineLevel="0" collapsed="false">
      <c r="A24" s="9" t="s">
        <v>1173</v>
      </c>
      <c r="B24" s="16" t="s">
        <v>1174</v>
      </c>
      <c r="C24" s="9" t="s">
        <v>819</v>
      </c>
      <c r="D24" s="62" t="n">
        <v>150</v>
      </c>
      <c r="E24" s="62" t="n">
        <v>300</v>
      </c>
      <c r="F24" s="62" t="n">
        <v>450</v>
      </c>
      <c r="G24" s="22" t="n">
        <f aca="false">INDEX(D24:F24,1,sel_scen)</f>
        <v>300</v>
      </c>
      <c r="H24" s="9" t="s">
        <v>303</v>
      </c>
      <c r="I24" s="16" t="s">
        <v>1175</v>
      </c>
      <c r="J24" s="16"/>
    </row>
    <row r="25" customFormat="false" ht="35.05" hidden="false" customHeight="false" outlineLevel="0" collapsed="false">
      <c r="A25" s="9" t="s">
        <v>1176</v>
      </c>
      <c r="B25" s="16" t="s">
        <v>1177</v>
      </c>
      <c r="C25" s="9" t="s">
        <v>819</v>
      </c>
      <c r="D25" s="62" t="n">
        <v>250</v>
      </c>
      <c r="E25" s="62" t="n">
        <v>450</v>
      </c>
      <c r="F25" s="62" t="n">
        <v>650</v>
      </c>
      <c r="G25" s="22" t="n">
        <f aca="false">INDEX(D25:F25,1,sel_scen)</f>
        <v>450</v>
      </c>
      <c r="H25" s="9" t="s">
        <v>303</v>
      </c>
      <c r="I25" s="16" t="s">
        <v>1175</v>
      </c>
      <c r="J25" s="16" t="s">
        <v>1178</v>
      </c>
    </row>
    <row r="26" customFormat="false" ht="68.65" hidden="false" customHeight="false" outlineLevel="0" collapsed="false">
      <c r="A26" s="9" t="s">
        <v>1179</v>
      </c>
      <c r="B26" s="16" t="s">
        <v>1180</v>
      </c>
      <c r="C26" s="9" t="s">
        <v>838</v>
      </c>
      <c r="D26" s="62" t="n">
        <v>150</v>
      </c>
      <c r="E26" s="62" t="n">
        <v>200</v>
      </c>
      <c r="F26" s="62" t="n">
        <v>300</v>
      </c>
      <c r="G26" s="22" t="n">
        <f aca="false">INDEX(D26:F26,1,sel_scen)</f>
        <v>200</v>
      </c>
      <c r="H26" s="9" t="s">
        <v>287</v>
      </c>
      <c r="I26" s="16"/>
      <c r="J26" s="16" t="s">
        <v>1181</v>
      </c>
    </row>
    <row r="27" customFormat="false" ht="23.85" hidden="false" customHeight="false" outlineLevel="0" collapsed="false">
      <c r="A27" s="9" t="s">
        <v>1182</v>
      </c>
      <c r="B27" s="16" t="s">
        <v>1183</v>
      </c>
      <c r="C27" s="9" t="s">
        <v>838</v>
      </c>
      <c r="D27" s="62" t="n">
        <v>350</v>
      </c>
      <c r="E27" s="62" t="n">
        <v>500</v>
      </c>
      <c r="F27" s="62" t="n">
        <v>700</v>
      </c>
      <c r="G27" s="22" t="n">
        <f aca="false">INDEX(D27:F27,1,sel_scen)</f>
        <v>500</v>
      </c>
      <c r="H27" s="9" t="s">
        <v>287</v>
      </c>
      <c r="I27" s="16"/>
      <c r="J27" s="16"/>
    </row>
    <row r="29" customFormat="false" ht="15" hidden="false" customHeight="false" outlineLevel="0" collapsed="false">
      <c r="A29" s="3" t="s">
        <v>1184</v>
      </c>
      <c r="B29" s="4"/>
      <c r="C29" s="4"/>
      <c r="D29" s="4"/>
      <c r="E29" s="4"/>
      <c r="F29" s="4"/>
      <c r="G29" s="4"/>
      <c r="H29" s="4"/>
      <c r="I29" s="4"/>
      <c r="J29" s="4"/>
    </row>
    <row r="30" customFormat="false" ht="15" hidden="false" customHeight="false" outlineLevel="0" collapsed="false">
      <c r="C30" s="9" t="s">
        <v>1185</v>
      </c>
      <c r="E30" s="22" t="n">
        <f aca="false">INDEX(eng_DELIV,sel_row)</f>
        <v>1060</v>
      </c>
    </row>
    <row r="31" customFormat="false" ht="15" hidden="false" customHeight="false" outlineLevel="0" collapsed="false">
      <c r="C31" s="9" t="s">
        <v>1186</v>
      </c>
      <c r="E31" s="22" t="n">
        <f aca="false">INDEX(eng_UNLOAD,sel_row)</f>
        <v>450</v>
      </c>
    </row>
    <row r="32" customFormat="false" ht="15" hidden="false" customHeight="false" outlineLevel="0" collapsed="false">
      <c r="C32" s="9" t="s">
        <v>1187</v>
      </c>
      <c r="E32" s="20" t="n">
        <f aca="false">(INDEX(eng_DELIV,sel_row)+INDEX(eng_UNLOAD,sel_row))/INDEX(eng_SALE,sel_row)</f>
        <v>0.0198061359671559</v>
      </c>
    </row>
    <row r="34" customFormat="false" ht="15" hidden="false" customHeight="false" outlineLevel="0" collapsed="false">
      <c r="A34" s="3" t="s">
        <v>1188</v>
      </c>
      <c r="B34" s="4"/>
      <c r="C34" s="4"/>
      <c r="D34" s="4"/>
      <c r="E34" s="4"/>
      <c r="F34" s="4"/>
      <c r="G34" s="4"/>
      <c r="H34" s="4"/>
      <c r="I34" s="4"/>
      <c r="J34" s="4"/>
    </row>
    <row r="35" customFormat="false" ht="30" hidden="false" customHeight="true" outlineLevel="0" collapsed="false">
      <c r="C35" s="16" t="s">
        <v>1189</v>
      </c>
      <c r="D35" s="16"/>
      <c r="E35" s="16"/>
      <c r="F35" s="16"/>
      <c r="G35" s="16"/>
      <c r="H35" s="16"/>
      <c r="I35" s="16"/>
      <c r="J35" s="16"/>
      <c r="K35" s="16"/>
      <c r="L35" s="16"/>
      <c r="M35" s="16"/>
      <c r="N35" s="16"/>
      <c r="O35" s="16"/>
      <c r="P35" s="16"/>
      <c r="Q35" s="16"/>
    </row>
    <row r="36" customFormat="false" ht="30" hidden="false" customHeight="true" outlineLevel="0" collapsed="false">
      <c r="C36" s="16" t="s">
        <v>1190</v>
      </c>
      <c r="D36" s="16"/>
      <c r="E36" s="16"/>
      <c r="F36" s="16"/>
      <c r="G36" s="16"/>
      <c r="H36" s="16"/>
      <c r="I36" s="16"/>
      <c r="J36" s="16"/>
      <c r="K36" s="16"/>
      <c r="L36" s="16"/>
      <c r="M36" s="16"/>
      <c r="N36" s="16"/>
      <c r="O36" s="16"/>
      <c r="P36" s="16"/>
      <c r="Q36" s="16"/>
    </row>
    <row r="37" customFormat="false" ht="30" hidden="false" customHeight="true" outlineLevel="0" collapsed="false">
      <c r="C37" s="16" t="s">
        <v>1191</v>
      </c>
      <c r="D37" s="16"/>
      <c r="E37" s="16"/>
      <c r="F37" s="16"/>
      <c r="G37" s="16"/>
      <c r="H37" s="16"/>
      <c r="I37" s="16"/>
      <c r="J37" s="16"/>
      <c r="K37" s="16"/>
      <c r="L37" s="16"/>
      <c r="M37" s="16"/>
      <c r="N37" s="16"/>
      <c r="O37" s="16"/>
      <c r="P37" s="16"/>
      <c r="Q37" s="16"/>
    </row>
    <row r="38" customFormat="false" ht="30" hidden="false" customHeight="true" outlineLevel="0" collapsed="false">
      <c r="C38" s="16" t="s">
        <v>1192</v>
      </c>
      <c r="D38" s="16"/>
      <c r="E38" s="16"/>
      <c r="F38" s="16"/>
      <c r="G38" s="16"/>
      <c r="H38" s="16"/>
      <c r="I38" s="16"/>
      <c r="J38" s="16"/>
      <c r="K38" s="16"/>
      <c r="L38" s="16"/>
      <c r="M38" s="16"/>
      <c r="N38" s="16"/>
      <c r="O38" s="16"/>
      <c r="P38" s="16"/>
      <c r="Q38" s="16"/>
    </row>
    <row r="39" customFormat="false" ht="30" hidden="false" customHeight="true" outlineLevel="0" collapsed="false">
      <c r="C39" s="16" t="s">
        <v>1193</v>
      </c>
      <c r="D39" s="16"/>
      <c r="E39" s="16"/>
      <c r="F39" s="16"/>
      <c r="G39" s="16"/>
      <c r="H39" s="16"/>
      <c r="I39" s="16"/>
      <c r="J39" s="16"/>
      <c r="K39" s="16"/>
      <c r="L39" s="16"/>
      <c r="M39" s="16"/>
      <c r="N39" s="16"/>
      <c r="O39" s="16"/>
      <c r="P39" s="16"/>
      <c r="Q39" s="16"/>
    </row>
  </sheetData>
  <mergeCells count="6">
    <mergeCell ref="C11:Q11"/>
    <mergeCell ref="C35:Q35"/>
    <mergeCell ref="C36:Q36"/>
    <mergeCell ref="C37:Q37"/>
    <mergeCell ref="C38:Q38"/>
    <mergeCell ref="C39:Q39"/>
  </mergeCells>
  <conditionalFormatting sqref="H15:H27">
    <cfRule type="expression" priority="2" aboveAverage="0" equalAverage="0" bottom="0" percent="0" rank="0" text="" dxfId="0">
      <formula>LEFT(H15,8)="VERIFIED"</formula>
    </cfRule>
    <cfRule type="expression" priority="3" aboveAverage="0" equalAverage="0" bottom="0" percent="0" rank="0" text="" dxfId="2">
      <formula>OR(H15="ESTIMATED",H15="CALCULATED")</formula>
    </cfRule>
    <cfRule type="expression" priority="4" aboveAverage="0" equalAverage="0" bottom="0" percent="0" rank="0" text="" dxfId="1">
      <formula>OR(H15="ASSUMED",H15="UNRESOLVED",H15="UNVERIFIED")</formula>
    </cfRule>
  </conditionalFormatting>
  <dataValidations count="1">
    <dataValidation allowBlank="true" error="Value outside the allowed range" errorStyle="stop" operator="between" showDropDown="false" showErrorMessage="false" showInputMessage="false" sqref="D15:F27"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J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14"/>
    <col collapsed="false" customWidth="true" hidden="false" outlineLevel="0" max="6" min="4" style="0" width="12"/>
    <col collapsed="false" customWidth="true" hidden="false" outlineLevel="0" max="7" min="7" style="0" width="14"/>
    <col collapsed="false" customWidth="true" hidden="false" outlineLevel="0" max="8" min="8" style="0" width="20"/>
    <col collapsed="false" customWidth="true" hidden="false" outlineLevel="0" max="9" min="9" style="0" width="18"/>
    <col collapsed="false" customWidth="true" hidden="false" outlineLevel="0" max="10" min="10" style="0" width="60"/>
  </cols>
  <sheetData>
    <row r="1" customFormat="false" ht="18.55" hidden="false" customHeight="false" outlineLevel="0" collapsed="false">
      <c r="A1" s="1" t="s">
        <v>1194</v>
      </c>
    </row>
    <row r="2" customFormat="false" ht="15" hidden="false" customHeight="false" outlineLevel="0" collapsed="false">
      <c r="A2" s="2" t="s">
        <v>1195</v>
      </c>
    </row>
    <row r="4" customFormat="false" ht="15" hidden="false" customHeight="false" outlineLevel="0" collapsed="false">
      <c r="A4" s="3" t="s">
        <v>1196</v>
      </c>
      <c r="B4" s="4"/>
      <c r="C4" s="4"/>
      <c r="D4" s="4"/>
      <c r="E4" s="4"/>
      <c r="F4" s="4"/>
      <c r="G4" s="4"/>
      <c r="H4" s="4"/>
      <c r="I4" s="4"/>
      <c r="J4" s="4"/>
    </row>
    <row r="5" customFormat="false" ht="23.85" hidden="false" customHeight="false" outlineLevel="0" collapsed="false">
      <c r="A5" s="13" t="s">
        <v>279</v>
      </c>
      <c r="B5" s="13" t="s">
        <v>280</v>
      </c>
      <c r="C5" s="13" t="s">
        <v>18</v>
      </c>
      <c r="D5" s="13" t="s">
        <v>103</v>
      </c>
      <c r="E5" s="13" t="s">
        <v>104</v>
      </c>
      <c r="F5" s="13" t="s">
        <v>105</v>
      </c>
      <c r="G5" s="13" t="s">
        <v>281</v>
      </c>
      <c r="H5" s="13" t="s">
        <v>282</v>
      </c>
      <c r="I5" s="13" t="s">
        <v>283</v>
      </c>
      <c r="J5" s="13" t="s">
        <v>284</v>
      </c>
    </row>
    <row r="6" customFormat="false" ht="15" hidden="false" customHeight="false" outlineLevel="0" collapsed="false">
      <c r="A6" s="9" t="s">
        <v>1197</v>
      </c>
      <c r="B6" s="16" t="s">
        <v>1198</v>
      </c>
      <c r="C6" s="9" t="s">
        <v>41</v>
      </c>
      <c r="D6" s="46" t="n">
        <v>0</v>
      </c>
      <c r="E6" s="46" t="n">
        <v>0</v>
      </c>
      <c r="F6" s="46" t="n">
        <v>0</v>
      </c>
      <c r="G6" s="47" t="n">
        <f aca="false">INDEX(D6:F6,1,sel_scen)</f>
        <v>0</v>
      </c>
      <c r="H6" s="9" t="s">
        <v>576</v>
      </c>
      <c r="I6" s="16" t="s">
        <v>1199</v>
      </c>
      <c r="J6" s="16" t="s">
        <v>1200</v>
      </c>
    </row>
    <row r="7" customFormat="false" ht="23.85" hidden="false" customHeight="false" outlineLevel="0" collapsed="false">
      <c r="A7" s="9" t="s">
        <v>1201</v>
      </c>
      <c r="B7" s="16" t="s">
        <v>1202</v>
      </c>
      <c r="C7" s="9" t="s">
        <v>41</v>
      </c>
      <c r="D7" s="46" t="n">
        <v>0</v>
      </c>
      <c r="E7" s="46" t="n">
        <v>0.125</v>
      </c>
      <c r="F7" s="46" t="n">
        <v>0.125</v>
      </c>
      <c r="G7" s="47" t="n">
        <f aca="false">INDEX(D7:F7,1,sel_scen)</f>
        <v>0.125</v>
      </c>
      <c r="H7" s="9" t="s">
        <v>576</v>
      </c>
      <c r="I7" s="16" t="s">
        <v>1203</v>
      </c>
      <c r="J7" s="16" t="s">
        <v>1204</v>
      </c>
    </row>
    <row r="8" customFormat="false" ht="15" hidden="false" customHeight="false" outlineLevel="0" collapsed="false">
      <c r="A8" s="9" t="s">
        <v>1205</v>
      </c>
      <c r="B8" s="16" t="s">
        <v>1206</v>
      </c>
      <c r="C8" s="9" t="s">
        <v>41</v>
      </c>
      <c r="D8" s="46" t="n">
        <v>0.003464</v>
      </c>
      <c r="E8" s="46" t="n">
        <v>0.003464</v>
      </c>
      <c r="F8" s="46" t="n">
        <v>0.003464</v>
      </c>
      <c r="G8" s="47" t="n">
        <f aca="false">INDEX(D8:F8,1,sel_scen)</f>
        <v>0.003464</v>
      </c>
      <c r="H8" s="9" t="s">
        <v>576</v>
      </c>
      <c r="I8" s="16" t="s">
        <v>1065</v>
      </c>
      <c r="J8" s="16"/>
    </row>
    <row r="9" customFormat="false" ht="15" hidden="false" customHeight="false" outlineLevel="0" collapsed="false">
      <c r="A9" s="9" t="s">
        <v>1207</v>
      </c>
      <c r="B9" s="16" t="s">
        <v>1208</v>
      </c>
      <c r="C9" s="9" t="s">
        <v>37</v>
      </c>
      <c r="D9" s="62" t="n">
        <v>34.58</v>
      </c>
      <c r="E9" s="62" t="n">
        <v>34.58</v>
      </c>
      <c r="F9" s="62" t="n">
        <v>34.58</v>
      </c>
      <c r="G9" s="22" t="n">
        <f aca="false">INDEX(D9:F9,1,sel_scen)</f>
        <v>34.58</v>
      </c>
      <c r="H9" s="9" t="s">
        <v>576</v>
      </c>
      <c r="I9" s="16" t="s">
        <v>1065</v>
      </c>
      <c r="J9" s="16"/>
    </row>
    <row r="10" customFormat="false" ht="15" hidden="false" customHeight="false" outlineLevel="0" collapsed="false">
      <c r="A10" s="9" t="s">
        <v>1209</v>
      </c>
      <c r="B10" s="16" t="s">
        <v>1210</v>
      </c>
      <c r="C10" s="9" t="s">
        <v>37</v>
      </c>
      <c r="D10" s="62" t="n">
        <v>670.86</v>
      </c>
      <c r="E10" s="62" t="n">
        <v>670.86</v>
      </c>
      <c r="F10" s="62" t="n">
        <v>670.86</v>
      </c>
      <c r="G10" s="22" t="n">
        <f aca="false">INDEX(D10:F10,1,sel_scen)</f>
        <v>670.86</v>
      </c>
      <c r="H10" s="9" t="s">
        <v>576</v>
      </c>
      <c r="I10" s="16" t="s">
        <v>1065</v>
      </c>
      <c r="J10" s="16"/>
    </row>
    <row r="11" customFormat="false" ht="15" hidden="false" customHeight="false" outlineLevel="0" collapsed="false">
      <c r="A11" s="9" t="s">
        <v>1211</v>
      </c>
      <c r="B11" s="16" t="s">
        <v>1212</v>
      </c>
      <c r="C11" s="9" t="s">
        <v>41</v>
      </c>
      <c r="D11" s="46" t="n">
        <v>0.00125</v>
      </c>
      <c r="E11" s="46" t="n">
        <v>0.00125</v>
      </c>
      <c r="F11" s="46" t="n">
        <v>0.00125</v>
      </c>
      <c r="G11" s="47" t="n">
        <f aca="false">INDEX(D11:F11,1,sel_scen)</f>
        <v>0.00125</v>
      </c>
      <c r="H11" s="9" t="s">
        <v>576</v>
      </c>
      <c r="I11" s="16" t="s">
        <v>1068</v>
      </c>
      <c r="J11" s="16"/>
    </row>
    <row r="13" customFormat="false" ht="15" hidden="false" customHeight="false" outlineLevel="0" collapsed="false">
      <c r="A13" s="3" t="s">
        <v>1213</v>
      </c>
      <c r="B13" s="4"/>
      <c r="C13" s="4"/>
      <c r="D13" s="4"/>
      <c r="E13" s="4"/>
      <c r="F13" s="4"/>
      <c r="G13" s="4"/>
      <c r="H13" s="4"/>
      <c r="I13" s="4"/>
      <c r="J13" s="4"/>
    </row>
    <row r="14" customFormat="false" ht="23.85" hidden="false" customHeight="false" outlineLevel="0" collapsed="false">
      <c r="A14" s="13" t="s">
        <v>112</v>
      </c>
      <c r="B14" s="13" t="s">
        <v>1214</v>
      </c>
      <c r="C14" s="13" t="s">
        <v>1215</v>
      </c>
      <c r="D14" s="13" t="s">
        <v>1216</v>
      </c>
      <c r="E14" s="13" t="s">
        <v>1217</v>
      </c>
      <c r="F14" s="13"/>
      <c r="G14" s="13" t="s">
        <v>1218</v>
      </c>
      <c r="H14" s="13" t="s">
        <v>282</v>
      </c>
      <c r="I14" s="13" t="s">
        <v>635</v>
      </c>
      <c r="J14" s="13" t="s">
        <v>1219</v>
      </c>
    </row>
    <row r="15" customFormat="false" ht="54" hidden="false" customHeight="true" outlineLevel="0" collapsed="false">
      <c r="A15" s="16" t="s">
        <v>1220</v>
      </c>
      <c r="B15" s="16" t="s">
        <v>1221</v>
      </c>
      <c r="C15" s="16" t="s">
        <v>1222</v>
      </c>
      <c r="D15" s="16" t="s">
        <v>1223</v>
      </c>
      <c r="E15" s="16" t="s">
        <v>1224</v>
      </c>
      <c r="G15" s="16" t="s">
        <v>1225</v>
      </c>
      <c r="H15" s="16" t="s">
        <v>576</v>
      </c>
      <c r="I15" s="16" t="s">
        <v>1226</v>
      </c>
      <c r="J15" s="16" t="s">
        <v>1227</v>
      </c>
    </row>
    <row r="16" customFormat="false" ht="54" hidden="false" customHeight="true" outlineLevel="0" collapsed="false">
      <c r="A16" s="16" t="s">
        <v>1228</v>
      </c>
      <c r="B16" s="16" t="s">
        <v>1229</v>
      </c>
      <c r="C16" s="16" t="s">
        <v>1230</v>
      </c>
      <c r="D16" s="16" t="s">
        <v>1223</v>
      </c>
      <c r="E16" s="16" t="s">
        <v>1231</v>
      </c>
      <c r="G16" s="16" t="s">
        <v>1115</v>
      </c>
      <c r="H16" s="16" t="s">
        <v>303</v>
      </c>
      <c r="I16" s="16" t="s">
        <v>1232</v>
      </c>
      <c r="J16" s="16" t="s">
        <v>1233</v>
      </c>
    </row>
    <row r="17" customFormat="false" ht="54" hidden="false" customHeight="true" outlineLevel="0" collapsed="false">
      <c r="A17" s="16" t="s">
        <v>1234</v>
      </c>
      <c r="B17" s="16" t="s">
        <v>1235</v>
      </c>
      <c r="C17" s="16" t="s">
        <v>1236</v>
      </c>
      <c r="D17" s="16" t="s">
        <v>1223</v>
      </c>
      <c r="E17" s="16" t="s">
        <v>1231</v>
      </c>
      <c r="G17" s="16" t="s">
        <v>1115</v>
      </c>
      <c r="H17" s="16" t="s">
        <v>820</v>
      </c>
      <c r="I17" s="16" t="s">
        <v>1237</v>
      </c>
      <c r="J17" s="16" t="s">
        <v>1238</v>
      </c>
    </row>
    <row r="18" customFormat="false" ht="54" hidden="false" customHeight="true" outlineLevel="0" collapsed="false">
      <c r="A18" s="16" t="s">
        <v>1239</v>
      </c>
      <c r="B18" s="16" t="s">
        <v>1240</v>
      </c>
      <c r="C18" s="16" t="s">
        <v>1241</v>
      </c>
      <c r="D18" s="16" t="s">
        <v>1223</v>
      </c>
      <c r="E18" s="16" t="s">
        <v>1231</v>
      </c>
      <c r="G18" s="16" t="s">
        <v>1115</v>
      </c>
      <c r="H18" s="16" t="s">
        <v>820</v>
      </c>
      <c r="I18" s="16" t="s">
        <v>1237</v>
      </c>
      <c r="J18" s="16" t="s">
        <v>1242</v>
      </c>
    </row>
    <row r="19" customFormat="false" ht="30" hidden="false" customHeight="true" outlineLevel="0" collapsed="false">
      <c r="B19" s="63" t="s">
        <v>1243</v>
      </c>
      <c r="C19" s="63"/>
      <c r="D19" s="63"/>
      <c r="E19" s="63"/>
      <c r="F19" s="63"/>
      <c r="G19" s="63"/>
      <c r="H19" s="63"/>
      <c r="I19" s="63"/>
      <c r="J19" s="63"/>
    </row>
    <row r="21" customFormat="false" ht="15" hidden="false" customHeight="false" outlineLevel="0" collapsed="false">
      <c r="A21" s="3" t="s">
        <v>1244</v>
      </c>
      <c r="B21" s="4"/>
      <c r="C21" s="4"/>
      <c r="D21" s="4"/>
      <c r="E21" s="4"/>
      <c r="F21" s="4"/>
      <c r="G21" s="4"/>
      <c r="H21" s="4"/>
      <c r="I21" s="4"/>
      <c r="J21" s="4"/>
    </row>
    <row r="22" customFormat="false" ht="15" hidden="false" customHeight="false" outlineLevel="0" collapsed="false">
      <c r="A22" s="13"/>
      <c r="B22" s="13" t="s">
        <v>583</v>
      </c>
      <c r="C22" s="13" t="s">
        <v>1245</v>
      </c>
      <c r="D22" s="13" t="s">
        <v>1246</v>
      </c>
      <c r="E22" s="13" t="s">
        <v>1247</v>
      </c>
      <c r="F22" s="13" t="s">
        <v>1248</v>
      </c>
      <c r="G22" s="13"/>
      <c r="H22" s="13" t="s">
        <v>282</v>
      </c>
      <c r="I22" s="13" t="s">
        <v>635</v>
      </c>
      <c r="J22" s="13" t="s">
        <v>218</v>
      </c>
    </row>
    <row r="23" customFormat="false" ht="48" hidden="false" customHeight="true" outlineLevel="0" collapsed="false">
      <c r="B23" s="16" t="s">
        <v>1249</v>
      </c>
      <c r="C23" s="16" t="s">
        <v>1250</v>
      </c>
      <c r="D23" s="16" t="s">
        <v>1251</v>
      </c>
      <c r="E23" s="16" t="s">
        <v>1252</v>
      </c>
      <c r="F23" s="16" t="s">
        <v>1223</v>
      </c>
      <c r="H23" s="16" t="s">
        <v>576</v>
      </c>
      <c r="I23" s="16" t="s">
        <v>1253</v>
      </c>
      <c r="J23" s="16"/>
    </row>
    <row r="24" customFormat="false" ht="48" hidden="false" customHeight="true" outlineLevel="0" collapsed="false">
      <c r="B24" s="16" t="s">
        <v>1254</v>
      </c>
      <c r="C24" s="16" t="s">
        <v>1255</v>
      </c>
      <c r="D24" s="16" t="s">
        <v>1256</v>
      </c>
      <c r="E24" s="16" t="s">
        <v>1257</v>
      </c>
      <c r="F24" s="16" t="s">
        <v>1258</v>
      </c>
      <c r="H24" s="16" t="s">
        <v>576</v>
      </c>
      <c r="I24" s="16" t="s">
        <v>1259</v>
      </c>
      <c r="J24" s="16" t="s">
        <v>1260</v>
      </c>
    </row>
    <row r="25" customFormat="false" ht="48" hidden="false" customHeight="true" outlineLevel="0" collapsed="false">
      <c r="B25" s="16" t="s">
        <v>1261</v>
      </c>
      <c r="C25" s="16" t="s">
        <v>1262</v>
      </c>
      <c r="D25" s="16" t="s">
        <v>1263</v>
      </c>
      <c r="E25" s="16" t="s">
        <v>533</v>
      </c>
      <c r="F25" s="16" t="s">
        <v>1264</v>
      </c>
      <c r="H25" s="16" t="s">
        <v>576</v>
      </c>
      <c r="I25" s="16" t="s">
        <v>1265</v>
      </c>
      <c r="J25" s="16" t="s">
        <v>1266</v>
      </c>
    </row>
    <row r="26" customFormat="false" ht="48" hidden="false" customHeight="true" outlineLevel="0" collapsed="false">
      <c r="B26" s="16" t="s">
        <v>1267</v>
      </c>
      <c r="C26" s="16" t="s">
        <v>1268</v>
      </c>
      <c r="D26" s="16" t="s">
        <v>1269</v>
      </c>
      <c r="E26" s="16" t="s">
        <v>1270</v>
      </c>
      <c r="F26" s="16" t="s">
        <v>1264</v>
      </c>
      <c r="H26" s="16" t="s">
        <v>820</v>
      </c>
      <c r="I26" s="16" t="s">
        <v>1271</v>
      </c>
      <c r="J26" s="16" t="s">
        <v>1272</v>
      </c>
    </row>
    <row r="27" customFormat="false" ht="48" hidden="false" customHeight="true" outlineLevel="0" collapsed="false">
      <c r="B27" s="16" t="s">
        <v>1273</v>
      </c>
      <c r="C27" s="16" t="s">
        <v>1274</v>
      </c>
      <c r="D27" s="16" t="s">
        <v>1275</v>
      </c>
      <c r="E27" s="16" t="s">
        <v>1276</v>
      </c>
      <c r="F27" s="16" t="s">
        <v>1264</v>
      </c>
      <c r="H27" s="16" t="s">
        <v>820</v>
      </c>
      <c r="I27" s="16" t="s">
        <v>1277</v>
      </c>
      <c r="J27" s="16"/>
    </row>
    <row r="28" customFormat="false" ht="48" hidden="false" customHeight="true" outlineLevel="0" collapsed="false">
      <c r="B28" s="16" t="s">
        <v>1278</v>
      </c>
      <c r="C28" s="16" t="s">
        <v>1279</v>
      </c>
      <c r="D28" s="16" t="s">
        <v>1280</v>
      </c>
      <c r="E28" s="16" t="s">
        <v>1281</v>
      </c>
      <c r="F28" s="16" t="s">
        <v>1264</v>
      </c>
      <c r="H28" s="16" t="s">
        <v>576</v>
      </c>
      <c r="I28" s="16" t="s">
        <v>1282</v>
      </c>
      <c r="J28" s="16" t="s">
        <v>1283</v>
      </c>
    </row>
    <row r="29" customFormat="false" ht="48" hidden="false" customHeight="true" outlineLevel="0" collapsed="false">
      <c r="B29" s="16" t="s">
        <v>1284</v>
      </c>
      <c r="C29" s="16" t="s">
        <v>1285</v>
      </c>
      <c r="D29" s="16" t="s">
        <v>489</v>
      </c>
      <c r="E29" s="16" t="s">
        <v>1286</v>
      </c>
      <c r="F29" s="16" t="s">
        <v>1287</v>
      </c>
      <c r="H29" s="16" t="s">
        <v>297</v>
      </c>
      <c r="I29" s="16" t="s">
        <v>1288</v>
      </c>
      <c r="J29" s="16" t="s">
        <v>1289</v>
      </c>
    </row>
    <row r="31" customFormat="false" ht="15" hidden="false" customHeight="false" outlineLevel="0" collapsed="false">
      <c r="A31" s="3" t="s">
        <v>1290</v>
      </c>
      <c r="B31" s="4"/>
      <c r="C31" s="4"/>
      <c r="D31" s="4"/>
      <c r="E31" s="4"/>
      <c r="F31" s="4"/>
      <c r="G31" s="4"/>
      <c r="H31" s="4"/>
      <c r="I31" s="4"/>
      <c r="J31" s="4"/>
    </row>
    <row r="32" customFormat="false" ht="15" hidden="false" customHeight="false" outlineLevel="0" collapsed="false">
      <c r="A32" s="13"/>
      <c r="B32" s="13" t="s">
        <v>1291</v>
      </c>
      <c r="C32" s="13" t="s">
        <v>15</v>
      </c>
      <c r="D32" s="13" t="s">
        <v>16</v>
      </c>
      <c r="E32" s="13" t="s">
        <v>17</v>
      </c>
      <c r="F32" s="13" t="s">
        <v>1292</v>
      </c>
      <c r="G32" s="13"/>
      <c r="H32" s="13" t="s">
        <v>1293</v>
      </c>
      <c r="I32" s="13" t="s">
        <v>1294</v>
      </c>
      <c r="J32" s="13" t="s">
        <v>218</v>
      </c>
    </row>
    <row r="33" customFormat="false" ht="23.85" hidden="false" customHeight="false" outlineLevel="0" collapsed="false">
      <c r="B33" s="16" t="s">
        <v>1295</v>
      </c>
      <c r="C33" s="22" t="n">
        <f aca="false">INDEX(eng_sup_3464,sel_row)</f>
        <v>4089.39493849337</v>
      </c>
      <c r="D33" s="22" t="n">
        <f aca="false">INDEX(eng_sup_3463,sel_row)</f>
        <v>3862.07053366379</v>
      </c>
      <c r="E33" s="22" t="n">
        <f aca="false">INDEX(eng_sup_3460,sel_row)</f>
        <v>3373.20084585825</v>
      </c>
      <c r="F33" s="22" t="n">
        <f aca="false">SUM(C33:E33)</f>
        <v>11324.6663180154</v>
      </c>
      <c r="H33" s="9" t="s">
        <v>1296</v>
      </c>
      <c r="I33" s="16" t="s">
        <v>1297</v>
      </c>
      <c r="J33" s="16"/>
    </row>
    <row r="34" customFormat="false" ht="15" hidden="false" customHeight="false" outlineLevel="0" collapsed="false">
      <c r="B34" s="16" t="s">
        <v>1298</v>
      </c>
      <c r="C34" s="22" t="n">
        <f aca="false">IF(INDEX(eng_vatmode,sel_row)=3,INDEX(eng_sup_3464,sel_row)*INDEX(in_sup_vat_rate,1,sel_scen),0)</f>
        <v>0</v>
      </c>
      <c r="D34" s="22" t="n">
        <f aca="false">IF(INDEX(eng_vatmode,sel_row)=3,INDEX(eng_sup_3463,sel_row)*INDEX(in_sup_vat_rate,1,sel_scen),0)</f>
        <v>0</v>
      </c>
      <c r="E34" s="22" t="n">
        <f aca="false">IF(INDEX(eng_vatmode,sel_row)=3,INDEX(eng_sup_3460,sel_row)*INDEX(in_sup_vat_rate,1,sel_scen),0)</f>
        <v>0</v>
      </c>
      <c r="F34" s="22" t="n">
        <f aca="false">SUM(C34:E34)</f>
        <v>0</v>
      </c>
      <c r="H34" s="9" t="s">
        <v>1299</v>
      </c>
      <c r="I34" s="16" t="s">
        <v>1300</v>
      </c>
      <c r="J34" s="16" t="s">
        <v>1301</v>
      </c>
    </row>
    <row r="35" customFormat="false" ht="15" hidden="false" customHeight="false" outlineLevel="0" collapsed="false">
      <c r="B35" s="16" t="s">
        <v>1302</v>
      </c>
      <c r="C35" s="22" t="n">
        <f aca="false">INDEX(eng_tooling,sel_row)*INDEX(eng_units_3464,sel_row)/INDEX(eng_U,sel_row)</f>
        <v>0</v>
      </c>
      <c r="D35" s="22" t="n">
        <f aca="false">INDEX(eng_tooling,sel_row)*INDEX(eng_units_3463,sel_row)/INDEX(eng_U,sel_row)</f>
        <v>0</v>
      </c>
      <c r="E35" s="22" t="n">
        <f aca="false">INDEX(eng_tooling,sel_row)*INDEX(eng_units_3460,sel_row)/INDEX(eng_U,sel_row)</f>
        <v>0</v>
      </c>
      <c r="F35" s="22" t="n">
        <f aca="false">SUM(C35:E35)</f>
        <v>0</v>
      </c>
      <c r="H35" s="9" t="s">
        <v>1303</v>
      </c>
      <c r="I35" s="16" t="s">
        <v>1304</v>
      </c>
      <c r="J35" s="16"/>
    </row>
    <row r="36" customFormat="false" ht="15" hidden="false" customHeight="false" outlineLevel="0" collapsed="false">
      <c r="B36" s="16" t="s">
        <v>1305</v>
      </c>
      <c r="C36" s="22" t="n">
        <f aca="false">0</f>
        <v>0</v>
      </c>
      <c r="D36" s="22" t="n">
        <f aca="false">0</f>
        <v>0</v>
      </c>
      <c r="E36" s="22" t="n">
        <f aca="false">0</f>
        <v>0</v>
      </c>
      <c r="F36" s="22" t="n">
        <f aca="false">SUM(C36:E36)</f>
        <v>0</v>
      </c>
      <c r="H36" s="9" t="s">
        <v>1306</v>
      </c>
      <c r="I36" s="16" t="s">
        <v>1307</v>
      </c>
      <c r="J36" s="16" t="s">
        <v>1308</v>
      </c>
    </row>
    <row r="37" customFormat="false" ht="15" hidden="false" customHeight="false" outlineLevel="0" collapsed="false">
      <c r="B37" s="16" t="s">
        <v>1309</v>
      </c>
      <c r="C37" s="22" t="n">
        <f aca="false">0</f>
        <v>0</v>
      </c>
      <c r="D37" s="22" t="n">
        <f aca="false">0</f>
        <v>0</v>
      </c>
      <c r="E37" s="22" t="n">
        <f aca="false">0</f>
        <v>0</v>
      </c>
      <c r="F37" s="22" t="n">
        <f aca="false">SUM(C37:E37)</f>
        <v>0</v>
      </c>
      <c r="H37" s="9" t="s">
        <v>1310</v>
      </c>
      <c r="I37" s="16" t="s">
        <v>1311</v>
      </c>
      <c r="J37" s="16" t="s">
        <v>1312</v>
      </c>
    </row>
    <row r="38" customFormat="false" ht="15" hidden="false" customHeight="false" outlineLevel="0" collapsed="false">
      <c r="B38" s="16" t="s">
        <v>1313</v>
      </c>
      <c r="C38" s="22" t="n">
        <f aca="false">0</f>
        <v>0</v>
      </c>
      <c r="D38" s="22" t="n">
        <f aca="false">0</f>
        <v>0</v>
      </c>
      <c r="E38" s="22" t="n">
        <f aca="false">0</f>
        <v>0</v>
      </c>
      <c r="F38" s="22" t="n">
        <f aca="false">SUM(C38:E38)</f>
        <v>0</v>
      </c>
      <c r="H38" s="9" t="s">
        <v>1314</v>
      </c>
      <c r="I38" s="16" t="s">
        <v>1315</v>
      </c>
      <c r="J38" s="16" t="s">
        <v>1316</v>
      </c>
    </row>
    <row r="39" customFormat="false" ht="15" hidden="false" customHeight="false" outlineLevel="0" collapsed="false">
      <c r="B39" s="63" t="s">
        <v>1317</v>
      </c>
      <c r="C39" s="44" t="n">
        <f aca="false">INDEX(eng_cv_3464,sel_row)</f>
        <v>4089.39493849337</v>
      </c>
      <c r="D39" s="44" t="n">
        <f aca="false">INDEX(eng_cv_3463,sel_row)</f>
        <v>3862.07053366379</v>
      </c>
      <c r="E39" s="44" t="n">
        <f aca="false">INDEX(eng_cv_3460,sel_row)</f>
        <v>3373.20084585825</v>
      </c>
      <c r="F39" s="22" t="n">
        <f aca="false">SUM(C39:E39)</f>
        <v>11324.6663180154</v>
      </c>
      <c r="G39" s="8" t="str">
        <f aca="false">IF(ABS(F39-SUM(F33:F38))&lt;0.01,"OK","FAIL")</f>
        <v>OK</v>
      </c>
      <c r="H39" s="9"/>
      <c r="I39" s="16"/>
      <c r="J39" s="16" t="s">
        <v>1318</v>
      </c>
    </row>
    <row r="40" customFormat="false" ht="15" hidden="false" customHeight="false" outlineLevel="0" collapsed="false">
      <c r="B40" s="16" t="s">
        <v>1319</v>
      </c>
      <c r="C40" s="22" t="n">
        <f aca="false">INDEX(eng_cv_3464,sel_row)*INDEX(in_cus_mfn,1,sel_scen)</f>
        <v>0</v>
      </c>
      <c r="D40" s="22" t="n">
        <f aca="false">INDEX(eng_cv_3463,sel_row)*INDEX(in_cus_mfn,1,sel_scen)</f>
        <v>0</v>
      </c>
      <c r="E40" s="22" t="n">
        <f aca="false">INDEX(eng_cv_3460,sel_row)*INDEX(in_cus_mfn,1,sel_scen)</f>
        <v>0</v>
      </c>
      <c r="F40" s="22" t="n">
        <f aca="false">SUM(C40:E40)</f>
        <v>0</v>
      </c>
      <c r="H40" s="9"/>
      <c r="I40" s="16" t="s">
        <v>1320</v>
      </c>
      <c r="J40" s="16"/>
    </row>
    <row r="41" customFormat="false" ht="15" hidden="false" customHeight="false" outlineLevel="0" collapsed="false">
      <c r="B41" s="16" t="s">
        <v>1321</v>
      </c>
      <c r="C41" s="22" t="n">
        <f aca="false">INDEX(eng_cv_3464,sel_row)*INDEX(eng_s301,sel_row)</f>
        <v>511.174367311672</v>
      </c>
      <c r="D41" s="22" t="n">
        <f aca="false">INDEX(eng_cv_3463,sel_row)*INDEX(eng_s301,sel_row)</f>
        <v>482.758816707974</v>
      </c>
      <c r="E41" s="22" t="n">
        <f aca="false">INDEX(eng_cv_3460,sel_row)*INDEX(eng_s301,sel_row)</f>
        <v>421.650105732281</v>
      </c>
      <c r="F41" s="22" t="n">
        <f aca="false">SUM(C41:E41)</f>
        <v>1415.58328975193</v>
      </c>
      <c r="H41" s="9"/>
      <c r="I41" s="16" t="s">
        <v>1322</v>
      </c>
      <c r="J41" s="16"/>
    </row>
    <row r="42" customFormat="false" ht="23.85" hidden="false" customHeight="false" outlineLevel="0" collapsed="false">
      <c r="B42" s="16" t="s">
        <v>1323</v>
      </c>
      <c r="C42" s="22" t="n">
        <f aca="false">INDEX(eng_MPF,sel_row)*INDEX(eng_cv_3464,sel_row)/INDEX(eng_CV,sel_row)</f>
        <v>14.165664066941</v>
      </c>
      <c r="D42" s="22" t="n">
        <f aca="false">INDEX(eng_MPF,sel_row)*INDEX(eng_cv_3463,sel_row)/INDEX(eng_CV,sel_row)</f>
        <v>13.3782123286114</v>
      </c>
      <c r="E42" s="22" t="n">
        <f aca="false">INDEX(eng_MPF,sel_row)*INDEX(eng_cv_3460,sel_row)/INDEX(eng_CV,sel_row)</f>
        <v>11.684767730053</v>
      </c>
      <c r="F42" s="22" t="n">
        <f aca="false">SUM(C42:E42)</f>
        <v>39.2286441256054</v>
      </c>
      <c r="H42" s="9"/>
      <c r="I42" s="16" t="s">
        <v>1324</v>
      </c>
      <c r="J42" s="16"/>
    </row>
    <row r="43" customFormat="false" ht="15" hidden="false" customHeight="false" outlineLevel="0" collapsed="false">
      <c r="B43" s="16" t="s">
        <v>1066</v>
      </c>
      <c r="C43" s="22" t="n">
        <f aca="false">INDEX(eng_HMF,sel_row)*INDEX(eng_cv_3464,sel_row)/INDEX(eng_CV,sel_row)</f>
        <v>5.11174367311672</v>
      </c>
      <c r="D43" s="22" t="n">
        <f aca="false">INDEX(eng_HMF,sel_row)*INDEX(eng_cv_3463,sel_row)/INDEX(eng_CV,sel_row)</f>
        <v>4.82758816707974</v>
      </c>
      <c r="E43" s="22" t="n">
        <f aca="false">INDEX(eng_HMF,sel_row)*INDEX(eng_cv_3460,sel_row)/INDEX(eng_CV,sel_row)</f>
        <v>4.21650105732281</v>
      </c>
      <c r="F43" s="22" t="n">
        <f aca="false">SUM(C43:E43)</f>
        <v>14.1558328975193</v>
      </c>
      <c r="H43" s="9"/>
      <c r="I43" s="16" t="s">
        <v>1325</v>
      </c>
      <c r="J43" s="16"/>
    </row>
    <row r="44" customFormat="false" ht="15" hidden="false" customHeight="false" outlineLevel="0" collapsed="false">
      <c r="B44" s="16" t="s">
        <v>1326</v>
      </c>
      <c r="C44" s="20" t="n">
        <f aca="false">IF(INDEX(eng_units_3464,sel_row)&gt;0,(INDEX(eng_cv_3464,sel_row)*INDEX(eng_duty_rate,sel_row)+(INDEX(eng_MPF,sel_row)+INDEX(eng_HMF,sel_row))*INDEX(eng_cv_3464,sel_row)/INDEX(eng_CV,sel_row))/INDEX(eng_units_3464,sel_row),0)</f>
        <v>0.0205601463198345</v>
      </c>
      <c r="D44" s="20" t="n">
        <f aca="false">IF(INDEX(eng_units_3463,sel_row)&gt;0,(INDEX(eng_cv_3463,sel_row)*INDEX(eng_duty_rate,sel_row)+(INDEX(eng_MPF,sel_row)+INDEX(eng_HMF,sel_row))*INDEX(eng_cv_3463,sel_row)/INDEX(eng_CV,sel_row))/INDEX(eng_units_3463,sel_row),0)</f>
        <v>0.0194172332249483</v>
      </c>
      <c r="E44" s="20" t="n">
        <f aca="false">IF(INDEX(eng_units_3460,sel_row)&gt;0,(INDEX(eng_cv_3460,sel_row)*INDEX(eng_duty_rate,sel_row)+(INDEX(eng_MPF,sel_row)+INDEX(eng_HMF,sel_row))*INDEX(eng_cv_3460,sel_row)/INDEX(eng_CV,sel_row))/INDEX(eng_units_3460,sel_row),0)</f>
        <v>0.0169593556015371</v>
      </c>
      <c r="F44" s="22" t="str">
        <f aca="false">""</f>
        <v/>
      </c>
      <c r="H44" s="9"/>
      <c r="I44" s="16"/>
      <c r="J44" s="16" t="s">
        <v>1327</v>
      </c>
    </row>
    <row r="46" customFormat="false" ht="15" hidden="false" customHeight="false" outlineLevel="0" collapsed="false">
      <c r="A46" s="3" t="s">
        <v>1328</v>
      </c>
      <c r="B46" s="4"/>
      <c r="C46" s="4"/>
      <c r="D46" s="4"/>
      <c r="E46" s="4"/>
      <c r="F46" s="4"/>
      <c r="G46" s="4"/>
      <c r="H46" s="4"/>
      <c r="I46" s="4"/>
      <c r="J46" s="4"/>
    </row>
    <row r="47" customFormat="false" ht="23.85" hidden="false" customHeight="false" outlineLevel="0" collapsed="false">
      <c r="A47" s="13"/>
      <c r="B47" s="13" t="s">
        <v>1293</v>
      </c>
      <c r="C47" s="13" t="s">
        <v>1329</v>
      </c>
      <c r="D47" s="13" t="s">
        <v>1330</v>
      </c>
      <c r="E47" s="13" t="s">
        <v>1331</v>
      </c>
      <c r="F47" s="13" t="s">
        <v>1332</v>
      </c>
      <c r="G47" s="13"/>
      <c r="H47" s="13" t="s">
        <v>264</v>
      </c>
      <c r="I47" s="13"/>
      <c r="J47" s="13" t="s">
        <v>1333</v>
      </c>
    </row>
    <row r="48" customFormat="false" ht="23.85" hidden="false" customHeight="false" outlineLevel="0" collapsed="false">
      <c r="B48" s="16" t="s">
        <v>1334</v>
      </c>
      <c r="C48" s="28" t="n">
        <v>0</v>
      </c>
      <c r="D48" s="22" t="n">
        <f aca="false">INDEX(eng_CV,sel_row)*(INDEX(in_cus_mfn,1,sel_scen)+C48)</f>
        <v>0</v>
      </c>
      <c r="E48" s="20" t="n">
        <f aca="false">D48/INDEX(eng_SALE,sel_row)</f>
        <v>0</v>
      </c>
      <c r="F48" s="67" t="n">
        <f aca="false">(INDEX(eng_DUTY,sel_row)-D48)/INDEX(eng_REV,sel_row)</f>
        <v>0.0764103101672268</v>
      </c>
      <c r="H48" s="16" t="s">
        <v>1335</v>
      </c>
      <c r="J48" s="16" t="s">
        <v>1336</v>
      </c>
    </row>
    <row r="49" customFormat="false" ht="15" hidden="false" customHeight="false" outlineLevel="0" collapsed="false">
      <c r="B49" s="16" t="s">
        <v>1337</v>
      </c>
      <c r="C49" s="28" t="n">
        <v>0.125</v>
      </c>
      <c r="D49" s="22" t="n">
        <f aca="false">INDEX(eng_CV,sel_row)*(INDEX(in_cus_mfn,1,sel_scen)+C49)</f>
        <v>1415.58328975193</v>
      </c>
      <c r="E49" s="20" t="n">
        <f aca="false">D49/INDEX(eng_SALE,sel_row)</f>
        <v>0.0185677053706361</v>
      </c>
      <c r="F49" s="67" t="n">
        <f aca="false">(INDEX(eng_DUTY,sel_row)-D49)/INDEX(eng_REV,sel_row)</f>
        <v>0</v>
      </c>
      <c r="H49" s="16" t="s">
        <v>1338</v>
      </c>
      <c r="J49" s="16" t="s">
        <v>1339</v>
      </c>
    </row>
    <row r="50" customFormat="false" ht="23.85" hidden="false" customHeight="false" outlineLevel="0" collapsed="false">
      <c r="B50" s="16" t="s">
        <v>1340</v>
      </c>
      <c r="C50" s="28" t="n">
        <v>0.25</v>
      </c>
      <c r="D50" s="22" t="n">
        <f aca="false">INDEX(eng_CV,sel_row)*(INDEX(in_cus_mfn,1,sel_scen)+C50)</f>
        <v>2831.16657950385</v>
      </c>
      <c r="E50" s="20" t="n">
        <f aca="false">D50/INDEX(eng_SALE,sel_row)</f>
        <v>0.0371354107412722</v>
      </c>
      <c r="F50" s="67" t="n">
        <f aca="false">(INDEX(eng_DUTY,sel_row)-D50)/INDEX(eng_REV,sel_row)</f>
        <v>-0.0764103101672268</v>
      </c>
      <c r="H50" s="16" t="s">
        <v>1341</v>
      </c>
      <c r="J50" s="16" t="s">
        <v>489</v>
      </c>
    </row>
  </sheetData>
  <mergeCells count="1">
    <mergeCell ref="B19:J19"/>
  </mergeCells>
  <conditionalFormatting sqref="H6:H11">
    <cfRule type="expression" priority="2" aboveAverage="0" equalAverage="0" bottom="0" percent="0" rank="0" text="" dxfId="0">
      <formula>LEFT(H6,8)="VERIFIED"</formula>
    </cfRule>
    <cfRule type="expression" priority="3" aboveAverage="0" equalAverage="0" bottom="0" percent="0" rank="0" text="" dxfId="2">
      <formula>OR(H6="ESTIMATED",H6="CALCULATED")</formula>
    </cfRule>
    <cfRule type="expression" priority="4" aboveAverage="0" equalAverage="0" bottom="0" percent="0" rank="0" text="" dxfId="1">
      <formula>OR(H6="ASSUMED",H6="UNRESOLVED",H6="UNVERIFIED")</formula>
    </cfRule>
  </conditionalFormatting>
  <conditionalFormatting sqref="H23:H29">
    <cfRule type="expression" priority="5" aboveAverage="0" equalAverage="0" bottom="0" percent="0" rank="0" text="" dxfId="0">
      <formula>LEFT(H23,8)="VERIFIED"</formula>
    </cfRule>
    <cfRule type="expression" priority="6" aboveAverage="0" equalAverage="0" bottom="0" percent="0" rank="0" text="" dxfId="2">
      <formula>OR(H23="ESTIMATED",H23="CALCULATED")</formula>
    </cfRule>
    <cfRule type="expression" priority="7" aboveAverage="0" equalAverage="0" bottom="0" percent="0" rank="0" text="" dxfId="1">
      <formula>OR(H23="ASSUMED",H23="UNRESOLVED",H23="UNVERIFIED")</formula>
    </cfRule>
  </conditionalFormatting>
  <dataValidations count="1">
    <dataValidation allowBlank="true" error="Value outside the allowed range" errorStyle="stop" operator="between" showDropDown="false" showErrorMessage="false" showInputMessage="false" sqref="D6:F11"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R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46"/>
    <col collapsed="false" customWidth="true" hidden="false" outlineLevel="0" max="4" min="4" style="0" width="14"/>
    <col collapsed="false" customWidth="true" hidden="false" outlineLevel="0" max="5" min="5" style="0" width="11"/>
    <col collapsed="false" customWidth="true" hidden="false" outlineLevel="0" max="6" min="6" style="0" width="10"/>
    <col collapsed="false" customWidth="true" hidden="false" outlineLevel="0" max="7" min="7" style="0" width="13"/>
    <col collapsed="false" customWidth="true" hidden="false" outlineLevel="0" max="8" min="8" style="0" width="18"/>
    <col collapsed="false" customWidth="true" hidden="false" outlineLevel="0" max="9" min="9" style="0" width="15"/>
    <col collapsed="false" customWidth="true" hidden="false" outlineLevel="0" max="10" min="10" style="0" width="14"/>
    <col collapsed="false" customWidth="true" hidden="false" outlineLevel="0" max="11" min="11" style="0" width="18"/>
    <col collapsed="false" customWidth="true" hidden="false" outlineLevel="0" max="12" min="12" style="0" width="10"/>
    <col collapsed="false" customWidth="true" hidden="false" outlineLevel="0" max="13" min="13" style="0" width="16"/>
    <col collapsed="false" customWidth="true" hidden="false" outlineLevel="0" max="16" min="14" style="0" width="14"/>
    <col collapsed="false" customWidth="true" hidden="false" outlineLevel="0" max="17" min="17" style="0" width="8"/>
    <col collapsed="false" customWidth="true" hidden="false" outlineLevel="0" max="18" min="18" style="0" width="30"/>
  </cols>
  <sheetData>
    <row r="1" customFormat="false" ht="18.55" hidden="false" customHeight="false" outlineLevel="0" collapsed="false">
      <c r="A1" s="1" t="s">
        <v>1342</v>
      </c>
    </row>
    <row r="2" customFormat="false" ht="15" hidden="false" customHeight="false" outlineLevel="0" collapsed="false">
      <c r="A2" s="2" t="s">
        <v>1343</v>
      </c>
    </row>
    <row r="3" customFormat="false" ht="15" hidden="false" customHeight="false" outlineLevel="0" collapsed="false">
      <c r="A3" s="29" t="s">
        <v>1344</v>
      </c>
      <c r="C3" s="8" t="str">
        <f aca="false">CHOOSE(sel_scen,"LOW","BASE","STRESS")&amp;" | "&amp;INDEX(cfg_name,sel_cfg)&amp;" | "&amp;INDEX(dest_gw,sel_dest)&amp;" → "&amp;INDEX(dest_name,sel_dest)</f>
        <v>BASE | C4 Full 40' HC – equal-units mix (max) | New York/New Jersey → Edison, NJ (ZIP 08837 – Central NJ warehouse cluster)</v>
      </c>
      <c r="D3" s="8"/>
      <c r="E3" s="8"/>
      <c r="F3" s="8"/>
      <c r="G3" s="8"/>
      <c r="H3" s="8"/>
      <c r="I3" s="8"/>
      <c r="J3" s="8"/>
      <c r="K3" s="8"/>
      <c r="L3" s="8"/>
      <c r="M3" s="8"/>
      <c r="N3" s="8"/>
      <c r="O3" s="8"/>
      <c r="P3" s="8"/>
      <c r="Q3" s="8"/>
      <c r="R3" s="8"/>
    </row>
    <row r="5" customFormat="false" ht="15" hidden="false" customHeight="false" outlineLevel="0" collapsed="false">
      <c r="A5" s="3" t="s">
        <v>1345</v>
      </c>
      <c r="B5" s="4"/>
      <c r="C5" s="4"/>
      <c r="D5" s="4"/>
      <c r="E5" s="4"/>
      <c r="F5" s="4"/>
      <c r="G5" s="4"/>
      <c r="H5" s="4"/>
      <c r="I5" s="4"/>
      <c r="J5" s="4"/>
      <c r="K5" s="4"/>
      <c r="L5" s="4"/>
      <c r="M5" s="4"/>
      <c r="N5" s="4"/>
      <c r="O5" s="4"/>
      <c r="P5" s="4"/>
      <c r="Q5" s="4"/>
      <c r="R5" s="4"/>
    </row>
    <row r="6" customFormat="false" ht="23.85" hidden="false" customHeight="false" outlineLevel="0" collapsed="false">
      <c r="A6" s="13" t="s">
        <v>279</v>
      </c>
      <c r="B6" s="13" t="s">
        <v>1346</v>
      </c>
      <c r="C6" s="13" t="s">
        <v>1347</v>
      </c>
      <c r="D6" s="13" t="s">
        <v>1348</v>
      </c>
      <c r="E6" s="13" t="s">
        <v>1349</v>
      </c>
      <c r="F6" s="13" t="s">
        <v>229</v>
      </c>
      <c r="G6" s="13" t="s">
        <v>1350</v>
      </c>
      <c r="H6" s="13" t="s">
        <v>1351</v>
      </c>
      <c r="I6" s="13" t="s">
        <v>1352</v>
      </c>
      <c r="J6" s="13" t="s">
        <v>283</v>
      </c>
      <c r="K6" s="13" t="s">
        <v>282</v>
      </c>
      <c r="L6" s="13" t="s">
        <v>1218</v>
      </c>
      <c r="M6" s="13" t="s">
        <v>1353</v>
      </c>
      <c r="N6" s="13" t="s">
        <v>1354</v>
      </c>
      <c r="O6" s="13" t="s">
        <v>1355</v>
      </c>
      <c r="P6" s="13" t="s">
        <v>1356</v>
      </c>
      <c r="Q6" s="13" t="s">
        <v>1357</v>
      </c>
      <c r="R6" s="13" t="s">
        <v>218</v>
      </c>
    </row>
    <row r="7" customFormat="false" ht="30" hidden="false" customHeight="true" outlineLevel="0" collapsed="false">
      <c r="A7" s="9" t="s">
        <v>1358</v>
      </c>
      <c r="B7" s="9" t="s">
        <v>1359</v>
      </c>
      <c r="C7" s="16" t="s">
        <v>1360</v>
      </c>
      <c r="D7" s="9" t="s">
        <v>1098</v>
      </c>
      <c r="E7" s="9" t="s">
        <v>1361</v>
      </c>
      <c r="F7" s="9" t="s">
        <v>1362</v>
      </c>
      <c r="G7" s="9" t="s">
        <v>1327</v>
      </c>
      <c r="H7" s="16" t="s">
        <v>1363</v>
      </c>
      <c r="I7" s="9" t="s">
        <v>1364</v>
      </c>
      <c r="J7" s="9" t="s">
        <v>308</v>
      </c>
      <c r="K7" s="9" t="s">
        <v>292</v>
      </c>
      <c r="L7" s="9" t="s">
        <v>1101</v>
      </c>
      <c r="M7" s="16" t="s">
        <v>533</v>
      </c>
      <c r="N7" s="16" t="s">
        <v>1365</v>
      </c>
      <c r="O7" s="22" t="n">
        <f aca="false">INDEX(eng_SUP,sel_row)</f>
        <v>11324.6663180154</v>
      </c>
      <c r="P7" s="22" t="n">
        <f aca="false">INDEX(eng_SUP,sel_row)</f>
        <v>11324.6663180154</v>
      </c>
      <c r="Q7" s="6" t="n">
        <v>1</v>
      </c>
      <c r="R7" s="16" t="s">
        <v>1366</v>
      </c>
    </row>
    <row r="8" customFormat="false" ht="30" hidden="false" customHeight="true" outlineLevel="0" collapsed="false">
      <c r="A8" s="9" t="s">
        <v>1367</v>
      </c>
      <c r="B8" s="9" t="s">
        <v>1368</v>
      </c>
      <c r="C8" s="16" t="s">
        <v>1369</v>
      </c>
      <c r="D8" s="9" t="s">
        <v>1370</v>
      </c>
      <c r="E8" s="9" t="s">
        <v>1371</v>
      </c>
      <c r="F8" s="9" t="s">
        <v>1362</v>
      </c>
      <c r="G8" s="9" t="s">
        <v>1372</v>
      </c>
      <c r="H8" s="16" t="s">
        <v>1373</v>
      </c>
      <c r="I8" s="9" t="s">
        <v>1364</v>
      </c>
      <c r="J8" s="9" t="s">
        <v>293</v>
      </c>
      <c r="K8" s="9" t="s">
        <v>297</v>
      </c>
      <c r="L8" s="9" t="s">
        <v>1101</v>
      </c>
      <c r="M8" s="16" t="s">
        <v>1374</v>
      </c>
      <c r="N8" s="16" t="s">
        <v>1375</v>
      </c>
      <c r="O8" s="22" t="n">
        <f aca="false">INDEX(eng_VAT_CASH,sel_row)</f>
        <v>1585.45328452216</v>
      </c>
      <c r="P8" s="22" t="n">
        <f aca="false">INDEX(eng_VAT_ECON,sel_row)</f>
        <v>0</v>
      </c>
      <c r="Q8" s="6" t="n">
        <v>1</v>
      </c>
      <c r="R8" s="16" t="s">
        <v>1376</v>
      </c>
    </row>
    <row r="9" customFormat="false" ht="30" hidden="false" customHeight="true" outlineLevel="0" collapsed="false">
      <c r="A9" s="9" t="s">
        <v>1377</v>
      </c>
      <c r="B9" s="9" t="s">
        <v>1359</v>
      </c>
      <c r="C9" s="16" t="s">
        <v>1378</v>
      </c>
      <c r="D9" s="9" t="s">
        <v>1098</v>
      </c>
      <c r="E9" s="9" t="s">
        <v>1361</v>
      </c>
      <c r="F9" s="9" t="s">
        <v>1362</v>
      </c>
      <c r="G9" s="9" t="s">
        <v>1379</v>
      </c>
      <c r="H9" s="16" t="s">
        <v>1380</v>
      </c>
      <c r="I9" s="9" t="s">
        <v>1381</v>
      </c>
      <c r="J9" s="9"/>
      <c r="K9" s="9" t="s">
        <v>287</v>
      </c>
      <c r="L9" s="9" t="s">
        <v>1115</v>
      </c>
      <c r="M9" s="16" t="s">
        <v>533</v>
      </c>
      <c r="N9" s="16" t="s">
        <v>1382</v>
      </c>
      <c r="O9" s="22" t="n">
        <f aca="false">INDEX(eng_tooling,sel_row)</f>
        <v>0</v>
      </c>
      <c r="P9" s="22" t="n">
        <f aca="false">INDEX(eng_tooling,sel_row)</f>
        <v>0</v>
      </c>
      <c r="Q9" s="6" t="n">
        <v>1</v>
      </c>
      <c r="R9" s="16"/>
    </row>
    <row r="10" customFormat="false" ht="30" hidden="false" customHeight="true" outlineLevel="0" collapsed="false">
      <c r="A10" s="9" t="s">
        <v>1383</v>
      </c>
      <c r="B10" s="9" t="s">
        <v>1384</v>
      </c>
      <c r="C10" s="16" t="s">
        <v>1385</v>
      </c>
      <c r="D10" s="9" t="s">
        <v>1098</v>
      </c>
      <c r="E10" s="9" t="s">
        <v>1386</v>
      </c>
      <c r="F10" s="9" t="s">
        <v>1362</v>
      </c>
      <c r="G10" s="9" t="s">
        <v>1387</v>
      </c>
      <c r="H10" s="16" t="s">
        <v>1388</v>
      </c>
      <c r="I10" s="9" t="s">
        <v>1389</v>
      </c>
      <c r="J10" s="9" t="s">
        <v>804</v>
      </c>
      <c r="K10" s="9" t="s">
        <v>303</v>
      </c>
      <c r="L10" s="9" t="s">
        <v>1115</v>
      </c>
      <c r="M10" s="16" t="s">
        <v>533</v>
      </c>
      <c r="N10" s="16" t="s">
        <v>1390</v>
      </c>
      <c r="O10" s="22" t="n">
        <f aca="false">IF(INDEX(eng_ct,sel_row)=4,INDEX(in_ori_lcl_truck,1,sel_scen),INDEX(eng_n,sel_row)*IF(INDEX(eng_ct,sel_row)=1,INDEX(in_ori_truck_20,1,sel_scen),INDEX(in_ori_truck_40,1,sel_scen)))/INDEX(eng_fx,sel_row)</f>
        <v>265.278125165799</v>
      </c>
      <c r="P10" s="22" t="n">
        <f aca="false">O10</f>
        <v>265.278125165799</v>
      </c>
      <c r="Q10" s="6" t="n">
        <v>1</v>
      </c>
      <c r="R10" s="16"/>
    </row>
    <row r="11" customFormat="false" ht="30" hidden="false" customHeight="true" outlineLevel="0" collapsed="false">
      <c r="A11" s="9" t="s">
        <v>1391</v>
      </c>
      <c r="B11" s="9" t="s">
        <v>1384</v>
      </c>
      <c r="C11" s="16" t="s">
        <v>818</v>
      </c>
      <c r="D11" s="9" t="s">
        <v>1098</v>
      </c>
      <c r="E11" s="9" t="s">
        <v>1392</v>
      </c>
      <c r="F11" s="9" t="s">
        <v>1393</v>
      </c>
      <c r="G11" s="9" t="s">
        <v>1387</v>
      </c>
      <c r="H11" s="16" t="s">
        <v>1394</v>
      </c>
      <c r="I11" s="9" t="s">
        <v>1389</v>
      </c>
      <c r="J11" s="9" t="s">
        <v>821</v>
      </c>
      <c r="K11" s="9" t="s">
        <v>820</v>
      </c>
      <c r="L11" s="9" t="s">
        <v>1101</v>
      </c>
      <c r="M11" s="16" t="s">
        <v>533</v>
      </c>
      <c r="N11" s="16" t="s">
        <v>1390</v>
      </c>
      <c r="O11" s="22" t="n">
        <f aca="false">IF(INDEX(eng_ct,sel_row)=4,0,INDEX(eng_n,sel_row)*INDEX(in_ori_terminal,1,sel_scen))</f>
        <v>65</v>
      </c>
      <c r="P11" s="22" t="n">
        <f aca="false">O11</f>
        <v>65</v>
      </c>
      <c r="Q11" s="6" t="n">
        <v>1</v>
      </c>
      <c r="R11" s="16"/>
    </row>
    <row r="12" customFormat="false" ht="30" hidden="false" customHeight="true" outlineLevel="0" collapsed="false">
      <c r="A12" s="9" t="s">
        <v>1395</v>
      </c>
      <c r="B12" s="9" t="s">
        <v>1384</v>
      </c>
      <c r="C12" s="16" t="s">
        <v>1396</v>
      </c>
      <c r="D12" s="9" t="s">
        <v>1098</v>
      </c>
      <c r="E12" s="9" t="s">
        <v>1397</v>
      </c>
      <c r="F12" s="9" t="s">
        <v>37</v>
      </c>
      <c r="G12" s="9" t="s">
        <v>1387</v>
      </c>
      <c r="H12" s="16" t="s">
        <v>1398</v>
      </c>
      <c r="I12" s="9" t="s">
        <v>1389</v>
      </c>
      <c r="J12" s="9" t="s">
        <v>825</v>
      </c>
      <c r="K12" s="9" t="s">
        <v>820</v>
      </c>
      <c r="L12" s="9" t="s">
        <v>1101</v>
      </c>
      <c r="M12" s="16" t="s">
        <v>533</v>
      </c>
      <c r="N12" s="16" t="s">
        <v>1390</v>
      </c>
      <c r="O12" s="22" t="n">
        <f aca="false">IF(INDEX(eng_ct,sel_row)=4,0,INDEX(eng_n,sel_row)*IF(INDEX(eng_ct,sel_row)=1,INDEX(in_ori_othc_20,1,sel_scen),INDEX(in_ori_othc_40,1,sel_scen))*(1-INDEX(in_ori_othc_in_freight,1,sel_scen)))</f>
        <v>210</v>
      </c>
      <c r="P12" s="22" t="n">
        <f aca="false">O12</f>
        <v>210</v>
      </c>
      <c r="Q12" s="6" t="n">
        <v>1</v>
      </c>
      <c r="R12" s="16" t="s">
        <v>1399</v>
      </c>
    </row>
    <row r="13" customFormat="false" ht="30" hidden="false" customHeight="true" outlineLevel="0" collapsed="false">
      <c r="A13" s="9" t="s">
        <v>1400</v>
      </c>
      <c r="B13" s="9" t="s">
        <v>1384</v>
      </c>
      <c r="C13" s="16" t="s">
        <v>835</v>
      </c>
      <c r="D13" s="9" t="s">
        <v>1098</v>
      </c>
      <c r="E13" s="9" t="s">
        <v>1397</v>
      </c>
      <c r="F13" s="9" t="s">
        <v>37</v>
      </c>
      <c r="G13" s="9" t="s">
        <v>1387</v>
      </c>
      <c r="H13" s="16" t="s">
        <v>1401</v>
      </c>
      <c r="I13" s="9" t="s">
        <v>1389</v>
      </c>
      <c r="J13" s="9"/>
      <c r="K13" s="9" t="s">
        <v>287</v>
      </c>
      <c r="L13" s="9" t="s">
        <v>1115</v>
      </c>
      <c r="M13" s="16" t="s">
        <v>533</v>
      </c>
      <c r="N13" s="16" t="s">
        <v>1390</v>
      </c>
      <c r="O13" s="22" t="n">
        <f aca="false">IF(INDEX(eng_ct,sel_row)=4,0,INDEX(eng_n,sel_row)*INDEX(in_ori_seal,1,sel_scen))</f>
        <v>15</v>
      </c>
      <c r="P13" s="22" t="n">
        <f aca="false">O13</f>
        <v>15</v>
      </c>
      <c r="Q13" s="6" t="n">
        <v>1</v>
      </c>
      <c r="R13" s="16"/>
    </row>
    <row r="14" customFormat="false" ht="30" hidden="false" customHeight="true" outlineLevel="0" collapsed="false">
      <c r="A14" s="9" t="s">
        <v>1402</v>
      </c>
      <c r="B14" s="9" t="s">
        <v>1384</v>
      </c>
      <c r="C14" s="16" t="s">
        <v>843</v>
      </c>
      <c r="D14" s="9" t="s">
        <v>1098</v>
      </c>
      <c r="E14" s="9" t="s">
        <v>1403</v>
      </c>
      <c r="F14" s="9" t="s">
        <v>37</v>
      </c>
      <c r="G14" s="9" t="s">
        <v>1387</v>
      </c>
      <c r="H14" s="16" t="s">
        <v>1404</v>
      </c>
      <c r="I14" s="9" t="s">
        <v>1389</v>
      </c>
      <c r="J14" s="9" t="s">
        <v>821</v>
      </c>
      <c r="K14" s="9" t="s">
        <v>820</v>
      </c>
      <c r="L14" s="9" t="s">
        <v>1115</v>
      </c>
      <c r="M14" s="16" t="s">
        <v>533</v>
      </c>
      <c r="N14" s="16" t="s">
        <v>1390</v>
      </c>
      <c r="O14" s="22" t="n">
        <f aca="false">IF(INDEX(eng_ct,sel_row)=4,0,INDEX(eng_n,sel_row)*INDEX(in_ori_inspection,1,sel_scen))</f>
        <v>0</v>
      </c>
      <c r="P14" s="22" t="n">
        <f aca="false">O14</f>
        <v>0</v>
      </c>
      <c r="Q14" s="6" t="n">
        <v>1</v>
      </c>
      <c r="R14" s="16" t="s">
        <v>1405</v>
      </c>
    </row>
    <row r="15" customFormat="false" ht="30" hidden="false" customHeight="true" outlineLevel="0" collapsed="false">
      <c r="A15" s="9" t="s">
        <v>1406</v>
      </c>
      <c r="B15" s="9" t="s">
        <v>1384</v>
      </c>
      <c r="C15" s="16" t="s">
        <v>1407</v>
      </c>
      <c r="D15" s="9" t="s">
        <v>1098</v>
      </c>
      <c r="E15" s="9" t="s">
        <v>1408</v>
      </c>
      <c r="F15" s="9" t="s">
        <v>37</v>
      </c>
      <c r="G15" s="9" t="s">
        <v>1409</v>
      </c>
      <c r="H15" s="16" t="s">
        <v>1410</v>
      </c>
      <c r="I15" s="9" t="s">
        <v>1389</v>
      </c>
      <c r="J15" s="9" t="s">
        <v>846</v>
      </c>
      <c r="K15" s="9" t="s">
        <v>820</v>
      </c>
      <c r="L15" s="9" t="s">
        <v>1115</v>
      </c>
      <c r="M15" s="16" t="s">
        <v>533</v>
      </c>
      <c r="N15" s="16" t="s">
        <v>1390</v>
      </c>
      <c r="O15" s="22" t="n">
        <f aca="false">IF(INDEX(eng_ct,sel_row)=4,0,INDEX(eng_n,sel_row)*INDEX(in_ori_dd_days,1,sel_scen)*IF(INDEX(eng_ct,sel_row)=1,INDEX(in_ori_dd_20,1,sel_scen),INDEX(in_ori_dd_40,1,sel_scen)))</f>
        <v>0</v>
      </c>
      <c r="P15" s="22" t="n">
        <f aca="false">O15</f>
        <v>0</v>
      </c>
      <c r="Q15" s="6" t="n">
        <v>1</v>
      </c>
      <c r="R15" s="16" t="s">
        <v>1405</v>
      </c>
    </row>
    <row r="16" customFormat="false" ht="30" hidden="false" customHeight="true" outlineLevel="0" collapsed="false">
      <c r="A16" s="9" t="s">
        <v>1411</v>
      </c>
      <c r="B16" s="9" t="s">
        <v>1384</v>
      </c>
      <c r="C16" s="16" t="s">
        <v>854</v>
      </c>
      <c r="D16" s="9" t="s">
        <v>1098</v>
      </c>
      <c r="E16" s="9" t="s">
        <v>1397</v>
      </c>
      <c r="F16" s="9" t="s">
        <v>1362</v>
      </c>
      <c r="G16" s="9" t="s">
        <v>1387</v>
      </c>
      <c r="H16" s="16" t="s">
        <v>1412</v>
      </c>
      <c r="I16" s="9" t="s">
        <v>1389</v>
      </c>
      <c r="J16" s="9" t="s">
        <v>855</v>
      </c>
      <c r="K16" s="9" t="s">
        <v>287</v>
      </c>
      <c r="L16" s="9" t="s">
        <v>1115</v>
      </c>
      <c r="M16" s="16" t="s">
        <v>533</v>
      </c>
      <c r="N16" s="16" t="s">
        <v>1390</v>
      </c>
      <c r="O16" s="22" t="n">
        <f aca="false">IF(INDEX(eng_ct,sel_row)=4,0,INDEX(eng_n,sel_row)*INDEX(in_ori_loading_egp,1,sel_scen)/INDEX(eng_fx,sel_row))</f>
        <v>0</v>
      </c>
      <c r="P16" s="22" t="n">
        <f aca="false">O16</f>
        <v>0</v>
      </c>
      <c r="Q16" s="6" t="n">
        <v>1</v>
      </c>
      <c r="R16" s="16" t="s">
        <v>1405</v>
      </c>
    </row>
    <row r="17" customFormat="false" ht="30" hidden="false" customHeight="true" outlineLevel="0" collapsed="false">
      <c r="A17" s="9" t="s">
        <v>1413</v>
      </c>
      <c r="B17" s="9" t="s">
        <v>1384</v>
      </c>
      <c r="C17" s="16" t="s">
        <v>1414</v>
      </c>
      <c r="D17" s="9" t="s">
        <v>1098</v>
      </c>
      <c r="E17" s="9" t="s">
        <v>1415</v>
      </c>
      <c r="F17" s="9" t="s">
        <v>37</v>
      </c>
      <c r="G17" s="9" t="s">
        <v>1416</v>
      </c>
      <c r="H17" s="16" t="s">
        <v>1417</v>
      </c>
      <c r="I17" s="9" t="s">
        <v>1389</v>
      </c>
      <c r="J17" s="9"/>
      <c r="K17" s="9" t="s">
        <v>287</v>
      </c>
      <c r="L17" s="9" t="s">
        <v>1115</v>
      </c>
      <c r="M17" s="16" t="s">
        <v>533</v>
      </c>
      <c r="N17" s="16" t="s">
        <v>1390</v>
      </c>
      <c r="O17" s="22" t="n">
        <f aca="false">IF(INDEX(eng_ct,sel_row)=4,INDEX(in_ori_lcl_cfs_o,1,sel_scen),0)</f>
        <v>0</v>
      </c>
      <c r="P17" s="22" t="n">
        <f aca="false">O17</f>
        <v>0</v>
      </c>
      <c r="Q17" s="6" t="n">
        <v>1</v>
      </c>
      <c r="R17" s="16" t="s">
        <v>1418</v>
      </c>
    </row>
    <row r="18" customFormat="false" ht="30" hidden="false" customHeight="true" outlineLevel="0" collapsed="false">
      <c r="A18" s="9" t="s">
        <v>1419</v>
      </c>
      <c r="B18" s="9" t="s">
        <v>1384</v>
      </c>
      <c r="C18" s="16" t="s">
        <v>1420</v>
      </c>
      <c r="D18" s="9" t="s">
        <v>1098</v>
      </c>
      <c r="E18" s="9" t="s">
        <v>1421</v>
      </c>
      <c r="F18" s="9" t="s">
        <v>1362</v>
      </c>
      <c r="G18" s="9" t="s">
        <v>1416</v>
      </c>
      <c r="H18" s="16" t="s">
        <v>1422</v>
      </c>
      <c r="I18" s="9" t="s">
        <v>1381</v>
      </c>
      <c r="J18" s="9" t="s">
        <v>812</v>
      </c>
      <c r="K18" s="9" t="s">
        <v>287</v>
      </c>
      <c r="L18" s="9" t="s">
        <v>1115</v>
      </c>
      <c r="M18" s="16" t="s">
        <v>533</v>
      </c>
      <c r="N18" s="16" t="s">
        <v>1390</v>
      </c>
      <c r="O18" s="22" t="n">
        <f aca="false">INDEX(in_ori_clearance,1,sel_scen)/INDEX(eng_fx,sel_row)</f>
        <v>113.690625071057</v>
      </c>
      <c r="P18" s="22" t="n">
        <f aca="false">O18</f>
        <v>113.690625071057</v>
      </c>
      <c r="Q18" s="6" t="n">
        <v>1</v>
      </c>
      <c r="R18" s="16"/>
    </row>
    <row r="19" customFormat="false" ht="30" hidden="false" customHeight="true" outlineLevel="0" collapsed="false">
      <c r="A19" s="9" t="s">
        <v>1423</v>
      </c>
      <c r="B19" s="9" t="s">
        <v>1384</v>
      </c>
      <c r="C19" s="16" t="s">
        <v>1424</v>
      </c>
      <c r="D19" s="9" t="s">
        <v>1098</v>
      </c>
      <c r="E19" s="9" t="s">
        <v>1421</v>
      </c>
      <c r="F19" s="9" t="s">
        <v>1362</v>
      </c>
      <c r="G19" s="9" t="s">
        <v>1416</v>
      </c>
      <c r="H19" s="16" t="s">
        <v>1425</v>
      </c>
      <c r="I19" s="9" t="s">
        <v>1381</v>
      </c>
      <c r="J19" s="9"/>
      <c r="K19" s="9" t="s">
        <v>287</v>
      </c>
      <c r="L19" s="9" t="s">
        <v>1115</v>
      </c>
      <c r="M19" s="16" t="s">
        <v>533</v>
      </c>
      <c r="N19" s="16" t="s">
        <v>1390</v>
      </c>
      <c r="O19" s="22" t="n">
        <f aca="false">INDEX(in_ori_coo,1,sel_scen)/INDEX(eng_fx,sel_row)</f>
        <v>18.9484375118428</v>
      </c>
      <c r="P19" s="22" t="n">
        <f aca="false">O19</f>
        <v>18.9484375118428</v>
      </c>
      <c r="Q19" s="6" t="n">
        <v>1</v>
      </c>
      <c r="R19" s="16"/>
    </row>
    <row r="20" customFormat="false" ht="30" hidden="false" customHeight="true" outlineLevel="0" collapsed="false">
      <c r="A20" s="9" t="s">
        <v>1426</v>
      </c>
      <c r="B20" s="9" t="s">
        <v>1384</v>
      </c>
      <c r="C20" s="16" t="s">
        <v>1427</v>
      </c>
      <c r="D20" s="9" t="s">
        <v>1098</v>
      </c>
      <c r="E20" s="9" t="s">
        <v>1428</v>
      </c>
      <c r="F20" s="9" t="s">
        <v>37</v>
      </c>
      <c r="G20" s="9" t="s">
        <v>1416</v>
      </c>
      <c r="H20" s="16" t="s">
        <v>1429</v>
      </c>
      <c r="I20" s="9" t="s">
        <v>1381</v>
      </c>
      <c r="J20" s="9" t="s">
        <v>825</v>
      </c>
      <c r="K20" s="9" t="s">
        <v>287</v>
      </c>
      <c r="L20" s="9" t="s">
        <v>1115</v>
      </c>
      <c r="M20" s="16" t="s">
        <v>533</v>
      </c>
      <c r="N20" s="16" t="s">
        <v>1390</v>
      </c>
      <c r="O20" s="22" t="n">
        <f aca="false">INDEX(in_ori_bl_fee,1,sel_scen)</f>
        <v>75</v>
      </c>
      <c r="P20" s="22" t="n">
        <f aca="false">O20</f>
        <v>75</v>
      </c>
      <c r="Q20" s="6" t="n">
        <v>1</v>
      </c>
      <c r="R20" s="16"/>
    </row>
    <row r="21" customFormat="false" ht="30" hidden="false" customHeight="true" outlineLevel="0" collapsed="false">
      <c r="A21" s="9" t="s">
        <v>1430</v>
      </c>
      <c r="B21" s="9" t="s">
        <v>1384</v>
      </c>
      <c r="C21" s="16" t="s">
        <v>1431</v>
      </c>
      <c r="D21" s="9" t="s">
        <v>1098</v>
      </c>
      <c r="E21" s="9" t="s">
        <v>1432</v>
      </c>
      <c r="F21" s="9" t="s">
        <v>37</v>
      </c>
      <c r="G21" s="9" t="s">
        <v>1416</v>
      </c>
      <c r="H21" s="16" t="s">
        <v>1433</v>
      </c>
      <c r="I21" s="9" t="s">
        <v>1381</v>
      </c>
      <c r="J21" s="9"/>
      <c r="K21" s="9" t="s">
        <v>287</v>
      </c>
      <c r="L21" s="9" t="s">
        <v>1115</v>
      </c>
      <c r="M21" s="16" t="s">
        <v>533</v>
      </c>
      <c r="N21" s="16" t="s">
        <v>1390</v>
      </c>
      <c r="O21" s="22" t="n">
        <f aca="false">INDEX(in_ori_fwd_fee,1,sel_scen)</f>
        <v>100</v>
      </c>
      <c r="P21" s="22" t="n">
        <f aca="false">O21</f>
        <v>100</v>
      </c>
      <c r="Q21" s="6" t="n">
        <v>1</v>
      </c>
      <c r="R21" s="16"/>
    </row>
    <row r="22" customFormat="false" ht="30" hidden="false" customHeight="true" outlineLevel="0" collapsed="false">
      <c r="A22" s="9" t="s">
        <v>1434</v>
      </c>
      <c r="B22" s="9" t="s">
        <v>1384</v>
      </c>
      <c r="C22" s="16" t="s">
        <v>1435</v>
      </c>
      <c r="D22" s="9" t="s">
        <v>1098</v>
      </c>
      <c r="E22" s="9" t="s">
        <v>1436</v>
      </c>
      <c r="F22" s="9" t="s">
        <v>37</v>
      </c>
      <c r="G22" s="9" t="s">
        <v>1416</v>
      </c>
      <c r="H22" s="16" t="s">
        <v>1437</v>
      </c>
      <c r="I22" s="9" t="s">
        <v>1381</v>
      </c>
      <c r="J22" s="9"/>
      <c r="K22" s="9" t="s">
        <v>287</v>
      </c>
      <c r="L22" s="9" t="s">
        <v>1115</v>
      </c>
      <c r="M22" s="16" t="s">
        <v>533</v>
      </c>
      <c r="N22" s="16" t="s">
        <v>1390</v>
      </c>
      <c r="O22" s="22" t="n">
        <f aca="false">INDEX(in_ori_qc,1,sel_scen)</f>
        <v>350</v>
      </c>
      <c r="P22" s="22" t="n">
        <f aca="false">O22</f>
        <v>350</v>
      </c>
      <c r="Q22" s="6" t="n">
        <v>1</v>
      </c>
      <c r="R22" s="16"/>
    </row>
    <row r="23" customFormat="false" ht="30" hidden="false" customHeight="true" outlineLevel="0" collapsed="false">
      <c r="A23" s="9" t="s">
        <v>1438</v>
      </c>
      <c r="B23" s="9" t="s">
        <v>1384</v>
      </c>
      <c r="C23" s="16" t="s">
        <v>1439</v>
      </c>
      <c r="D23" s="9" t="s">
        <v>1098</v>
      </c>
      <c r="E23" s="9" t="s">
        <v>1440</v>
      </c>
      <c r="F23" s="9" t="s">
        <v>37</v>
      </c>
      <c r="G23" s="9" t="s">
        <v>1441</v>
      </c>
      <c r="H23" s="16" t="s">
        <v>1442</v>
      </c>
      <c r="I23" s="9" t="s">
        <v>1381</v>
      </c>
      <c r="J23" s="9"/>
      <c r="K23" s="9" t="s">
        <v>287</v>
      </c>
      <c r="L23" s="9" t="s">
        <v>1115</v>
      </c>
      <c r="M23" s="16" t="s">
        <v>533</v>
      </c>
      <c r="N23" s="16" t="s">
        <v>1443</v>
      </c>
      <c r="O23" s="22" t="n">
        <f aca="false">INDEX(in_ori_wires,1,sel_scen)*INDEX(in_ori_wire_fee,1,sel_scen)</f>
        <v>160</v>
      </c>
      <c r="P23" s="22" t="n">
        <f aca="false">O23</f>
        <v>160</v>
      </c>
      <c r="Q23" s="6" t="n">
        <v>1</v>
      </c>
      <c r="R23" s="16"/>
    </row>
    <row r="24" customFormat="false" ht="30" hidden="false" customHeight="true" outlineLevel="0" collapsed="false">
      <c r="A24" s="9" t="s">
        <v>1444</v>
      </c>
      <c r="B24" s="9" t="s">
        <v>1445</v>
      </c>
      <c r="C24" s="16" t="s">
        <v>1446</v>
      </c>
      <c r="D24" s="9" t="s">
        <v>1098</v>
      </c>
      <c r="E24" s="9" t="s">
        <v>1432</v>
      </c>
      <c r="F24" s="9" t="s">
        <v>37</v>
      </c>
      <c r="G24" s="9" t="s">
        <v>1387</v>
      </c>
      <c r="H24" s="16" t="s">
        <v>1447</v>
      </c>
      <c r="I24" s="9" t="s">
        <v>1389</v>
      </c>
      <c r="J24" s="9" t="s">
        <v>1448</v>
      </c>
      <c r="K24" s="9" t="s">
        <v>303</v>
      </c>
      <c r="L24" s="9" t="s">
        <v>1449</v>
      </c>
      <c r="M24" s="16" t="s">
        <v>533</v>
      </c>
      <c r="N24" s="16" t="s">
        <v>1450</v>
      </c>
      <c r="O24" s="22" t="n">
        <f aca="false">INDEX(eng_ocean_ctr,sel_row)</f>
        <v>4000</v>
      </c>
      <c r="P24" s="22" t="n">
        <f aca="false">O24</f>
        <v>4000</v>
      </c>
      <c r="Q24" s="6" t="n">
        <v>1</v>
      </c>
      <c r="R24" s="16"/>
    </row>
    <row r="25" customFormat="false" ht="30" hidden="false" customHeight="true" outlineLevel="0" collapsed="false">
      <c r="A25" s="9" t="s">
        <v>1451</v>
      </c>
      <c r="B25" s="9" t="s">
        <v>1445</v>
      </c>
      <c r="C25" s="16" t="s">
        <v>1452</v>
      </c>
      <c r="D25" s="9" t="s">
        <v>1098</v>
      </c>
      <c r="E25" s="9" t="s">
        <v>1432</v>
      </c>
      <c r="F25" s="9" t="s">
        <v>37</v>
      </c>
      <c r="G25" s="9" t="s">
        <v>1453</v>
      </c>
      <c r="H25" s="16" t="s">
        <v>1454</v>
      </c>
      <c r="I25" s="9" t="s">
        <v>1389</v>
      </c>
      <c r="J25" s="9"/>
      <c r="K25" s="9" t="s">
        <v>287</v>
      </c>
      <c r="L25" s="9" t="s">
        <v>1115</v>
      </c>
      <c r="M25" s="16" t="s">
        <v>533</v>
      </c>
      <c r="N25" s="16" t="s">
        <v>1390</v>
      </c>
      <c r="O25" s="22" t="n">
        <f aca="false">INDEX(in_oce_ams,1,sel_scen)</f>
        <v>35</v>
      </c>
      <c r="P25" s="22" t="n">
        <f aca="false">O25</f>
        <v>35</v>
      </c>
      <c r="Q25" s="6" t="n">
        <v>1</v>
      </c>
      <c r="R25" s="16"/>
    </row>
    <row r="26" customFormat="false" ht="30" hidden="false" customHeight="true" outlineLevel="0" collapsed="false">
      <c r="A26" s="9" t="s">
        <v>1455</v>
      </c>
      <c r="B26" s="9" t="s">
        <v>1456</v>
      </c>
      <c r="C26" s="16" t="s">
        <v>1457</v>
      </c>
      <c r="D26" s="9" t="s">
        <v>1098</v>
      </c>
      <c r="E26" s="9" t="s">
        <v>1458</v>
      </c>
      <c r="F26" s="9" t="s">
        <v>37</v>
      </c>
      <c r="G26" s="9" t="s">
        <v>1459</v>
      </c>
      <c r="H26" s="16" t="s">
        <v>1460</v>
      </c>
      <c r="I26" s="9" t="s">
        <v>1461</v>
      </c>
      <c r="J26" s="9" t="s">
        <v>907</v>
      </c>
      <c r="K26" s="9" t="s">
        <v>303</v>
      </c>
      <c r="L26" s="9" t="s">
        <v>1449</v>
      </c>
      <c r="M26" s="16" t="s">
        <v>533</v>
      </c>
      <c r="N26" s="16" t="s">
        <v>1390</v>
      </c>
      <c r="O26" s="22" t="n">
        <f aca="false">INDEX(eng_INS,sel_row)</f>
        <v>75</v>
      </c>
      <c r="P26" s="22" t="n">
        <f aca="false">O26</f>
        <v>75</v>
      </c>
      <c r="Q26" s="6" t="n">
        <v>1</v>
      </c>
      <c r="R26" s="16" t="s">
        <v>1462</v>
      </c>
    </row>
    <row r="27" customFormat="false" ht="30" hidden="false" customHeight="true" outlineLevel="0" collapsed="false">
      <c r="A27" s="9" t="s">
        <v>1463</v>
      </c>
      <c r="B27" s="9" t="s">
        <v>1464</v>
      </c>
      <c r="C27" s="16" t="s">
        <v>1465</v>
      </c>
      <c r="D27" s="9" t="s">
        <v>1466</v>
      </c>
      <c r="E27" s="9" t="s">
        <v>1467</v>
      </c>
      <c r="F27" s="9" t="s">
        <v>37</v>
      </c>
      <c r="G27" s="9" t="s">
        <v>1468</v>
      </c>
      <c r="H27" s="16" t="s">
        <v>1264</v>
      </c>
      <c r="I27" s="9" t="s">
        <v>1469</v>
      </c>
      <c r="J27" s="9" t="s">
        <v>1253</v>
      </c>
      <c r="K27" s="9" t="s">
        <v>576</v>
      </c>
      <c r="L27" s="9" t="s">
        <v>1108</v>
      </c>
      <c r="M27" s="16" t="s">
        <v>533</v>
      </c>
      <c r="N27" s="16" t="s">
        <v>1470</v>
      </c>
      <c r="O27" s="22" t="n">
        <f aca="false">INDEX(eng_CV,sel_row)*INDEX(in_cus_mfn,1,sel_scen)</f>
        <v>0</v>
      </c>
      <c r="P27" s="22" t="n">
        <f aca="false">O27</f>
        <v>0</v>
      </c>
      <c r="Q27" s="6" t="n">
        <v>1</v>
      </c>
      <c r="R27" s="16"/>
    </row>
    <row r="28" customFormat="false" ht="30" hidden="false" customHeight="true" outlineLevel="0" collapsed="false">
      <c r="A28" s="9" t="s">
        <v>1471</v>
      </c>
      <c r="B28" s="9" t="s">
        <v>1464</v>
      </c>
      <c r="C28" s="16" t="s">
        <v>1202</v>
      </c>
      <c r="D28" s="9" t="s">
        <v>1466</v>
      </c>
      <c r="E28" s="9" t="s">
        <v>1467</v>
      </c>
      <c r="F28" s="9" t="s">
        <v>37</v>
      </c>
      <c r="G28" s="9" t="s">
        <v>1468</v>
      </c>
      <c r="H28" s="16" t="s">
        <v>1472</v>
      </c>
      <c r="I28" s="9" t="s">
        <v>1469</v>
      </c>
      <c r="J28" s="9" t="s">
        <v>1473</v>
      </c>
      <c r="K28" s="9" t="s">
        <v>576</v>
      </c>
      <c r="L28" s="9" t="s">
        <v>1474</v>
      </c>
      <c r="M28" s="16" t="s">
        <v>1475</v>
      </c>
      <c r="N28" s="16" t="s">
        <v>1470</v>
      </c>
      <c r="O28" s="22" t="n">
        <f aca="false">INDEX(eng_CV,sel_row)*INDEX(eng_s301,sel_row)</f>
        <v>1415.58328975193</v>
      </c>
      <c r="P28" s="22" t="n">
        <f aca="false">O28</f>
        <v>1415.58328975193</v>
      </c>
      <c r="Q28" s="6" t="n">
        <v>1</v>
      </c>
      <c r="R28" s="16"/>
    </row>
    <row r="29" customFormat="false" ht="30" hidden="false" customHeight="true" outlineLevel="0" collapsed="false">
      <c r="A29" s="9" t="s">
        <v>1476</v>
      </c>
      <c r="B29" s="9" t="s">
        <v>1477</v>
      </c>
      <c r="C29" s="16" t="s">
        <v>1478</v>
      </c>
      <c r="D29" s="9" t="s">
        <v>1466</v>
      </c>
      <c r="E29" s="9" t="s">
        <v>1467</v>
      </c>
      <c r="F29" s="9" t="s">
        <v>37</v>
      </c>
      <c r="G29" s="9" t="s">
        <v>1479</v>
      </c>
      <c r="H29" s="16" t="s">
        <v>1480</v>
      </c>
      <c r="I29" s="9" t="s">
        <v>1481</v>
      </c>
      <c r="J29" s="9" t="s">
        <v>1065</v>
      </c>
      <c r="K29" s="9" t="s">
        <v>576</v>
      </c>
      <c r="L29" s="9" t="s">
        <v>1108</v>
      </c>
      <c r="M29" s="16" t="s">
        <v>533</v>
      </c>
      <c r="N29" s="16" t="s">
        <v>1470</v>
      </c>
      <c r="O29" s="22" t="n">
        <f aca="false">INDEX(eng_MPF,sel_row)</f>
        <v>39.2286441256054</v>
      </c>
      <c r="P29" s="22" t="n">
        <f aca="false">O29</f>
        <v>39.2286441256054</v>
      </c>
      <c r="Q29" s="6" t="n">
        <v>1</v>
      </c>
      <c r="R29" s="16" t="s">
        <v>1482</v>
      </c>
    </row>
    <row r="30" customFormat="false" ht="30" hidden="false" customHeight="true" outlineLevel="0" collapsed="false">
      <c r="A30" s="9" t="s">
        <v>1483</v>
      </c>
      <c r="B30" s="9" t="s">
        <v>1477</v>
      </c>
      <c r="C30" s="16" t="s">
        <v>1484</v>
      </c>
      <c r="D30" s="9" t="s">
        <v>1466</v>
      </c>
      <c r="E30" s="9" t="s">
        <v>1467</v>
      </c>
      <c r="F30" s="9" t="s">
        <v>37</v>
      </c>
      <c r="G30" s="9" t="s">
        <v>1485</v>
      </c>
      <c r="H30" s="16" t="s">
        <v>1486</v>
      </c>
      <c r="I30" s="9" t="s">
        <v>1481</v>
      </c>
      <c r="J30" s="9" t="s">
        <v>1068</v>
      </c>
      <c r="K30" s="9" t="s">
        <v>576</v>
      </c>
      <c r="L30" s="9" t="s">
        <v>1108</v>
      </c>
      <c r="M30" s="16" t="s">
        <v>533</v>
      </c>
      <c r="N30" s="16" t="s">
        <v>1470</v>
      </c>
      <c r="O30" s="22" t="n">
        <f aca="false">INDEX(eng_HMF,sel_row)</f>
        <v>14.1558328975193</v>
      </c>
      <c r="P30" s="22" t="n">
        <f aca="false">O30</f>
        <v>14.1558328975193</v>
      </c>
      <c r="Q30" s="6" t="n">
        <v>1</v>
      </c>
      <c r="R30" s="16"/>
    </row>
    <row r="31" customFormat="false" ht="30" hidden="false" customHeight="true" outlineLevel="0" collapsed="false">
      <c r="A31" s="9" t="s">
        <v>1487</v>
      </c>
      <c r="B31" s="9" t="s">
        <v>1488</v>
      </c>
      <c r="C31" s="16" t="s">
        <v>993</v>
      </c>
      <c r="D31" s="9" t="s">
        <v>1466</v>
      </c>
      <c r="E31" s="9" t="s">
        <v>1467</v>
      </c>
      <c r="F31" s="9" t="s">
        <v>37</v>
      </c>
      <c r="G31" s="9" t="s">
        <v>1489</v>
      </c>
      <c r="H31" s="16" t="s">
        <v>1490</v>
      </c>
      <c r="I31" s="9" t="s">
        <v>1381</v>
      </c>
      <c r="J31" s="9" t="s">
        <v>995</v>
      </c>
      <c r="K31" s="9" t="s">
        <v>303</v>
      </c>
      <c r="L31" s="9" t="s">
        <v>1449</v>
      </c>
      <c r="M31" s="16" t="s">
        <v>533</v>
      </c>
      <c r="N31" s="16" t="s">
        <v>1470</v>
      </c>
      <c r="O31" s="22" t="n">
        <f aca="false">INDEX(in_cus_broker,1,sel_scen)</f>
        <v>200</v>
      </c>
      <c r="P31" s="22" t="n">
        <f aca="false">O31</f>
        <v>200</v>
      </c>
      <c r="Q31" s="6" t="n">
        <v>1</v>
      </c>
      <c r="R31" s="16"/>
    </row>
    <row r="32" customFormat="false" ht="30" hidden="false" customHeight="true" outlineLevel="0" collapsed="false">
      <c r="A32" s="9" t="s">
        <v>1491</v>
      </c>
      <c r="B32" s="9" t="s">
        <v>1488</v>
      </c>
      <c r="C32" s="16" t="s">
        <v>1059</v>
      </c>
      <c r="D32" s="9" t="s">
        <v>1466</v>
      </c>
      <c r="E32" s="9" t="s">
        <v>1492</v>
      </c>
      <c r="F32" s="9" t="s">
        <v>37</v>
      </c>
      <c r="G32" s="9" t="s">
        <v>1416</v>
      </c>
      <c r="H32" s="16" t="s">
        <v>1493</v>
      </c>
      <c r="I32" s="9" t="s">
        <v>1381</v>
      </c>
      <c r="J32" s="9" t="s">
        <v>1494</v>
      </c>
      <c r="K32" s="9" t="s">
        <v>303</v>
      </c>
      <c r="L32" s="9" t="s">
        <v>1449</v>
      </c>
      <c r="M32" s="16" t="s">
        <v>533</v>
      </c>
      <c r="N32" s="16" t="s">
        <v>1436</v>
      </c>
      <c r="O32" s="22" t="n">
        <f aca="false">INDEX(in_cus_isf,1,sel_scen)</f>
        <v>50</v>
      </c>
      <c r="P32" s="22" t="n">
        <f aca="false">O32</f>
        <v>50</v>
      </c>
      <c r="Q32" s="6" t="n">
        <v>1</v>
      </c>
      <c r="R32" s="16"/>
    </row>
    <row r="33" customFormat="false" ht="30" hidden="false" customHeight="true" outlineLevel="0" collapsed="false">
      <c r="A33" s="9" t="s">
        <v>1495</v>
      </c>
      <c r="B33" s="9" t="s">
        <v>1488</v>
      </c>
      <c r="C33" s="16" t="s">
        <v>1496</v>
      </c>
      <c r="D33" s="9" t="s">
        <v>1466</v>
      </c>
      <c r="E33" s="9" t="s">
        <v>1467</v>
      </c>
      <c r="F33" s="9" t="s">
        <v>37</v>
      </c>
      <c r="G33" s="9" t="s">
        <v>1497</v>
      </c>
      <c r="H33" s="16" t="s">
        <v>1498</v>
      </c>
      <c r="I33" s="9" t="s">
        <v>1381</v>
      </c>
      <c r="J33" s="9" t="s">
        <v>1002</v>
      </c>
      <c r="K33" s="9" t="s">
        <v>303</v>
      </c>
      <c r="L33" s="9" t="s">
        <v>1449</v>
      </c>
      <c r="M33" s="16" t="s">
        <v>533</v>
      </c>
      <c r="N33" s="16" t="s">
        <v>1470</v>
      </c>
      <c r="O33" s="22" t="n">
        <f aca="false">INDEX(eng_STB,sel_row)</f>
        <v>76.7618045087428</v>
      </c>
      <c r="P33" s="22" t="n">
        <f aca="false">O33</f>
        <v>76.7618045087428</v>
      </c>
      <c r="Q33" s="6" t="n">
        <v>1</v>
      </c>
      <c r="R33" s="16"/>
    </row>
    <row r="34" customFormat="false" ht="30" hidden="false" customHeight="true" outlineLevel="0" collapsed="false">
      <c r="A34" s="9" t="s">
        <v>1499</v>
      </c>
      <c r="B34" s="9" t="s">
        <v>1488</v>
      </c>
      <c r="C34" s="16" t="s">
        <v>1500</v>
      </c>
      <c r="D34" s="9" t="s">
        <v>1466</v>
      </c>
      <c r="E34" s="9" t="s">
        <v>1492</v>
      </c>
      <c r="F34" s="9" t="s">
        <v>37</v>
      </c>
      <c r="G34" s="9" t="s">
        <v>1416</v>
      </c>
      <c r="H34" s="16" t="s">
        <v>1501</v>
      </c>
      <c r="I34" s="9" t="s">
        <v>1381</v>
      </c>
      <c r="J34" s="9" t="s">
        <v>1002</v>
      </c>
      <c r="K34" s="9" t="s">
        <v>287</v>
      </c>
      <c r="L34" s="9" t="s">
        <v>1115</v>
      </c>
      <c r="M34" s="16" t="s">
        <v>533</v>
      </c>
      <c r="N34" s="16" t="s">
        <v>1436</v>
      </c>
      <c r="O34" s="22" t="n">
        <f aca="false">INDEX(in_cus_isf_bond,1,sel_scen)</f>
        <v>60</v>
      </c>
      <c r="P34" s="22" t="n">
        <f aca="false">O34</f>
        <v>60</v>
      </c>
      <c r="Q34" s="6" t="n">
        <v>1</v>
      </c>
      <c r="R34" s="16"/>
    </row>
    <row r="35" customFormat="false" ht="30" hidden="false" customHeight="true" outlineLevel="0" collapsed="false">
      <c r="A35" s="9" t="s">
        <v>1502</v>
      </c>
      <c r="B35" s="9" t="s">
        <v>1503</v>
      </c>
      <c r="C35" s="16" t="s">
        <v>1504</v>
      </c>
      <c r="D35" s="9" t="s">
        <v>1466</v>
      </c>
      <c r="E35" s="9" t="s">
        <v>1505</v>
      </c>
      <c r="F35" s="9" t="s">
        <v>37</v>
      </c>
      <c r="G35" s="9" t="s">
        <v>1416</v>
      </c>
      <c r="H35" s="16" t="s">
        <v>1506</v>
      </c>
      <c r="I35" s="9" t="s">
        <v>1381</v>
      </c>
      <c r="J35" s="9"/>
      <c r="K35" s="9" t="s">
        <v>287</v>
      </c>
      <c r="L35" s="9" t="s">
        <v>1115</v>
      </c>
      <c r="M35" s="16" t="s">
        <v>533</v>
      </c>
      <c r="N35" s="16" t="s">
        <v>1470</v>
      </c>
      <c r="O35" s="22" t="n">
        <f aca="false">INDEX(in_cus_do_fee,1,sel_scen)</f>
        <v>125</v>
      </c>
      <c r="P35" s="22" t="n">
        <f aca="false">O35</f>
        <v>125</v>
      </c>
      <c r="Q35" s="6" t="n">
        <v>1</v>
      </c>
      <c r="R35" s="16"/>
    </row>
    <row r="36" customFormat="false" ht="30" hidden="false" customHeight="true" outlineLevel="0" collapsed="false">
      <c r="A36" s="9" t="s">
        <v>1507</v>
      </c>
      <c r="B36" s="9" t="s">
        <v>1503</v>
      </c>
      <c r="C36" s="16" t="s">
        <v>1009</v>
      </c>
      <c r="D36" s="9" t="s">
        <v>1508</v>
      </c>
      <c r="E36" s="9" t="s">
        <v>1509</v>
      </c>
      <c r="F36" s="9" t="s">
        <v>37</v>
      </c>
      <c r="G36" s="9" t="s">
        <v>1510</v>
      </c>
      <c r="H36" s="16" t="s">
        <v>1511</v>
      </c>
      <c r="I36" s="9" t="s">
        <v>1389</v>
      </c>
      <c r="J36" s="9" t="s">
        <v>1011</v>
      </c>
      <c r="K36" s="9" t="s">
        <v>576</v>
      </c>
      <c r="L36" s="9" t="s">
        <v>1108</v>
      </c>
      <c r="M36" s="16" t="s">
        <v>533</v>
      </c>
      <c r="N36" s="16" t="s">
        <v>1470</v>
      </c>
      <c r="O36" s="22" t="n">
        <f aca="false">INDEX(eng_CFC,sel_row)</f>
        <v>29.6</v>
      </c>
      <c r="P36" s="22" t="n">
        <f aca="false">O36</f>
        <v>29.6</v>
      </c>
      <c r="Q36" s="6" t="n">
        <v>1</v>
      </c>
      <c r="R36" s="16" t="s">
        <v>1512</v>
      </c>
    </row>
    <row r="37" customFormat="false" ht="30" hidden="false" customHeight="true" outlineLevel="0" collapsed="false">
      <c r="A37" s="9" t="s">
        <v>1513</v>
      </c>
      <c r="B37" s="9" t="s">
        <v>1514</v>
      </c>
      <c r="C37" s="16" t="s">
        <v>1515</v>
      </c>
      <c r="D37" s="9" t="s">
        <v>1466</v>
      </c>
      <c r="E37" s="9" t="s">
        <v>1516</v>
      </c>
      <c r="F37" s="9" t="s">
        <v>37</v>
      </c>
      <c r="G37" s="9" t="s">
        <v>1387</v>
      </c>
      <c r="H37" s="16" t="s">
        <v>1517</v>
      </c>
      <c r="I37" s="9" t="s">
        <v>1389</v>
      </c>
      <c r="J37" s="9" t="s">
        <v>1020</v>
      </c>
      <c r="K37" s="9" t="s">
        <v>303</v>
      </c>
      <c r="L37" s="9" t="s">
        <v>1449</v>
      </c>
      <c r="M37" s="16" t="s">
        <v>533</v>
      </c>
      <c r="N37" s="16" t="s">
        <v>1470</v>
      </c>
      <c r="O37" s="22" t="n">
        <f aca="false">INDEX(eng_EXAM,sel_row)</f>
        <v>0</v>
      </c>
      <c r="P37" s="22" t="n">
        <f aca="false">O37</f>
        <v>0</v>
      </c>
      <c r="Q37" s="6" t="n">
        <v>1</v>
      </c>
      <c r="R37" s="16" t="s">
        <v>1405</v>
      </c>
    </row>
    <row r="38" customFormat="false" ht="30" hidden="false" customHeight="true" outlineLevel="0" collapsed="false">
      <c r="A38" s="9" t="s">
        <v>1518</v>
      </c>
      <c r="B38" s="9" t="s">
        <v>1514</v>
      </c>
      <c r="C38" s="16" t="s">
        <v>1519</v>
      </c>
      <c r="D38" s="9" t="s">
        <v>1466</v>
      </c>
      <c r="E38" s="9" t="s">
        <v>1408</v>
      </c>
      <c r="F38" s="9" t="s">
        <v>37</v>
      </c>
      <c r="G38" s="9" t="s">
        <v>1409</v>
      </c>
      <c r="H38" s="16" t="s">
        <v>1520</v>
      </c>
      <c r="I38" s="9" t="s">
        <v>1389</v>
      </c>
      <c r="J38" s="9" t="s">
        <v>1025</v>
      </c>
      <c r="K38" s="9" t="s">
        <v>303</v>
      </c>
      <c r="L38" s="9" t="s">
        <v>1115</v>
      </c>
      <c r="M38" s="16" t="s">
        <v>533</v>
      </c>
      <c r="N38" s="16" t="s">
        <v>1470</v>
      </c>
      <c r="O38" s="22" t="n">
        <f aca="false">INDEX(eng_DEM,sel_row)</f>
        <v>0</v>
      </c>
      <c r="P38" s="22" t="n">
        <f aca="false">O38</f>
        <v>0</v>
      </c>
      <c r="Q38" s="6" t="n">
        <v>1</v>
      </c>
      <c r="R38" s="16" t="s">
        <v>1405</v>
      </c>
    </row>
    <row r="39" customFormat="false" ht="30" hidden="false" customHeight="true" outlineLevel="0" collapsed="false">
      <c r="A39" s="9" t="s">
        <v>1521</v>
      </c>
      <c r="B39" s="9" t="s">
        <v>1522</v>
      </c>
      <c r="C39" s="16" t="s">
        <v>1523</v>
      </c>
      <c r="D39" s="9" t="s">
        <v>1098</v>
      </c>
      <c r="E39" s="9" t="s">
        <v>1522</v>
      </c>
      <c r="F39" s="9" t="s">
        <v>37</v>
      </c>
      <c r="G39" s="9" t="s">
        <v>1387</v>
      </c>
      <c r="H39" s="16" t="s">
        <v>1524</v>
      </c>
      <c r="I39" s="9" t="s">
        <v>1389</v>
      </c>
      <c r="J39" s="9" t="s">
        <v>1525</v>
      </c>
      <c r="K39" s="9" t="s">
        <v>303</v>
      </c>
      <c r="L39" s="9" t="s">
        <v>1115</v>
      </c>
      <c r="M39" s="16" t="s">
        <v>533</v>
      </c>
      <c r="N39" s="16" t="s">
        <v>1526</v>
      </c>
      <c r="O39" s="22" t="n">
        <f aca="false">IF(INDEX(eng_ct,sel_row)=4,INDEX(in_dra_lcl_cfs_d,1,sel_scen)+INDEX(in_dra_lcl_deliv,1,sel_scen),INDEX(eng_n,sel_row)*INDEX(tbl_dest_line,sel_dest,sel_scen)*(1+INDEX(in_dra_fsc,1,sel_scen)))</f>
        <v>780</v>
      </c>
      <c r="P39" s="22" t="n">
        <f aca="false">O39</f>
        <v>780</v>
      </c>
      <c r="Q39" s="6" t="n">
        <v>1</v>
      </c>
      <c r="R39" s="16"/>
    </row>
    <row r="40" customFormat="false" ht="30" hidden="false" customHeight="true" outlineLevel="0" collapsed="false">
      <c r="A40" s="9" t="s">
        <v>1527</v>
      </c>
      <c r="B40" s="9" t="s">
        <v>1522</v>
      </c>
      <c r="C40" s="16" t="s">
        <v>1528</v>
      </c>
      <c r="D40" s="9" t="s">
        <v>1098</v>
      </c>
      <c r="E40" s="9" t="s">
        <v>1522</v>
      </c>
      <c r="F40" s="9" t="s">
        <v>37</v>
      </c>
      <c r="G40" s="9" t="s">
        <v>1387</v>
      </c>
      <c r="H40" s="16" t="s">
        <v>1529</v>
      </c>
      <c r="I40" s="9" t="s">
        <v>1389</v>
      </c>
      <c r="J40" s="9"/>
      <c r="K40" s="9" t="s">
        <v>287</v>
      </c>
      <c r="L40" s="9" t="s">
        <v>1115</v>
      </c>
      <c r="M40" s="16" t="s">
        <v>533</v>
      </c>
      <c r="N40" s="16" t="s">
        <v>1526</v>
      </c>
      <c r="O40" s="22" t="n">
        <f aca="false">IF(INDEX(eng_ct,sel_row)=4,0,INDEX(eng_n,sel_row)*INDEX(tbl_dest_tolls,sel_dest,sel_scen))</f>
        <v>40</v>
      </c>
      <c r="P40" s="22" t="n">
        <f aca="false">O40</f>
        <v>40</v>
      </c>
      <c r="Q40" s="6" t="n">
        <v>1</v>
      </c>
      <c r="R40" s="16"/>
    </row>
    <row r="41" customFormat="false" ht="30" hidden="false" customHeight="true" outlineLevel="0" collapsed="false">
      <c r="A41" s="9" t="s">
        <v>1530</v>
      </c>
      <c r="B41" s="9" t="s">
        <v>1522</v>
      </c>
      <c r="C41" s="16" t="s">
        <v>1531</v>
      </c>
      <c r="D41" s="9" t="s">
        <v>1098</v>
      </c>
      <c r="E41" s="9" t="s">
        <v>1522</v>
      </c>
      <c r="F41" s="9" t="s">
        <v>37</v>
      </c>
      <c r="G41" s="9" t="s">
        <v>1409</v>
      </c>
      <c r="H41" s="16" t="s">
        <v>1532</v>
      </c>
      <c r="I41" s="9" t="s">
        <v>1389</v>
      </c>
      <c r="J41" s="9" t="s">
        <v>1155</v>
      </c>
      <c r="K41" s="9" t="s">
        <v>303</v>
      </c>
      <c r="L41" s="9" t="s">
        <v>1115</v>
      </c>
      <c r="M41" s="16" t="s">
        <v>533</v>
      </c>
      <c r="N41" s="16" t="s">
        <v>1526</v>
      </c>
      <c r="O41" s="22" t="n">
        <f aca="false">IF(INDEX(eng_ct,sel_row)=4,0,INDEX(eng_n,sel_row)*INDEX(in_dra_chassis_days,1,sel_scen)*INDEX(tbl_dest_chassis,sel_dest,sel_scen)*(1-INDEX(in_dra_chassis_in_dray,1,sel_scen)))</f>
        <v>70</v>
      </c>
      <c r="P41" s="22" t="n">
        <f aca="false">O41</f>
        <v>70</v>
      </c>
      <c r="Q41" s="6" t="n">
        <v>1</v>
      </c>
      <c r="R41" s="16" t="s">
        <v>1533</v>
      </c>
    </row>
    <row r="42" customFormat="false" ht="30" hidden="false" customHeight="true" outlineLevel="0" collapsed="false">
      <c r="A42" s="9" t="s">
        <v>1534</v>
      </c>
      <c r="B42" s="9" t="s">
        <v>1522</v>
      </c>
      <c r="C42" s="16" t="s">
        <v>1535</v>
      </c>
      <c r="D42" s="9" t="s">
        <v>1098</v>
      </c>
      <c r="E42" s="9" t="s">
        <v>1536</v>
      </c>
      <c r="F42" s="9" t="s">
        <v>37</v>
      </c>
      <c r="G42" s="9" t="s">
        <v>1537</v>
      </c>
      <c r="H42" s="16" t="s">
        <v>1538</v>
      </c>
      <c r="I42" s="9" t="s">
        <v>1389</v>
      </c>
      <c r="J42" s="9"/>
      <c r="K42" s="9" t="s">
        <v>287</v>
      </c>
      <c r="L42" s="9" t="s">
        <v>1115</v>
      </c>
      <c r="M42" s="16" t="s">
        <v>533</v>
      </c>
      <c r="N42" s="16" t="s">
        <v>1526</v>
      </c>
      <c r="O42" s="22" t="n">
        <f aca="false">IF(INDEX(eng_ct,sel_row)=4,0,INDEX(eng_n,sel_row)*INDEX(in_dra_wait_hours,1,sel_scen)*INDEX(in_dra_wait_rate,1,sel_scen))</f>
        <v>170</v>
      </c>
      <c r="P42" s="22" t="n">
        <f aca="false">O42</f>
        <v>170</v>
      </c>
      <c r="Q42" s="6" t="n">
        <v>1</v>
      </c>
      <c r="R42" s="16"/>
    </row>
    <row r="43" customFormat="false" ht="30" hidden="false" customHeight="true" outlineLevel="0" collapsed="false">
      <c r="A43" s="9" t="s">
        <v>1539</v>
      </c>
      <c r="B43" s="9" t="s">
        <v>1522</v>
      </c>
      <c r="C43" s="16" t="s">
        <v>1540</v>
      </c>
      <c r="D43" s="9" t="s">
        <v>1098</v>
      </c>
      <c r="E43" s="9" t="s">
        <v>1522</v>
      </c>
      <c r="F43" s="9" t="s">
        <v>37</v>
      </c>
      <c r="G43" s="9" t="s">
        <v>1387</v>
      </c>
      <c r="H43" s="16" t="s">
        <v>1541</v>
      </c>
      <c r="I43" s="9" t="s">
        <v>1389</v>
      </c>
      <c r="J43" s="9" t="s">
        <v>1152</v>
      </c>
      <c r="K43" s="9" t="s">
        <v>303</v>
      </c>
      <c r="L43" s="9" t="s">
        <v>1115</v>
      </c>
      <c r="M43" s="16" t="s">
        <v>533</v>
      </c>
      <c r="N43" s="16" t="s">
        <v>1526</v>
      </c>
      <c r="O43" s="22" t="n">
        <f aca="false">IF(INDEX(eng_ct,sel_row)=4,0,INDEX(eng_n,sel_row)*INDEX(in_dra_split,1,sel_scen))</f>
        <v>0</v>
      </c>
      <c r="P43" s="22" t="n">
        <f aca="false">O43</f>
        <v>0</v>
      </c>
      <c r="Q43" s="6" t="n">
        <v>1</v>
      </c>
      <c r="R43" s="16" t="s">
        <v>1405</v>
      </c>
    </row>
    <row r="44" customFormat="false" ht="30" hidden="false" customHeight="true" outlineLevel="0" collapsed="false">
      <c r="A44" s="9" t="s">
        <v>1542</v>
      </c>
      <c r="B44" s="9" t="s">
        <v>1514</v>
      </c>
      <c r="C44" s="16" t="s">
        <v>1543</v>
      </c>
      <c r="D44" s="9" t="s">
        <v>1098</v>
      </c>
      <c r="E44" s="9" t="s">
        <v>1408</v>
      </c>
      <c r="F44" s="9" t="s">
        <v>37</v>
      </c>
      <c r="G44" s="9" t="s">
        <v>1387</v>
      </c>
      <c r="H44" s="16" t="s">
        <v>1544</v>
      </c>
      <c r="I44" s="9" t="s">
        <v>1389</v>
      </c>
      <c r="J44" s="9"/>
      <c r="K44" s="9" t="s">
        <v>287</v>
      </c>
      <c r="L44" s="9" t="s">
        <v>1115</v>
      </c>
      <c r="M44" s="16" t="s">
        <v>533</v>
      </c>
      <c r="N44" s="16" t="s">
        <v>1526</v>
      </c>
      <c r="O44" s="22" t="n">
        <f aca="false">IF(INDEX(eng_ct,sel_row)=4,0,INDEX(eng_n,sel_row)*INDEX(in_dra_prepull,1,sel_scen))</f>
        <v>0</v>
      </c>
      <c r="P44" s="22" t="n">
        <f aca="false">O44</f>
        <v>0</v>
      </c>
      <c r="Q44" s="6" t="n">
        <v>1</v>
      </c>
      <c r="R44" s="16" t="s">
        <v>1405</v>
      </c>
    </row>
    <row r="45" customFormat="false" ht="30" hidden="false" customHeight="true" outlineLevel="0" collapsed="false">
      <c r="A45" s="9" t="s">
        <v>1545</v>
      </c>
      <c r="B45" s="9" t="s">
        <v>1514</v>
      </c>
      <c r="C45" s="16" t="s">
        <v>1172</v>
      </c>
      <c r="D45" s="9" t="s">
        <v>1098</v>
      </c>
      <c r="E45" s="9" t="s">
        <v>1546</v>
      </c>
      <c r="F45" s="9" t="s">
        <v>37</v>
      </c>
      <c r="G45" s="9" t="s">
        <v>1387</v>
      </c>
      <c r="H45" s="16" t="s">
        <v>1547</v>
      </c>
      <c r="I45" s="9" t="s">
        <v>1389</v>
      </c>
      <c r="J45" s="9"/>
      <c r="K45" s="9" t="s">
        <v>287</v>
      </c>
      <c r="L45" s="9" t="s">
        <v>1115</v>
      </c>
      <c r="M45" s="16" t="s">
        <v>533</v>
      </c>
      <c r="N45" s="16" t="s">
        <v>1526</v>
      </c>
      <c r="O45" s="22" t="n">
        <f aca="false">IF(INDEX(eng_ct,sel_row)=4,0,INDEX(eng_n,sel_row)*INDEX(in_dra_dryrun,1,sel_scen))</f>
        <v>0</v>
      </c>
      <c r="P45" s="22" t="n">
        <f aca="false">O45</f>
        <v>0</v>
      </c>
      <c r="Q45" s="6" t="n">
        <v>1</v>
      </c>
      <c r="R45" s="16" t="s">
        <v>1405</v>
      </c>
    </row>
    <row r="46" customFormat="false" ht="30" hidden="false" customHeight="true" outlineLevel="0" collapsed="false">
      <c r="A46" s="9" t="s">
        <v>1548</v>
      </c>
      <c r="B46" s="9" t="s">
        <v>1522</v>
      </c>
      <c r="C46" s="16" t="s">
        <v>1549</v>
      </c>
      <c r="D46" s="9" t="s">
        <v>1098</v>
      </c>
      <c r="E46" s="9" t="s">
        <v>1522</v>
      </c>
      <c r="F46" s="9" t="s">
        <v>37</v>
      </c>
      <c r="G46" s="9" t="s">
        <v>1387</v>
      </c>
      <c r="H46" s="16" t="s">
        <v>1550</v>
      </c>
      <c r="I46" s="9" t="s">
        <v>1389</v>
      </c>
      <c r="J46" s="9" t="s">
        <v>1175</v>
      </c>
      <c r="K46" s="9" t="s">
        <v>303</v>
      </c>
      <c r="L46" s="9" t="s">
        <v>1115</v>
      </c>
      <c r="M46" s="16" t="s">
        <v>533</v>
      </c>
      <c r="N46" s="16" t="s">
        <v>1526</v>
      </c>
      <c r="O46" s="22" t="n">
        <f aca="false">INDEX(eng_UNLOAD,sel_row)</f>
        <v>450</v>
      </c>
      <c r="P46" s="22" t="n">
        <f aca="false">O46</f>
        <v>450</v>
      </c>
      <c r="Q46" s="6" t="n">
        <v>1</v>
      </c>
      <c r="R46" s="16" t="s">
        <v>1533</v>
      </c>
    </row>
    <row r="47" customFormat="false" ht="15" hidden="false" customHeight="false" outlineLevel="0" collapsed="false">
      <c r="C47" s="5" t="s">
        <v>1551</v>
      </c>
      <c r="O47" s="44" t="n">
        <f aca="false">SUMPRODUCT(O7:O46,Q7:Q46)</f>
        <v>21913.3663615701</v>
      </c>
      <c r="P47" s="44" t="n">
        <f aca="false">SUMPRODUCT(P7:P46,Q7:Q46)</f>
        <v>20327.9130770479</v>
      </c>
    </row>
    <row r="48" customFormat="false" ht="15" hidden="false" customHeight="false" outlineLevel="0" collapsed="false">
      <c r="C48" s="5" t="s">
        <v>1552</v>
      </c>
      <c r="P48" s="22" t="n">
        <f aca="false">INDEX(eng_COGS,sel_row)</f>
        <v>20327.9130770479</v>
      </c>
      <c r="Q48" s="8" t="str">
        <f aca="false">IF(ABS(P48-P47)&lt;0.01,"OK","FAIL")</f>
        <v>OK</v>
      </c>
    </row>
    <row r="49" customFormat="false" ht="15" hidden="false" customHeight="false" outlineLevel="0" collapsed="false">
      <c r="C49" s="5" t="s">
        <v>1553</v>
      </c>
      <c r="P49" s="10" t="n">
        <f aca="false">SUMPRODUCT((COUNTIF(A7:A46,A7:A46)&gt;1)*1)</f>
        <v>0</v>
      </c>
      <c r="Q49" s="8" t="str">
        <f aca="false">IF(P49=0,"OK","FAIL")</f>
        <v>OK</v>
      </c>
    </row>
    <row r="50" customFormat="false" ht="15" hidden="false" customHeight="false" outlineLevel="0" collapsed="false">
      <c r="C50" s="5" t="s">
        <v>1554</v>
      </c>
      <c r="O50" s="22" t="n">
        <f aca="false">INDEX(eng_ORIGIN,sel_row)</f>
        <v>1372.9171877487</v>
      </c>
      <c r="P50" s="22" t="n">
        <f aca="false">SUMIFS(P7:P46,B7:B46,"Origin")</f>
        <v>1372.9171877487</v>
      </c>
      <c r="Q50" s="8" t="str">
        <f aca="false">IF(ABS(P50-O50)&lt;0.01,"OK","FAIL")</f>
        <v>OK</v>
      </c>
    </row>
    <row r="51" customFormat="false" ht="15" hidden="false" customHeight="false" outlineLevel="0" collapsed="false">
      <c r="C51" s="5" t="s">
        <v>1555</v>
      </c>
      <c r="O51" s="22" t="n">
        <f aca="false">INDEX(eng_OCEAN,sel_row)+INDEX(eng_INS,sel_row)</f>
        <v>4110</v>
      </c>
      <c r="P51" s="22" t="n">
        <f aca="false">SUMIFS(P7:P46,B7:B46,"Ocean")+SUMIFS(P7:P46,B7:B46,"Insurance")</f>
        <v>4110</v>
      </c>
      <c r="Q51" s="8" t="str">
        <f aca="false">IF(ABS(P51-O51)&lt;0.01,"OK","FAIL")</f>
        <v>OK</v>
      </c>
    </row>
    <row r="52" customFormat="false" ht="15" hidden="false" customHeight="false" outlineLevel="0" collapsed="false">
      <c r="C52" s="5" t="s">
        <v>1556</v>
      </c>
      <c r="O52" s="22" t="n">
        <f aca="false">INDEX(eng_DUTY,sel_row)+INDEX(eng_MPF,sel_row)+INDEX(eng_HMF,sel_row)+INDEX(eng_US_SHP,sel_row)+INDEX(eng_CFC,sel_row)</f>
        <v>2010.32957128379</v>
      </c>
      <c r="P52" s="22" t="n">
        <f aca="false">SUMIFS(P7:P46,B7:B46,"Duty")+SUMIFS(P7:P46,B7:B46,"Gov. fee")+SUMIFS(P7:P46,B7:B46,"Customs")+SUMIFS(P7:P46,B7:B46,"Port")</f>
        <v>2010.32957128379</v>
      </c>
      <c r="Q52" s="8" t="str">
        <f aca="false">IF(ABS(P52-O52)&lt;0.01,"OK","FAIL")</f>
        <v>OK</v>
      </c>
    </row>
    <row r="53" customFormat="false" ht="15" hidden="false" customHeight="false" outlineLevel="0" collapsed="false">
      <c r="C53" s="5" t="s">
        <v>1557</v>
      </c>
      <c r="O53" s="22" t="n">
        <f aca="false">INDEX(eng_DELIV,sel_row)+INDEX(eng_UNLOAD,sel_row)+INDEX(eng_EXAM,sel_row)+INDEX(eng_DEM,sel_row)</f>
        <v>1510</v>
      </c>
      <c r="P53" s="22" t="n">
        <f aca="false">SUMIFS(P7:P46,B7:B46,"Delivery")+SUMIFS(P7:P46,B7:B46,"Disruption")</f>
        <v>1510</v>
      </c>
      <c r="Q53" s="8" t="str">
        <f aca="false">IF(ABS(P53-O53)&lt;0.01,"OK","FAIL")</f>
        <v>OK</v>
      </c>
    </row>
    <row r="55" customFormat="false" ht="15" hidden="false" customHeight="false" outlineLevel="0" collapsed="false">
      <c r="A55" s="3" t="s">
        <v>1558</v>
      </c>
      <c r="B55" s="4"/>
      <c r="C55" s="4"/>
      <c r="D55" s="4"/>
      <c r="E55" s="4"/>
      <c r="F55" s="4"/>
      <c r="G55" s="4"/>
      <c r="H55" s="4"/>
      <c r="I55" s="4"/>
      <c r="J55" s="4"/>
      <c r="K55" s="4"/>
      <c r="L55" s="4"/>
      <c r="M55" s="4"/>
      <c r="N55" s="4"/>
      <c r="O55" s="4"/>
      <c r="P55" s="4"/>
      <c r="Q55" s="4"/>
      <c r="R55" s="4"/>
    </row>
    <row r="56" customFormat="false" ht="15" hidden="false" customHeight="false" outlineLevel="0" collapsed="false">
      <c r="A56" s="13"/>
      <c r="B56" s="13"/>
      <c r="C56" s="13" t="s">
        <v>1559</v>
      </c>
      <c r="D56" s="13" t="s">
        <v>1560</v>
      </c>
      <c r="E56" s="13" t="s">
        <v>15</v>
      </c>
      <c r="F56" s="13" t="s">
        <v>16</v>
      </c>
      <c r="G56" s="13" t="s">
        <v>17</v>
      </c>
      <c r="H56" s="13" t="s">
        <v>1292</v>
      </c>
      <c r="I56" s="13" t="s">
        <v>1561</v>
      </c>
      <c r="J56" s="13" t="s">
        <v>261</v>
      </c>
    </row>
    <row r="57" customFormat="false" ht="15" hidden="false" customHeight="false" outlineLevel="0" collapsed="false">
      <c r="C57" s="16" t="s">
        <v>1562</v>
      </c>
      <c r="D57" s="9" t="s">
        <v>1563</v>
      </c>
      <c r="E57" s="22" t="n">
        <f aca="false">INDEX(eng_sup_3464,sel_row)</f>
        <v>4089.39493849337</v>
      </c>
      <c r="F57" s="22" t="n">
        <f aca="false">INDEX(eng_sup_3463,sel_row)</f>
        <v>3862.07053366379</v>
      </c>
      <c r="G57" s="22" t="n">
        <f aca="false">INDEX(eng_sup_3460,sel_row)</f>
        <v>3373.20084585825</v>
      </c>
      <c r="H57" s="22" t="n">
        <f aca="false">SUM(E57:G57)</f>
        <v>11324.6663180154</v>
      </c>
      <c r="I57" s="22" t="n">
        <f aca="false">INDEX(eng_SUP,sel_row)</f>
        <v>11324.6663180154</v>
      </c>
      <c r="J57" s="8" t="str">
        <f aca="false">IF(ABS(H57-I57)&lt;0.01,"OK","FAIL")</f>
        <v>OK</v>
      </c>
    </row>
    <row r="58" customFormat="false" ht="15" hidden="false" customHeight="false" outlineLevel="0" collapsed="false">
      <c r="C58" s="16" t="s">
        <v>1564</v>
      </c>
      <c r="D58" s="9" t="s">
        <v>1563</v>
      </c>
      <c r="E58" s="22" t="n">
        <f aca="false">IF(INDEX(eng_vatmode,sel_row)=3,INDEX(eng_sup_3464,sel_row)*INDEX(in_sup_vat_rate,1,sel_scen),0)</f>
        <v>0</v>
      </c>
      <c r="F58" s="22" t="n">
        <f aca="false">IF(INDEX(eng_vatmode,sel_row)=3,INDEX(eng_sup_3463,sel_row)*INDEX(in_sup_vat_rate,1,sel_scen),0)</f>
        <v>0</v>
      </c>
      <c r="G58" s="22" t="n">
        <f aca="false">IF(INDEX(eng_vatmode,sel_row)=3,INDEX(eng_sup_3460,sel_row)*INDEX(in_sup_vat_rate,1,sel_scen),0)</f>
        <v>0</v>
      </c>
      <c r="H58" s="22" t="n">
        <f aca="false">SUM(E58:G58)</f>
        <v>0</v>
      </c>
      <c r="I58" s="22" t="n">
        <f aca="false">INDEX(eng_VAT_ECON,sel_row)</f>
        <v>0</v>
      </c>
      <c r="J58" s="8" t="str">
        <f aca="false">IF(ABS(H58-I58)&lt;0.01,"OK","FAIL")</f>
        <v>OK</v>
      </c>
    </row>
    <row r="59" customFormat="false" ht="15" hidden="false" customHeight="false" outlineLevel="0" collapsed="false">
      <c r="C59" s="16" t="s">
        <v>1565</v>
      </c>
      <c r="D59" s="9" t="s">
        <v>769</v>
      </c>
      <c r="E59" s="22" t="n">
        <f aca="false">INDEX(eng_tooling,sel_row)*INDEX(eng_units_3464,sel_row)/INDEX(eng_U,sel_row)</f>
        <v>0</v>
      </c>
      <c r="F59" s="22" t="n">
        <f aca="false">INDEX(eng_tooling,sel_row)*INDEX(eng_units_3463,sel_row)/INDEX(eng_U,sel_row)</f>
        <v>0</v>
      </c>
      <c r="G59" s="22" t="n">
        <f aca="false">INDEX(eng_tooling,sel_row)*INDEX(eng_units_3460,sel_row)/INDEX(eng_U,sel_row)</f>
        <v>0</v>
      </c>
      <c r="H59" s="22" t="n">
        <f aca="false">SUM(E59:G59)</f>
        <v>0</v>
      </c>
      <c r="I59" s="22" t="n">
        <f aca="false">INDEX(eng_tooling,sel_row)</f>
        <v>0</v>
      </c>
      <c r="J59" s="8" t="str">
        <f aca="false">IF(ABS(H59-I59)&lt;0.01,"OK","FAIL")</f>
        <v>OK</v>
      </c>
    </row>
    <row r="60" customFormat="false" ht="15" hidden="false" customHeight="false" outlineLevel="0" collapsed="false">
      <c r="C60" s="16" t="s">
        <v>1566</v>
      </c>
      <c r="D60" s="9" t="s">
        <v>1469</v>
      </c>
      <c r="E60" s="22" t="n">
        <f aca="false">INDEX(eng_cv_3464,sel_row)*INDEX(eng_duty_rate,sel_row)</f>
        <v>511.174367311672</v>
      </c>
      <c r="F60" s="22" t="n">
        <f aca="false">INDEX(eng_cv_3463,sel_row)*INDEX(eng_duty_rate,sel_row)</f>
        <v>482.758816707974</v>
      </c>
      <c r="G60" s="22" t="n">
        <f aca="false">INDEX(eng_cv_3460,sel_row)*INDEX(eng_duty_rate,sel_row)</f>
        <v>421.650105732281</v>
      </c>
      <c r="H60" s="22" t="n">
        <f aca="false">SUM(E60:G60)</f>
        <v>1415.58328975193</v>
      </c>
      <c r="I60" s="22" t="n">
        <f aca="false">INDEX(eng_DUTY,sel_row)</f>
        <v>1415.58328975193</v>
      </c>
      <c r="J60" s="8" t="str">
        <f aca="false">IF(ABS(H60-I60)&lt;0.01,"OK","FAIL")</f>
        <v>OK</v>
      </c>
    </row>
    <row r="61" customFormat="false" ht="15" hidden="false" customHeight="false" outlineLevel="0" collapsed="false">
      <c r="C61" s="16" t="s">
        <v>1567</v>
      </c>
      <c r="D61" s="9" t="s">
        <v>1568</v>
      </c>
      <c r="E61" s="22" t="n">
        <f aca="false">(INDEX(eng_MPF,sel_row)+INDEX(eng_HMF,sel_row))*INDEX(eng_cv_3464,sel_row)/INDEX(eng_CV,sel_row)</f>
        <v>19.2774077400578</v>
      </c>
      <c r="F61" s="22" t="n">
        <f aca="false">(INDEX(eng_MPF,sel_row)+INDEX(eng_HMF,sel_row))*INDEX(eng_cv_3463,sel_row)/INDEX(eng_CV,sel_row)</f>
        <v>18.2058004956911</v>
      </c>
      <c r="G61" s="22" t="n">
        <f aca="false">(INDEX(eng_MPF,sel_row)+INDEX(eng_HMF,sel_row))*INDEX(eng_cv_3460,sel_row)/INDEX(eng_CV,sel_row)</f>
        <v>15.9012687873758</v>
      </c>
      <c r="H61" s="22" t="n">
        <f aca="false">SUM(E61:G61)</f>
        <v>53.3844770231247</v>
      </c>
      <c r="I61" s="22" t="n">
        <f aca="false">INDEX(eng_MPF,sel_row)+INDEX(eng_HMF,sel_row)</f>
        <v>53.3844770231247</v>
      </c>
      <c r="J61" s="8" t="str">
        <f aca="false">IF(ABS(H61-I61)&lt;0.01,"OK","FAIL")</f>
        <v>OK</v>
      </c>
    </row>
    <row r="62" customFormat="false" ht="15" hidden="false" customHeight="false" outlineLevel="0" collapsed="false">
      <c r="C62" s="16" t="s">
        <v>1456</v>
      </c>
      <c r="D62" s="9" t="s">
        <v>1569</v>
      </c>
      <c r="E62" s="22" t="n">
        <f aca="false">INDEX(eng_INS,sel_row)*INDEX(eng_sup_3464,sel_row)/INDEX(eng_SUP,sel_row)</f>
        <v>27.082883660695</v>
      </c>
      <c r="F62" s="22" t="n">
        <f aca="false">INDEX(eng_INS,sel_row)*INDEX(eng_sup_3463,sel_row)/INDEX(eng_SUP,sel_row)</f>
        <v>25.577379667602</v>
      </c>
      <c r="G62" s="22" t="n">
        <f aca="false">INDEX(eng_INS,sel_row)*INDEX(eng_sup_3460,sel_row)/INDEX(eng_SUP,sel_row)</f>
        <v>22.339736671703</v>
      </c>
      <c r="H62" s="22" t="n">
        <f aca="false">SUM(E62:G62)</f>
        <v>75</v>
      </c>
      <c r="I62" s="22" t="n">
        <f aca="false">INDEX(eng_INS,sel_row)</f>
        <v>75</v>
      </c>
      <c r="J62" s="8" t="str">
        <f aca="false">IF(ABS(H62-I62)&lt;0.01,"OK","FAIL")</f>
        <v>OK</v>
      </c>
    </row>
    <row r="63" customFormat="false" ht="23.85" hidden="false" customHeight="false" outlineLevel="0" collapsed="false">
      <c r="C63" s="16" t="s">
        <v>1570</v>
      </c>
      <c r="D63" s="9" t="s">
        <v>1571</v>
      </c>
      <c r="E63" s="22" t="n">
        <f aca="false">INDEX(eng_shared_space,sel_row)*INDEX(eng_vol_3464,sel_row)/INDEX(eng_V,sel_row)</f>
        <v>2028.08805382348</v>
      </c>
      <c r="F63" s="22" t="n">
        <f aca="false">INDEX(eng_shared_space,sel_row)*INDEX(eng_vol_3463,sel_row)/INDEX(eng_V,sel_row)</f>
        <v>2481.03471331849</v>
      </c>
      <c r="G63" s="22" t="n">
        <f aca="false">INDEX(eng_shared_space,sel_row)*INDEX(eng_vol_3460,sel_row)/INDEX(eng_V,sel_row)</f>
        <v>1620.75535802384</v>
      </c>
      <c r="H63" s="22" t="n">
        <f aca="false">SUM(E63:G63)</f>
        <v>6129.8781251658</v>
      </c>
      <c r="I63" s="22" t="n">
        <f aca="false">INDEX(eng_shared_space,sel_row)</f>
        <v>6129.8781251658</v>
      </c>
      <c r="J63" s="8" t="str">
        <f aca="false">IF(ABS(H63-I63)&lt;0.01,"OK","FAIL")</f>
        <v>OK</v>
      </c>
    </row>
    <row r="64" customFormat="false" ht="15" hidden="false" customHeight="false" outlineLevel="0" collapsed="false">
      <c r="C64" s="16" t="s">
        <v>1572</v>
      </c>
      <c r="D64" s="9" t="s">
        <v>769</v>
      </c>
      <c r="E64" s="22" t="n">
        <f aca="false">INDEX(eng_shared_admin,sel_row)*INDEX(eng_units_3464,sel_row)/INDEX(eng_U,sel_row)</f>
        <v>443.133622363881</v>
      </c>
      <c r="F64" s="22" t="n">
        <f aca="false">INDEX(eng_shared_admin,sel_row)*INDEX(eng_units_3463,sel_row)/INDEX(eng_U,sel_row)</f>
        <v>443.133622363881</v>
      </c>
      <c r="G64" s="22" t="n">
        <f aca="false">INDEX(eng_shared_admin,sel_row)*INDEX(eng_units_3460,sel_row)/INDEX(eng_U,sel_row)</f>
        <v>443.133622363881</v>
      </c>
      <c r="H64" s="22" t="n">
        <f aca="false">SUM(E64:G64)</f>
        <v>1329.40086709164</v>
      </c>
      <c r="I64" s="22" t="n">
        <f aca="false">INDEX(eng_shared_admin,sel_row)</f>
        <v>1329.40086709164</v>
      </c>
      <c r="J64" s="8" t="str">
        <f aca="false">IF(ABS(H64-I64)&lt;0.01,"OK","FAIL")</f>
        <v>OK</v>
      </c>
    </row>
    <row r="65" customFormat="false" ht="15" hidden="false" customHeight="false" outlineLevel="0" collapsed="false">
      <c r="C65" s="5" t="s">
        <v>1573</v>
      </c>
      <c r="E65" s="44" t="n">
        <f aca="false">SUM(E57:E64)</f>
        <v>7118.15127339315</v>
      </c>
      <c r="F65" s="44" t="n">
        <f aca="false">SUM(F57:F64)</f>
        <v>7312.78086621743</v>
      </c>
      <c r="G65" s="44" t="n">
        <f aca="false">SUM(G57:G64)</f>
        <v>5896.98093743733</v>
      </c>
      <c r="H65" s="44" t="n">
        <f aca="false">SUM(H57:H64)</f>
        <v>20327.9130770479</v>
      </c>
      <c r="I65" s="22" t="n">
        <f aca="false">INDEX(eng_COGS,sel_row)</f>
        <v>20327.9130770479</v>
      </c>
      <c r="J65" s="8" t="str">
        <f aca="false">IF(ABS(H65-I65)&lt;0.01,"OK","FAIL")</f>
        <v>OK</v>
      </c>
    </row>
    <row r="66" customFormat="false" ht="15" hidden="false" customHeight="false" outlineLevel="0" collapsed="false">
      <c r="C66" s="9" t="s">
        <v>20</v>
      </c>
      <c r="E66" s="15" t="n">
        <f aca="false">INDEX(eng_units_3464,sel_row)</f>
        <v>25800</v>
      </c>
      <c r="F66" s="15" t="n">
        <f aca="false">INDEX(eng_units_3463,sel_row)</f>
        <v>25800</v>
      </c>
      <c r="G66" s="15" t="n">
        <f aca="false">INDEX(eng_units_3460,sel_row)</f>
        <v>25800</v>
      </c>
      <c r="H66" s="15" t="n">
        <f aca="false">SUM(E66:G66)</f>
        <v>77400</v>
      </c>
    </row>
    <row r="67" customFormat="false" ht="15" hidden="false" customHeight="false" outlineLevel="0" collapsed="false">
      <c r="C67" s="9" t="s">
        <v>1574</v>
      </c>
      <c r="E67" s="15" t="n">
        <f aca="false">INDEX(eng_sale_3464,sel_row)</f>
        <v>25413</v>
      </c>
      <c r="F67" s="15" t="n">
        <f aca="false">INDEX(eng_sale_3463,sel_row)</f>
        <v>25413</v>
      </c>
      <c r="G67" s="15" t="n">
        <f aca="false">INDEX(eng_sale_3460,sel_row)</f>
        <v>25413</v>
      </c>
      <c r="H67" s="15" t="n">
        <f aca="false">SUM(E67:G67)</f>
        <v>76239</v>
      </c>
    </row>
    <row r="68" customFormat="false" ht="15" hidden="false" customHeight="false" outlineLevel="0" collapsed="false">
      <c r="C68" s="5" t="s">
        <v>1575</v>
      </c>
      <c r="E68" s="68" t="n">
        <f aca="false">IF(E67&gt;0,E65/E67,0)</f>
        <v>0.280098818454852</v>
      </c>
      <c r="F68" s="68" t="n">
        <f aca="false">IF(F67&gt;0,F65/F67,0)</f>
        <v>0.28775748106156</v>
      </c>
      <c r="G68" s="68" t="n">
        <f aca="false">IF(G67&gt;0,G65/G67,0)</f>
        <v>0.232045840217106</v>
      </c>
      <c r="H68" s="68" t="n">
        <f aca="false">IF(H67&gt;0,H65/H67,0)</f>
        <v>0.26663404657784</v>
      </c>
    </row>
    <row r="69" customFormat="false" ht="15" hidden="false" customHeight="false" outlineLevel="0" collapsed="false">
      <c r="C69" s="9" t="s">
        <v>1576</v>
      </c>
      <c r="E69" s="22" t="n">
        <f aca="false">IF(E67&gt;0,E65/E67*1000,0)</f>
        <v>280.098818454852</v>
      </c>
      <c r="F69" s="22" t="n">
        <f aca="false">IF(F67&gt;0,F65/F67*1000,0)</f>
        <v>287.75748106156</v>
      </c>
      <c r="G69" s="22" t="n">
        <f aca="false">IF(G67&gt;0,G65/G67*1000,0)</f>
        <v>232.045840217106</v>
      </c>
      <c r="H69" s="22" t="n">
        <f aca="false">IF(H67&gt;0,H65/H67*1000,0)</f>
        <v>266.63404657784</v>
      </c>
    </row>
    <row r="70" customFormat="false" ht="15" hidden="false" customHeight="false" outlineLevel="0" collapsed="false">
      <c r="C70" s="9" t="s">
        <v>1577</v>
      </c>
      <c r="E70" s="24" t="n">
        <f aca="false">IF(E67&gt;0,E65/E67*INDEX(eng_fx,sel_row),0)</f>
        <v>14.7821591241911</v>
      </c>
      <c r="F70" s="24" t="n">
        <f aca="false">IF(F67&gt;0,F65/F67*INDEX(eng_fx,sel_row),0)</f>
        <v>15.1863435115276</v>
      </c>
      <c r="G70" s="24" t="n">
        <f aca="false">IF(G67&gt;0,G65/G67*INDEX(eng_fx,sel_row),0)</f>
        <v>12.2461728082898</v>
      </c>
      <c r="H70" s="24" t="n">
        <f aca="false">IF(H67&gt;0,H65/H67*INDEX(eng_fx,sel_row),0)</f>
        <v>14.0715584813362</v>
      </c>
    </row>
    <row r="71" customFormat="false" ht="15" hidden="false" customHeight="false" outlineLevel="0" collapsed="false">
      <c r="C71" s="9" t="s">
        <v>1578</v>
      </c>
      <c r="E71" s="20" t="n">
        <f aca="false">IF(E66&gt;0,E57/E66,0)</f>
        <v>0.158503679786565</v>
      </c>
      <c r="F71" s="20" t="n">
        <f aca="false">IF(F66&gt;0,F57/F66,0)</f>
        <v>0.149692656343558</v>
      </c>
      <c r="G71" s="20" t="n">
        <f aca="false">IF(G66&gt;0,G57/G66,0)</f>
        <v>0.130744218831715</v>
      </c>
      <c r="H71" s="20" t="n">
        <f aca="false">IF(H66&gt;0,H57/H66,0)</f>
        <v>0.146313518320613</v>
      </c>
    </row>
    <row r="72" customFormat="false" ht="15" hidden="false" customHeight="false" outlineLevel="0" collapsed="false">
      <c r="C72" s="9" t="s">
        <v>1579</v>
      </c>
      <c r="E72" s="20" t="n">
        <f aca="false">INDEX(eng_price_3464,sel_row)</f>
        <v>0.234</v>
      </c>
      <c r="F72" s="20" t="n">
        <f aca="false">INDEX(eng_price_3463,sel_row)</f>
        <v>0.27</v>
      </c>
      <c r="G72" s="20" t="n">
        <f aca="false">INDEX(eng_price_3460,sel_row)</f>
        <v>0.225</v>
      </c>
      <c r="H72" s="20" t="n">
        <f aca="false">INDEX(eng_avg_price,sel_row)</f>
        <v>0.243</v>
      </c>
    </row>
    <row r="74" customFormat="false" ht="15" hidden="false" customHeight="false" outlineLevel="0" collapsed="false">
      <c r="A74" s="3" t="s">
        <v>1580</v>
      </c>
      <c r="B74" s="4"/>
      <c r="C74" s="4"/>
      <c r="D74" s="4"/>
      <c r="E74" s="4"/>
      <c r="F74" s="4"/>
      <c r="G74" s="4"/>
      <c r="H74" s="4"/>
      <c r="I74" s="4"/>
      <c r="J74" s="4"/>
      <c r="K74" s="4"/>
      <c r="L74" s="4"/>
      <c r="M74" s="4"/>
      <c r="N74" s="4"/>
      <c r="O74" s="4"/>
      <c r="P74" s="4"/>
      <c r="Q74" s="4"/>
      <c r="R74" s="4"/>
    </row>
    <row r="75" customFormat="false" ht="23.85" hidden="false" customHeight="false" outlineLevel="0" collapsed="false">
      <c r="A75" s="13"/>
      <c r="B75" s="13" t="s">
        <v>356</v>
      </c>
      <c r="C75" s="13" t="s">
        <v>583</v>
      </c>
      <c r="D75" s="13" t="s">
        <v>1581</v>
      </c>
      <c r="E75" s="13" t="s">
        <v>37</v>
      </c>
      <c r="F75" s="13" t="s">
        <v>1582</v>
      </c>
      <c r="G75" s="13" t="s">
        <v>230</v>
      </c>
    </row>
    <row r="76" customFormat="false" ht="30" hidden="false" customHeight="true" outlineLevel="0" collapsed="false">
      <c r="B76" s="9" t="s">
        <v>1220</v>
      </c>
      <c r="C76" s="5" t="s">
        <v>1583</v>
      </c>
      <c r="D76" s="16" t="s">
        <v>1584</v>
      </c>
      <c r="E76" s="44" t="n">
        <f aca="false">INDEX(eng_SUP,sel_row)</f>
        <v>11324.6663180154</v>
      </c>
      <c r="F76" s="20" t="n">
        <f aca="false">E76/INDEX(eng_SALE,sel_row)</f>
        <v>0.148541642965089</v>
      </c>
      <c r="G76" s="35" t="n">
        <f aca="false">E76*INDEX(eng_fx,sel_row)</f>
        <v>597657</v>
      </c>
    </row>
    <row r="77" customFormat="false" ht="30" hidden="false" customHeight="true" outlineLevel="0" collapsed="false">
      <c r="B77" s="9" t="s">
        <v>1585</v>
      </c>
      <c r="C77" s="5" t="s">
        <v>1586</v>
      </c>
      <c r="D77" s="16" t="s">
        <v>1587</v>
      </c>
      <c r="E77" s="44" t="n">
        <f aca="false">INDEX(eng_SUP,sel_row)+INDEX(eng_VAT_CASH,sel_row)</f>
        <v>12910.1196025376</v>
      </c>
      <c r="F77" s="20" t="n">
        <f aca="false">E77/INDEX(eng_SALE,sel_row)</f>
        <v>0.169337472980201</v>
      </c>
      <c r="G77" s="35" t="n">
        <f aca="false">E77*INDEX(eng_fx,sel_row)</f>
        <v>681328.98</v>
      </c>
    </row>
    <row r="78" customFormat="false" ht="30" hidden="false" customHeight="true" outlineLevel="0" collapsed="false">
      <c r="B78" s="9" t="s">
        <v>1228</v>
      </c>
      <c r="C78" s="5" t="s">
        <v>1568</v>
      </c>
      <c r="D78" s="16" t="s">
        <v>1588</v>
      </c>
      <c r="E78" s="44" t="n">
        <f aca="false">INDEX(eng_CV,sel_row)</f>
        <v>11324.6663180154</v>
      </c>
      <c r="F78" s="20" t="n">
        <f aca="false">E78/INDEX(eng_SALE,sel_row)</f>
        <v>0.148541642965089</v>
      </c>
      <c r="G78" s="35" t="n">
        <f aca="false">E78*INDEX(eng_fx,sel_row)</f>
        <v>597657</v>
      </c>
    </row>
    <row r="79" customFormat="false" ht="30" hidden="false" customHeight="true" outlineLevel="0" collapsed="false">
      <c r="B79" s="9" t="s">
        <v>1234</v>
      </c>
      <c r="C79" s="5" t="s">
        <v>1589</v>
      </c>
      <c r="D79" s="16" t="s">
        <v>1590</v>
      </c>
      <c r="E79" s="44" t="n">
        <f aca="false">INDEX(eng_DUTY,sel_row)</f>
        <v>1415.58328975193</v>
      </c>
      <c r="F79" s="20" t="n">
        <f aca="false">E79/INDEX(eng_SALE,sel_row)</f>
        <v>0.0185677053706361</v>
      </c>
      <c r="G79" s="35" t="n">
        <f aca="false">E79*INDEX(eng_fx,sel_row)</f>
        <v>74707.125</v>
      </c>
    </row>
    <row r="80" customFormat="false" ht="30" hidden="false" customHeight="true" outlineLevel="0" collapsed="false">
      <c r="B80" s="9" t="s">
        <v>1239</v>
      </c>
      <c r="C80" s="5" t="s">
        <v>1591</v>
      </c>
      <c r="D80" s="16" t="s">
        <v>1592</v>
      </c>
      <c r="E80" s="44" t="n">
        <f aca="false">INDEX(eng_SUP,sel_row)+INDEX(eng_VAT_ECON,sel_row)+INDEX(eng_tooling,sel_row)+INDEX(eng_ORIGIN,sel_row)+INDEX(eng_OCEAN,sel_row)+INDEX(eng_INS,sel_row)</f>
        <v>16807.5835057641</v>
      </c>
      <c r="F80" s="20" t="n">
        <f aca="false">E80/INDEX(eng_SALE,sel_row)</f>
        <v>0.220459128605623</v>
      </c>
      <c r="G80" s="35" t="n">
        <f aca="false">E80*INDEX(eng_fx,sel_row)</f>
        <v>887016.858</v>
      </c>
    </row>
    <row r="81" customFormat="false" ht="30" hidden="false" customHeight="true" outlineLevel="0" collapsed="false">
      <c r="B81" s="9" t="s">
        <v>1593</v>
      </c>
      <c r="C81" s="5" t="s">
        <v>1594</v>
      </c>
      <c r="D81" s="16" t="s">
        <v>1595</v>
      </c>
      <c r="E81" s="44" t="n">
        <f aca="false">INDEX(eng_COGS,sel_row)-INDEX(eng_DELIV,sel_row)-INDEX(eng_UNLOAD,sel_row)</f>
        <v>18817.9130770479</v>
      </c>
      <c r="F81" s="20" t="n">
        <f aca="false">E81/INDEX(eng_SALE,sel_row)</f>
        <v>0.246827910610684</v>
      </c>
      <c r="G81" s="35" t="n">
        <f aca="false">E81*INDEX(eng_fx,sel_row)</f>
        <v>993111.599058588</v>
      </c>
    </row>
    <row r="82" customFormat="false" ht="30" hidden="false" customHeight="true" outlineLevel="0" collapsed="false">
      <c r="B82" s="9" t="s">
        <v>1596</v>
      </c>
      <c r="C82" s="5" t="s">
        <v>1597</v>
      </c>
      <c r="D82" s="16" t="s">
        <v>1598</v>
      </c>
      <c r="E82" s="44" t="n">
        <f aca="false">INDEX(eng_COGS,sel_row)</f>
        <v>20327.9130770479</v>
      </c>
      <c r="F82" s="20" t="n">
        <f aca="false">E82/INDEX(eng_SALE,sel_row)</f>
        <v>0.26663404657784</v>
      </c>
      <c r="G82" s="35" t="n">
        <f aca="false">E82*INDEX(eng_fx,sel_row)</f>
        <v>1072801.54705859</v>
      </c>
    </row>
    <row r="83" customFormat="false" ht="30" hidden="false" customHeight="true" outlineLevel="0" collapsed="false">
      <c r="B83" s="9" t="s">
        <v>1599</v>
      </c>
      <c r="C83" s="5" t="s">
        <v>1600</v>
      </c>
      <c r="D83" s="16" t="s">
        <v>1601</v>
      </c>
      <c r="E83" s="44" t="n">
        <f aca="false">INDEX(eng_COGS,sel_row)+INDEX(eng_SELL_VAR,sel_row)+INDEX(eng_SELL_FIX,sel_row)+INDEX(eng_FIN,sel_row)</f>
        <v>24931.8235903608</v>
      </c>
      <c r="F83" s="20" t="n">
        <f aca="false">E83/INDEX(eng_SALE,sel_row)</f>
        <v>0.327021912542935</v>
      </c>
      <c r="G83" s="35" t="n">
        <f aca="false">E83*INDEX(eng_fx,sel_row)</f>
        <v>1315772.00361657</v>
      </c>
    </row>
    <row r="84" customFormat="false" ht="30" hidden="false" customHeight="true" outlineLevel="0" collapsed="false">
      <c r="B84" s="9" t="s">
        <v>1602</v>
      </c>
      <c r="C84" s="5" t="s">
        <v>1603</v>
      </c>
      <c r="D84" s="16" t="s">
        <v>1604</v>
      </c>
      <c r="E84" s="44" t="n">
        <f aca="false">INDEX(eng_CASH_TOTAL,sel_row)</f>
        <v>24413.3663615701</v>
      </c>
      <c r="F84" s="20" t="n">
        <f aca="false">E84/INDEX(eng_SALE,sel_row)</f>
        <v>0.320221492432614</v>
      </c>
      <c r="G84" s="35" t="n">
        <f aca="false">E84*INDEX(eng_fx,sel_row)</f>
        <v>1288410.52705859</v>
      </c>
    </row>
    <row r="86" customFormat="false" ht="15" hidden="false" customHeight="false" outlineLevel="0" collapsed="false">
      <c r="A86" s="3" t="s">
        <v>1605</v>
      </c>
      <c r="B86" s="4"/>
      <c r="C86" s="4"/>
      <c r="D86" s="4"/>
      <c r="E86" s="4"/>
      <c r="F86" s="4"/>
      <c r="G86" s="4"/>
      <c r="H86" s="4"/>
      <c r="I86" s="4"/>
      <c r="J86" s="4"/>
      <c r="K86" s="4"/>
      <c r="L86" s="4"/>
      <c r="M86" s="4"/>
      <c r="N86" s="4"/>
      <c r="O86" s="4"/>
      <c r="P86" s="4"/>
      <c r="Q86" s="4"/>
      <c r="R86" s="4"/>
    </row>
    <row r="87" customFormat="false" ht="15" hidden="false" customHeight="false" outlineLevel="0" collapsed="false">
      <c r="C87" s="16" t="s">
        <v>1606</v>
      </c>
      <c r="E87" s="35" t="n">
        <f aca="false">q_subtotal</f>
        <v>463300</v>
      </c>
    </row>
    <row r="88" customFormat="false" ht="15" hidden="false" customHeight="false" outlineLevel="0" collapsed="false">
      <c r="C88" s="16" t="s">
        <v>1607</v>
      </c>
      <c r="E88" s="15" t="n">
        <f aca="false">q_qty_total</f>
        <v>60000</v>
      </c>
    </row>
    <row r="89" customFormat="false" ht="15" hidden="false" customHeight="false" outlineLevel="0" collapsed="false">
      <c r="C89" s="16" t="s">
        <v>1608</v>
      </c>
      <c r="E89" s="15" t="n">
        <f aca="false">INDEX(eng_U,sel_row)</f>
        <v>77400</v>
      </c>
    </row>
    <row r="90" customFormat="false" ht="23.85" hidden="false" customHeight="false" outlineLevel="0" collapsed="false">
      <c r="C90" s="16" t="s">
        <v>1609</v>
      </c>
      <c r="E90" s="35" t="n">
        <f aca="false">INDEX(eng_SUP,sel_row)*INDEX(eng_fx,sel_row)</f>
        <v>597657</v>
      </c>
    </row>
    <row r="91" customFormat="false" ht="23.85" hidden="false" customHeight="false" outlineLevel="0" collapsed="false">
      <c r="C91" s="16" t="s">
        <v>1610</v>
      </c>
      <c r="E91" s="8" t="str">
        <f aca="false">IF(AND(INDEX(cfg_u_3464,sel_cfg,sel_scen)=q_qty_3464,INDEX(cfg_u_3463,sel_cfg,sel_scen)=q_qty_3463,INDEX(cfg_u_3460,sel_cfg,sel_scen)=q_qty_3460),IF(ABS(INDEX(eng_SUP,sel_row)*INDEX(eng_fx,sel_row)-q_subtotal*(1+INDEX(in_sup_requote,1,sel_scen)))&lt;0.01,"OK – reconciles","FAIL"),"n/a – configuration differs from quoted mix")</f>
        <v>n/a – configuration differs from quoted mix</v>
      </c>
    </row>
  </sheetData>
  <mergeCells count="1">
    <mergeCell ref="C3:R3"/>
  </mergeCells>
  <conditionalFormatting sqref="K7:K46">
    <cfRule type="expression" priority="2" aboveAverage="0" equalAverage="0" bottom="0" percent="0" rank="0" text="" dxfId="0">
      <formula>LEFT(K7,8)="VERIFIED"</formula>
    </cfRule>
    <cfRule type="expression" priority="3" aboveAverage="0" equalAverage="0" bottom="0" percent="0" rank="0" text="" dxfId="2">
      <formula>OR(K7="ESTIMATED",K7="CALCULATED")</formula>
    </cfRule>
    <cfRule type="expression" priority="4" aboveAverage="0" equalAverage="0" bottom="0" percent="0" rank="0" text="" dxfId="1">
      <formula>OR(K7="ASSUMED",K7="UNRESOLVED",K7="UNVERIFIED")</formula>
    </cfRule>
  </conditionalFormatting>
  <conditionalFormatting sqref="Q48:Q53">
    <cfRule type="expression" priority="5" aboveAverage="0" equalAverage="0" bottom="0" percent="0" rank="0" text="" dxfId="0">
      <formula>LEFT(Q48,2)="OK"</formula>
    </cfRule>
    <cfRule type="expression" priority="6" aboveAverage="0" equalAverage="0" bottom="0" percent="0" rank="0" text="" dxfId="1">
      <formula>OR(LEFT(Q48,4)="FAIL",LEFT(Q48,5)="ERROR")</formula>
    </cfRule>
    <cfRule type="expression" priority="7" aboveAverage="0" equalAverage="0" bottom="0" percent="0" rank="0" text="" dxfId="2">
      <formula>LEFT(Q48,4)="WARN"</formula>
    </cfRule>
  </conditionalFormatting>
  <conditionalFormatting sqref="J57:J65">
    <cfRule type="expression" priority="8" aboveAverage="0" equalAverage="0" bottom="0" percent="0" rank="0" text="" dxfId="0">
      <formula>LEFT(J57,2)="OK"</formula>
    </cfRule>
    <cfRule type="expression" priority="9" aboveAverage="0" equalAverage="0" bottom="0" percent="0" rank="0" text="" dxfId="1">
      <formula>OR(LEFT(J57,4)="FAIL",LEFT(J57,5)="ERROR")</formula>
    </cfRule>
    <cfRule type="expression" priority="10" aboveAverage="0" equalAverage="0" bottom="0" percent="0" rank="0" text="" dxfId="2">
      <formula>LEFT(J57,4)="WARN"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J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0"/>
    <col collapsed="false" customWidth="true" hidden="false" outlineLevel="0" max="3" min="3" style="0" width="12"/>
    <col collapsed="false" customWidth="true" hidden="false" outlineLevel="0" max="6" min="4" style="0" width="13"/>
    <col collapsed="false" customWidth="true" hidden="false" outlineLevel="0" max="7" min="7" style="0" width="14"/>
    <col collapsed="false" customWidth="true" hidden="false" outlineLevel="0" max="8" min="8" style="0" width="18"/>
    <col collapsed="false" customWidth="true" hidden="false" outlineLevel="0" max="9" min="9" style="0" width="14"/>
    <col collapsed="false" customWidth="true" hidden="false" outlineLevel="0" max="10" min="10" style="0" width="60"/>
  </cols>
  <sheetData>
    <row r="1" customFormat="false" ht="18.55" hidden="false" customHeight="false" outlineLevel="0" collapsed="false">
      <c r="A1" s="1" t="s">
        <v>1611</v>
      </c>
    </row>
    <row r="2" customFormat="false" ht="15" hidden="false" customHeight="false" outlineLevel="0" collapsed="false">
      <c r="A2" s="2" t="s">
        <v>1612</v>
      </c>
    </row>
    <row r="4" customFormat="false" ht="15" hidden="false" customHeight="false" outlineLevel="0" collapsed="false">
      <c r="A4" s="3" t="s">
        <v>1613</v>
      </c>
      <c r="B4" s="4"/>
      <c r="C4" s="4"/>
      <c r="D4" s="4"/>
      <c r="E4" s="4"/>
      <c r="F4" s="4"/>
      <c r="G4" s="4"/>
      <c r="H4" s="4"/>
      <c r="I4" s="4"/>
      <c r="J4" s="4"/>
    </row>
    <row r="5" customFormat="false" ht="23.85" hidden="false" customHeight="false" outlineLevel="0" collapsed="false">
      <c r="A5" s="13" t="s">
        <v>279</v>
      </c>
      <c r="B5" s="13" t="s">
        <v>280</v>
      </c>
      <c r="C5" s="13" t="s">
        <v>18</v>
      </c>
      <c r="D5" s="13" t="s">
        <v>103</v>
      </c>
      <c r="E5" s="13" t="s">
        <v>104</v>
      </c>
      <c r="F5" s="13" t="s">
        <v>105</v>
      </c>
      <c r="G5" s="13" t="s">
        <v>281</v>
      </c>
      <c r="H5" s="13" t="s">
        <v>282</v>
      </c>
      <c r="I5" s="13" t="s">
        <v>283</v>
      </c>
      <c r="J5" s="13" t="s">
        <v>284</v>
      </c>
    </row>
    <row r="6" customFormat="false" ht="15" hidden="false" customHeight="false" outlineLevel="0" collapsed="false">
      <c r="A6" s="9" t="s">
        <v>1614</v>
      </c>
      <c r="B6" s="16" t="s">
        <v>1615</v>
      </c>
      <c r="C6" s="9" t="s">
        <v>1616</v>
      </c>
      <c r="D6" s="46" t="n">
        <v>0.03</v>
      </c>
      <c r="E6" s="46" t="n">
        <v>0.05</v>
      </c>
      <c r="F6" s="46" t="n">
        <v>0.07</v>
      </c>
      <c r="G6" s="47" t="n">
        <f aca="false">INDEX(D6:F6,1,sel_scen)</f>
        <v>0.05</v>
      </c>
      <c r="H6" s="9" t="s">
        <v>287</v>
      </c>
      <c r="I6" s="16"/>
      <c r="J6" s="16" t="s">
        <v>1617</v>
      </c>
    </row>
    <row r="7" customFormat="false" ht="15" hidden="false" customHeight="false" outlineLevel="0" collapsed="false">
      <c r="A7" s="9" t="s">
        <v>1618</v>
      </c>
      <c r="B7" s="16" t="s">
        <v>1619</v>
      </c>
      <c r="C7" s="9" t="s">
        <v>1616</v>
      </c>
      <c r="D7" s="46" t="n">
        <v>0</v>
      </c>
      <c r="E7" s="46" t="n">
        <v>0.003</v>
      </c>
      <c r="F7" s="46" t="n">
        <v>0.01</v>
      </c>
      <c r="G7" s="47" t="n">
        <f aca="false">INDEX(D7:F7,1,sel_scen)</f>
        <v>0.003</v>
      </c>
      <c r="H7" s="9" t="s">
        <v>287</v>
      </c>
      <c r="I7" s="16"/>
      <c r="J7" s="16"/>
    </row>
    <row r="8" customFormat="false" ht="15" hidden="false" customHeight="false" outlineLevel="0" collapsed="false">
      <c r="A8" s="9" t="s">
        <v>1620</v>
      </c>
      <c r="B8" s="16" t="s">
        <v>1621</v>
      </c>
      <c r="C8" s="9" t="s">
        <v>1616</v>
      </c>
      <c r="D8" s="46" t="n">
        <v>0.0025</v>
      </c>
      <c r="E8" s="46" t="n">
        <v>0.005</v>
      </c>
      <c r="F8" s="46" t="n">
        <v>0.015</v>
      </c>
      <c r="G8" s="47" t="n">
        <f aca="false">INDEX(D8:F8,1,sel_scen)</f>
        <v>0.005</v>
      </c>
      <c r="H8" s="9" t="s">
        <v>287</v>
      </c>
      <c r="I8" s="16"/>
      <c r="J8" s="16"/>
    </row>
    <row r="9" customFormat="false" ht="15" hidden="false" customHeight="false" outlineLevel="0" collapsed="false">
      <c r="A9" s="9" t="s">
        <v>1622</v>
      </c>
      <c r="B9" s="16" t="s">
        <v>1623</v>
      </c>
      <c r="C9" s="9" t="s">
        <v>302</v>
      </c>
      <c r="D9" s="48" t="n">
        <v>30</v>
      </c>
      <c r="E9" s="48" t="n">
        <v>45</v>
      </c>
      <c r="F9" s="48" t="n">
        <v>60</v>
      </c>
      <c r="G9" s="49" t="n">
        <f aca="false">INDEX(D9:F9,1,sel_scen)</f>
        <v>45</v>
      </c>
      <c r="H9" s="9" t="s">
        <v>287</v>
      </c>
      <c r="I9" s="16"/>
      <c r="J9" s="16"/>
    </row>
    <row r="10" customFormat="false" ht="15" hidden="false" customHeight="false" outlineLevel="0" collapsed="false">
      <c r="A10" s="9" t="s">
        <v>1624</v>
      </c>
      <c r="B10" s="16" t="s">
        <v>1625</v>
      </c>
      <c r="C10" s="9" t="s">
        <v>1626</v>
      </c>
      <c r="D10" s="46" t="n">
        <v>0.08</v>
      </c>
      <c r="E10" s="46" t="n">
        <v>0.1</v>
      </c>
      <c r="F10" s="46" t="n">
        <v>0.14</v>
      </c>
      <c r="G10" s="47" t="n">
        <f aca="false">INDEX(D10:F10,1,sel_scen)</f>
        <v>0.1</v>
      </c>
      <c r="H10" s="9" t="s">
        <v>287</v>
      </c>
      <c r="I10" s="16"/>
      <c r="J10" s="16"/>
    </row>
    <row r="11" customFormat="false" ht="15" hidden="false" customHeight="false" outlineLevel="0" collapsed="false">
      <c r="A11" s="9" t="s">
        <v>1627</v>
      </c>
      <c r="B11" s="16" t="s">
        <v>1628</v>
      </c>
      <c r="C11" s="9" t="s">
        <v>1629</v>
      </c>
      <c r="D11" s="46" t="n">
        <v>0.005</v>
      </c>
      <c r="E11" s="46" t="n">
        <v>0.015</v>
      </c>
      <c r="F11" s="46" t="n">
        <v>0.04</v>
      </c>
      <c r="G11" s="47" t="n">
        <f aca="false">INDEX(D11:F11,1,sel_scen)</f>
        <v>0.015</v>
      </c>
      <c r="H11" s="9" t="s">
        <v>287</v>
      </c>
      <c r="I11" s="16"/>
      <c r="J11" s="16"/>
    </row>
    <row r="12" customFormat="false" ht="15" hidden="false" customHeight="false" outlineLevel="0" collapsed="false">
      <c r="A12" s="9" t="s">
        <v>1630</v>
      </c>
      <c r="B12" s="16" t="s">
        <v>1631</v>
      </c>
      <c r="C12" s="9" t="s">
        <v>838</v>
      </c>
      <c r="D12" s="62" t="n">
        <v>1000</v>
      </c>
      <c r="E12" s="62" t="n">
        <v>2500</v>
      </c>
      <c r="F12" s="62" t="n">
        <v>4000</v>
      </c>
      <c r="G12" s="22" t="n">
        <f aca="false">INDEX(D12:F12,1,sel_scen)</f>
        <v>2500</v>
      </c>
      <c r="H12" s="9" t="s">
        <v>303</v>
      </c>
      <c r="I12" s="16" t="s">
        <v>549</v>
      </c>
      <c r="J12" s="16" t="s">
        <v>1632</v>
      </c>
    </row>
    <row r="13" customFormat="false" ht="15" hidden="false" customHeight="false" outlineLevel="0" collapsed="false">
      <c r="A13" s="9" t="s">
        <v>1633</v>
      </c>
      <c r="B13" s="16" t="s">
        <v>1634</v>
      </c>
      <c r="C13" s="9" t="s">
        <v>838</v>
      </c>
      <c r="D13" s="62" t="n">
        <v>250</v>
      </c>
      <c r="E13" s="62" t="n">
        <v>500</v>
      </c>
      <c r="F13" s="62" t="n">
        <v>750</v>
      </c>
      <c r="G13" s="22" t="n">
        <f aca="false">INDEX(D13:F13,1,sel_scen)</f>
        <v>500</v>
      </c>
      <c r="H13" s="9" t="s">
        <v>287</v>
      </c>
      <c r="I13" s="16"/>
      <c r="J13" s="16"/>
    </row>
    <row r="14" customFormat="false" ht="15" hidden="false" customHeight="false" outlineLevel="0" collapsed="false">
      <c r="A14" s="9" t="s">
        <v>1635</v>
      </c>
      <c r="B14" s="16" t="s">
        <v>1636</v>
      </c>
      <c r="C14" s="9" t="s">
        <v>37</v>
      </c>
      <c r="D14" s="62" t="n">
        <v>0</v>
      </c>
      <c r="E14" s="62" t="n">
        <v>750</v>
      </c>
      <c r="F14" s="62" t="n">
        <v>2500</v>
      </c>
      <c r="G14" s="22" t="n">
        <f aca="false">INDEX(D14:F14,1,sel_scen)</f>
        <v>750</v>
      </c>
      <c r="H14" s="9" t="s">
        <v>287</v>
      </c>
      <c r="I14" s="16" t="s">
        <v>1042</v>
      </c>
      <c r="J14" s="16" t="s">
        <v>1637</v>
      </c>
    </row>
    <row r="16" customFormat="false" ht="15" hidden="false" customHeight="false" outlineLevel="0" collapsed="false">
      <c r="A16" s="3" t="s">
        <v>1638</v>
      </c>
      <c r="B16" s="4"/>
      <c r="C16" s="4"/>
      <c r="D16" s="4"/>
      <c r="E16" s="4"/>
      <c r="F16" s="4"/>
      <c r="G16" s="4"/>
      <c r="H16" s="4"/>
      <c r="I16" s="4"/>
      <c r="J16" s="4"/>
    </row>
    <row r="17" customFormat="false" ht="15" hidden="false" customHeight="false" outlineLevel="0" collapsed="false">
      <c r="A17" s="13"/>
      <c r="B17" s="13" t="s">
        <v>583</v>
      </c>
      <c r="C17" s="13"/>
      <c r="D17" s="13" t="s">
        <v>15</v>
      </c>
      <c r="E17" s="13" t="s">
        <v>16</v>
      </c>
      <c r="F17" s="13" t="s">
        <v>17</v>
      </c>
      <c r="G17" s="13" t="s">
        <v>1639</v>
      </c>
    </row>
    <row r="18" customFormat="false" ht="15" hidden="false" customHeight="false" outlineLevel="0" collapsed="false">
      <c r="B18" s="9" t="s">
        <v>1640</v>
      </c>
      <c r="D18" s="20" t="n">
        <f aca="false">INDEX(eng_cpb_3464,sel_row)</f>
        <v>0.280098818454852</v>
      </c>
      <c r="E18" s="20" t="n">
        <f aca="false">INDEX(eng_cpb_3463,sel_row)</f>
        <v>0.28775748106156</v>
      </c>
      <c r="F18" s="20" t="n">
        <f aca="false">INDEX(eng_cpb_3460,sel_row)</f>
        <v>0.232045840217106</v>
      </c>
      <c r="G18" s="68" t="n">
        <f aca="false">INDEX(eng_avg_cpb,sel_row)</f>
        <v>0.26663404657784</v>
      </c>
    </row>
    <row r="19" customFormat="false" ht="15" hidden="false" customHeight="false" outlineLevel="0" collapsed="false">
      <c r="B19" s="9" t="s">
        <v>34</v>
      </c>
      <c r="D19" s="20" t="n">
        <f aca="false">INDEX(eng_price_3464,sel_row)</f>
        <v>0.234</v>
      </c>
      <c r="E19" s="20" t="n">
        <f aca="false">INDEX(eng_price_3463,sel_row)</f>
        <v>0.27</v>
      </c>
      <c r="F19" s="20" t="n">
        <f aca="false">INDEX(eng_price_3460,sel_row)</f>
        <v>0.225</v>
      </c>
      <c r="G19" s="68" t="n">
        <f aca="false">INDEX(eng_avg_price,sel_row)</f>
        <v>0.243</v>
      </c>
    </row>
    <row r="20" customFormat="false" ht="15" hidden="false" customHeight="false" outlineLevel="0" collapsed="false">
      <c r="B20" s="9" t="s">
        <v>1641</v>
      </c>
      <c r="D20" s="26" t="n">
        <f aca="false">IF(D19&gt;0,(D19-D18)/D19,0)</f>
        <v>-0.197003497670308</v>
      </c>
      <c r="E20" s="26" t="n">
        <f aca="false">IF(E19&gt;0,(E19-E18)/E19,0)</f>
        <v>-0.0657684483761488</v>
      </c>
      <c r="F20" s="26" t="n">
        <f aca="false">IF(F19&gt;0,(F19-F18)/F19,0)</f>
        <v>-0.0313148454093622</v>
      </c>
      <c r="G20" s="69" t="n">
        <f aca="false">INDEX(eng_GM,sel_row)</f>
        <v>-0.0972594509376113</v>
      </c>
    </row>
    <row r="21" customFormat="false" ht="15" hidden="false" customHeight="false" outlineLevel="0" collapsed="false">
      <c r="B21" s="9" t="s">
        <v>1642</v>
      </c>
      <c r="D21" s="26" t="n">
        <f aca="false">IF(D18&gt;0,(D19-D18)/D18,0)</f>
        <v>-0.164580553067497</v>
      </c>
      <c r="E21" s="26" t="n">
        <f aca="false">IF(E18&gt;0,(E19-E18)/E18,0)</f>
        <v>-0.0617098849908312</v>
      </c>
      <c r="F21" s="26" t="n">
        <f aca="false">IF(F18&gt;0,(F19-F18)/F18,0)</f>
        <v>-0.0303640013995264</v>
      </c>
      <c r="G21" s="26" t="n">
        <f aca="false">IF(G18&gt;0,(G19-G18)/G18,0)</f>
        <v>-0.0886385174030653</v>
      </c>
    </row>
    <row r="22" customFormat="false" ht="15" hidden="false" customHeight="false" outlineLevel="0" collapsed="false">
      <c r="B22" s="9" t="s">
        <v>1643</v>
      </c>
      <c r="D22" s="20" t="n">
        <f aca="false">D19-D18</f>
        <v>-0.046098818454852</v>
      </c>
      <c r="E22" s="20" t="n">
        <f aca="false">E19-E18</f>
        <v>-0.0177574810615602</v>
      </c>
      <c r="F22" s="20" t="n">
        <f aca="false">F19-F18</f>
        <v>-0.0070458402171065</v>
      </c>
      <c r="G22" s="20" t="n">
        <f aca="false">G19-G18</f>
        <v>-0.0236340465778395</v>
      </c>
    </row>
    <row r="24" customFormat="false" ht="15" hidden="false" customHeight="false" outlineLevel="0" collapsed="false">
      <c r="A24" s="3" t="s">
        <v>1644</v>
      </c>
      <c r="B24" s="4"/>
      <c r="C24" s="4"/>
      <c r="D24" s="4"/>
      <c r="E24" s="4"/>
      <c r="F24" s="4"/>
      <c r="G24" s="4"/>
      <c r="H24" s="4"/>
      <c r="I24" s="4"/>
      <c r="J24" s="4"/>
    </row>
    <row r="25" customFormat="false" ht="15" hidden="false" customHeight="false" outlineLevel="0" collapsed="false">
      <c r="A25" s="13"/>
      <c r="B25" s="13" t="s">
        <v>1645</v>
      </c>
      <c r="C25" s="13"/>
      <c r="D25" s="13" t="s">
        <v>15</v>
      </c>
      <c r="E25" s="13" t="s">
        <v>16</v>
      </c>
      <c r="F25" s="13" t="s">
        <v>17</v>
      </c>
      <c r="G25" s="13" t="s">
        <v>1639</v>
      </c>
      <c r="H25" s="13" t="s">
        <v>1646</v>
      </c>
    </row>
    <row r="26" customFormat="false" ht="15" hidden="false" customHeight="false" outlineLevel="0" collapsed="false">
      <c r="B26" s="9" t="s">
        <v>40</v>
      </c>
      <c r="C26" s="28" t="n">
        <v>0.1</v>
      </c>
      <c r="D26" s="20" t="n">
        <f aca="false">D18/(1-$C26)</f>
        <v>0.31122090939428</v>
      </c>
      <c r="E26" s="20" t="n">
        <f aca="false">E18/(1-$C26)</f>
        <v>0.319730534512845</v>
      </c>
      <c r="F26" s="20" t="n">
        <f aca="false">F18/(1-$C26)</f>
        <v>0.257828711352341</v>
      </c>
      <c r="G26" s="20" t="n">
        <f aca="false">G18/(1-$C26)</f>
        <v>0.296260051753155</v>
      </c>
      <c r="H26" s="67" t="n">
        <f aca="false">G26/G19-1</f>
        <v>0.219177167708457</v>
      </c>
    </row>
    <row r="27" customFormat="false" ht="15" hidden="false" customHeight="false" outlineLevel="0" collapsed="false">
      <c r="B27" s="9" t="s">
        <v>40</v>
      </c>
      <c r="C27" s="28" t="n">
        <v>0.15</v>
      </c>
      <c r="D27" s="20" t="n">
        <f aca="false">D18/(1-$C27)</f>
        <v>0.329528021711591</v>
      </c>
      <c r="E27" s="20" t="n">
        <f aca="false">E18/(1-$C27)</f>
        <v>0.3385382130136</v>
      </c>
      <c r="F27" s="20" t="n">
        <f aca="false">F18/(1-$C27)</f>
        <v>0.272995106137772</v>
      </c>
      <c r="G27" s="20" t="n">
        <f aca="false">G18/(1-$C27)</f>
        <v>0.313687113620988</v>
      </c>
      <c r="H27" s="67" t="n">
        <f aca="false">G27/G19-1</f>
        <v>0.290893471691307</v>
      </c>
    </row>
    <row r="28" customFormat="false" ht="15" hidden="false" customHeight="false" outlineLevel="0" collapsed="false">
      <c r="B28" s="9" t="s">
        <v>40</v>
      </c>
      <c r="C28" s="28" t="n">
        <v>0.2</v>
      </c>
      <c r="D28" s="20" t="n">
        <f aca="false">D18/(1-$C28)</f>
        <v>0.350123523068565</v>
      </c>
      <c r="E28" s="20" t="n">
        <f aca="false">E18/(1-$C28)</f>
        <v>0.35969685132695</v>
      </c>
      <c r="F28" s="20" t="n">
        <f aca="false">F18/(1-$C28)</f>
        <v>0.290057300271383</v>
      </c>
      <c r="G28" s="20" t="n">
        <f aca="false">G18/(1-$C28)</f>
        <v>0.333292558222299</v>
      </c>
      <c r="H28" s="67" t="n">
        <f aca="false">G28/G19-1</f>
        <v>0.371574313672014</v>
      </c>
    </row>
    <row r="29" customFormat="false" ht="15" hidden="false" customHeight="false" outlineLevel="0" collapsed="false">
      <c r="B29" s="9" t="s">
        <v>40</v>
      </c>
      <c r="C29" s="28" t="n">
        <v>0.25</v>
      </c>
      <c r="D29" s="20" t="n">
        <f aca="false">D18/(1-$C29)</f>
        <v>0.373465091273136</v>
      </c>
      <c r="E29" s="20" t="n">
        <f aca="false">E18/(1-$C29)</f>
        <v>0.383676641415414</v>
      </c>
      <c r="F29" s="20" t="n">
        <f aca="false">F18/(1-$C29)</f>
        <v>0.309394453622809</v>
      </c>
      <c r="G29" s="20" t="n">
        <f aca="false">G18/(1-$C29)</f>
        <v>0.355512062103786</v>
      </c>
      <c r="H29" s="67" t="n">
        <f aca="false">G29/G19-1</f>
        <v>0.463012601250149</v>
      </c>
    </row>
    <row r="30" customFormat="false" ht="15" hidden="false" customHeight="false" outlineLevel="0" collapsed="false">
      <c r="B30" s="9" t="s">
        <v>40</v>
      </c>
      <c r="C30" s="28" t="n">
        <v>0.3</v>
      </c>
      <c r="D30" s="20" t="n">
        <f aca="false">D18/(1-$C30)</f>
        <v>0.400141169221217</v>
      </c>
      <c r="E30" s="20" t="n">
        <f aca="false">E18/(1-$C30)</f>
        <v>0.411082115802229</v>
      </c>
      <c r="F30" s="20" t="n">
        <f aca="false">F18/(1-$C30)</f>
        <v>0.331494057453009</v>
      </c>
      <c r="G30" s="20" t="n">
        <f aca="false">G18/(1-$C30)</f>
        <v>0.380905780825485</v>
      </c>
      <c r="H30" s="67" t="n">
        <f aca="false">G30/G19-1</f>
        <v>0.567513501339445</v>
      </c>
    </row>
    <row r="31" customFormat="false" ht="15" hidden="false" customHeight="false" outlineLevel="0" collapsed="false">
      <c r="B31" s="9" t="s">
        <v>40</v>
      </c>
      <c r="C31" s="28" t="n">
        <v>0.35</v>
      </c>
      <c r="D31" s="20" t="n">
        <f aca="false">D18/(1-$C31)</f>
        <v>0.430921259161311</v>
      </c>
      <c r="E31" s="20" t="n">
        <f aca="false">E18/(1-$C31)</f>
        <v>0.442703817017785</v>
      </c>
      <c r="F31" s="20" t="n">
        <f aca="false">F18/(1-$C31)</f>
        <v>0.35699360033401</v>
      </c>
      <c r="G31" s="20" t="n">
        <f aca="false">G18/(1-$C31)</f>
        <v>0.410206225504369</v>
      </c>
      <c r="H31" s="67" t="n">
        <f aca="false">G31/G19-1</f>
        <v>0.68809146298094</v>
      </c>
    </row>
    <row r="33" customFormat="false" ht="15" hidden="false" customHeight="false" outlineLevel="0" collapsed="false">
      <c r="A33" s="3" t="s">
        <v>1647</v>
      </c>
      <c r="B33" s="4"/>
      <c r="C33" s="4"/>
      <c r="D33" s="4"/>
      <c r="E33" s="4"/>
      <c r="F33" s="4"/>
      <c r="G33" s="4"/>
      <c r="H33" s="4"/>
      <c r="I33" s="4"/>
      <c r="J33" s="4"/>
    </row>
    <row r="34" customFormat="false" ht="15" hidden="false" customHeight="false" outlineLevel="0" collapsed="false">
      <c r="A34" s="13"/>
      <c r="B34" s="13" t="s">
        <v>1648</v>
      </c>
      <c r="C34" s="13"/>
      <c r="D34" s="13" t="s">
        <v>15</v>
      </c>
      <c r="E34" s="13" t="s">
        <v>16</v>
      </c>
      <c r="F34" s="13" t="s">
        <v>17</v>
      </c>
      <c r="G34" s="13" t="s">
        <v>1639</v>
      </c>
    </row>
    <row r="35" customFormat="false" ht="15" hidden="false" customHeight="false" outlineLevel="0" collapsed="false">
      <c r="B35" s="9" t="s">
        <v>44</v>
      </c>
      <c r="C35" s="28" t="n">
        <v>0</v>
      </c>
      <c r="D35" s="20" t="n">
        <f aca="false">(D18+((INDEX(eng_SELL_FIX,sel_row)+INDEX(eng_FIN,sel_row))/INDEX(eng_SALE,sel_row)))/(1-INDEX(eng_var_pct,sel_row)-$C35)</f>
        <v>0.346489049278076</v>
      </c>
      <c r="E35" s="20" t="n">
        <f aca="false">(E18+((INDEX(eng_SELL_FIX,sel_row)+INDEX(eng_FIN,sel_row))/INDEX(eng_SALE,sel_row)))/(1-INDEX(eng_var_pct,sel_row)-$C35)</f>
        <v>0.354619264359507</v>
      </c>
      <c r="F35" s="20" t="n">
        <f aca="false">(F18+((INDEX(eng_SELL_FIX,sel_row)+INDEX(eng_FIN,sel_row))/INDEX(eng_SALE,sel_row)))/(1-INDEX(eng_var_pct,sel_row)-$C35)</f>
        <v>0.295477395097879</v>
      </c>
      <c r="G35" s="20" t="n">
        <f aca="false">(G18+((INDEX(eng_SELL_FIX,sel_row)+INDEX(eng_FIN,sel_row))/INDEX(eng_SALE,sel_row)))/(1-INDEX(eng_var_pct,sel_row)-$C35)</f>
        <v>0.332195236245154</v>
      </c>
    </row>
    <row r="36" customFormat="false" ht="15" hidden="false" customHeight="false" outlineLevel="0" collapsed="false">
      <c r="B36" s="9" t="s">
        <v>44</v>
      </c>
      <c r="C36" s="28" t="n">
        <v>0.05</v>
      </c>
      <c r="D36" s="20" t="n">
        <f aca="false">(D18+((INDEX(eng_SELL_FIX,sel_row)+INDEX(eng_FIN,sel_row))/INDEX(eng_SALE,sel_row)))/(1-INDEX(eng_var_pct,sel_row)-$C36)</f>
        <v>0.365911081188282</v>
      </c>
      <c r="E36" s="20" t="n">
        <f aca="false">(E18+((INDEX(eng_SELL_FIX,sel_row)+INDEX(eng_FIN,sel_row))/INDEX(eng_SALE,sel_row)))/(1-INDEX(eng_var_pct,sel_row)-$C36)</f>
        <v>0.374497025814637</v>
      </c>
      <c r="F36" s="20" t="n">
        <f aca="false">(F18+((INDEX(eng_SELL_FIX,sel_row)+INDEX(eng_FIN,sel_row))/INDEX(eng_SALE,sel_row)))/(1-INDEX(eng_var_pct,sel_row)-$C36)</f>
        <v>0.312040029352244</v>
      </c>
      <c r="G36" s="20" t="n">
        <f aca="false">(G18+((INDEX(eng_SELL_FIX,sel_row)+INDEX(eng_FIN,sel_row))/INDEX(eng_SALE,sel_row)))/(1-INDEX(eng_var_pct,sel_row)-$C36)</f>
        <v>0.350816045451721</v>
      </c>
    </row>
    <row r="37" customFormat="false" ht="15" hidden="false" customHeight="false" outlineLevel="0" collapsed="false">
      <c r="B37" s="9" t="s">
        <v>44</v>
      </c>
      <c r="C37" s="28" t="n">
        <v>0.1</v>
      </c>
      <c r="D37" s="20" t="n">
        <f aca="false">(D18+((INDEX(eng_SELL_FIX,sel_row)+INDEX(eng_FIN,sel_row))/INDEX(eng_SALE,sel_row)))/(1-INDEX(eng_var_pct,sel_row)-$C37)</f>
        <v>0.387639767719653</v>
      </c>
      <c r="E37" s="20" t="n">
        <f aca="false">(E18+((INDEX(eng_SELL_FIX,sel_row)+INDEX(eng_FIN,sel_row))/INDEX(eng_SALE,sel_row)))/(1-INDEX(eng_var_pct,sel_row)-$C37)</f>
        <v>0.396735566539971</v>
      </c>
      <c r="F37" s="20" t="n">
        <f aca="false">(F18+((INDEX(eng_SELL_FIX,sel_row)+INDEX(eng_FIN,sel_row))/INDEX(eng_SALE,sel_row)))/(1-INDEX(eng_var_pct,sel_row)-$C37)</f>
        <v>0.330569722306653</v>
      </c>
      <c r="G37" s="20" t="n">
        <f aca="false">(G18+((INDEX(eng_SELL_FIX,sel_row)+INDEX(eng_FIN,sel_row))/INDEX(eng_SALE,sel_row)))/(1-INDEX(eng_var_pct,sel_row)-$C37)</f>
        <v>0.371648352188759</v>
      </c>
    </row>
    <row r="38" customFormat="false" ht="15" hidden="false" customHeight="false" outlineLevel="0" collapsed="false">
      <c r="B38" s="9" t="s">
        <v>44</v>
      </c>
      <c r="C38" s="28" t="n">
        <v>0.15</v>
      </c>
      <c r="D38" s="20" t="n">
        <f aca="false">(D18+((INDEX(eng_SELL_FIX,sel_row)+INDEX(eng_FIN,sel_row))/INDEX(eng_SALE,sel_row)))/(1-INDEX(eng_var_pct,sel_row)-$C38)</f>
        <v>0.412111975277712</v>
      </c>
      <c r="E38" s="20" t="n">
        <f aca="false">(E18+((INDEX(eng_SELL_FIX,sel_row)+INDEX(eng_FIN,sel_row))/INDEX(eng_SALE,sel_row)))/(1-INDEX(eng_var_pct,sel_row)-$C38)</f>
        <v>0.421782003821535</v>
      </c>
      <c r="F38" s="20" t="n">
        <f aca="false">(F18+((INDEX(eng_SELL_FIX,sel_row)+INDEX(eng_FIN,sel_row))/INDEX(eng_SALE,sel_row)))/(1-INDEX(eng_var_pct,sel_row)-$C38)</f>
        <v>0.351439022957326</v>
      </c>
      <c r="G38" s="20" t="n">
        <f aca="false">(G18+((INDEX(eng_SELL_FIX,sel_row)+INDEX(eng_FIN,sel_row))/INDEX(eng_SALE,sel_row)))/(1-INDEX(eng_var_pct,sel_row)-$C38)</f>
        <v>0.395111000685524</v>
      </c>
    </row>
    <row r="39" customFormat="false" ht="15" hidden="false" customHeight="false" outlineLevel="0" collapsed="false">
      <c r="B39" s="9" t="s">
        <v>44</v>
      </c>
      <c r="C39" s="28" t="n">
        <v>0.2</v>
      </c>
      <c r="D39" s="20" t="n">
        <f aca="false">(D18+((INDEX(eng_SELL_FIX,sel_row)+INDEX(eng_FIN,sel_row))/INDEX(eng_SALE,sel_row)))/(1-INDEX(eng_var_pct,sel_row)-$C39)</f>
        <v>0.439882324016102</v>
      </c>
      <c r="E39" s="20" t="n">
        <f aca="false">(E18+((INDEX(eng_SELL_FIX,sel_row)+INDEX(eng_FIN,sel_row))/INDEX(eng_SALE,sel_row)))/(1-INDEX(eng_var_pct,sel_row)-$C39)</f>
        <v>0.450203971734037</v>
      </c>
      <c r="F39" s="20" t="n">
        <f aca="false">(F18+((INDEX(eng_SELL_FIX,sel_row)+INDEX(eng_FIN,sel_row))/INDEX(eng_SALE,sel_row)))/(1-INDEX(eng_var_pct,sel_row)-$C39)</f>
        <v>0.375120897819679</v>
      </c>
      <c r="G39" s="20" t="n">
        <f aca="false">(G18+((INDEX(eng_SELL_FIX,sel_row)+INDEX(eng_FIN,sel_row))/INDEX(eng_SALE,sel_row)))/(1-INDEX(eng_var_pct,sel_row)-$C39)</f>
        <v>0.42173573118994</v>
      </c>
    </row>
    <row r="41" customFormat="false" ht="15" hidden="false" customHeight="false" outlineLevel="0" collapsed="false">
      <c r="A41" s="3" t="s">
        <v>1649</v>
      </c>
      <c r="B41" s="4"/>
      <c r="C41" s="4"/>
      <c r="D41" s="4"/>
      <c r="E41" s="4"/>
      <c r="F41" s="4"/>
      <c r="G41" s="4"/>
      <c r="H41" s="4"/>
      <c r="I41" s="4"/>
      <c r="J41" s="4"/>
    </row>
    <row r="42" customFormat="false" ht="15" hidden="false" customHeight="false" outlineLevel="0" collapsed="false">
      <c r="A42" s="13"/>
      <c r="B42" s="13" t="s">
        <v>1645</v>
      </c>
      <c r="C42" s="13"/>
      <c r="D42" s="13" t="s">
        <v>15</v>
      </c>
      <c r="E42" s="13" t="s">
        <v>16</v>
      </c>
      <c r="F42" s="13" t="s">
        <v>17</v>
      </c>
      <c r="G42" s="13"/>
      <c r="H42" s="13" t="s">
        <v>1650</v>
      </c>
    </row>
    <row r="43" customFormat="false" ht="15" hidden="false" customHeight="false" outlineLevel="0" collapsed="false">
      <c r="B43" s="9" t="s">
        <v>40</v>
      </c>
      <c r="C43" s="28" t="n">
        <v>0.1</v>
      </c>
      <c r="D43" s="24" t="n">
        <f aca="false">IF(INDEX(eng_units_3464,sel_row)&gt;0,(INDEX(eng_price_3464,sel_row)*(1-$C43)*(1-INDEX(eng_dmg,sel_row))-INDEX(eng_o_3464,sel_row))/(1+INDEX(eng_a_3464,sel_row))*INDEX(eng_fx,sel_row)/((1+INDEX(eng_req,sel_row))*INDEX(eng_supfac,sel_row)),"")</f>
        <v>5.18568755381674</v>
      </c>
      <c r="E43" s="24" t="n">
        <f aca="false">IF(INDEX(eng_units_3463,sel_row)&gt;0,(INDEX(eng_price_3463,sel_row)*(1-$C43)*(1-INDEX(eng_dmg,sel_row))-INDEX(eng_o_3463,sel_row))/(1+INDEX(eng_a_3463,sel_row))*INDEX(eng_fx,sel_row)/((1+INDEX(eng_req,sel_row))*INDEX(eng_supfac,sel_row)),"")</f>
        <v>5.85251171512693</v>
      </c>
      <c r="F43" s="24" t="n">
        <f aca="false">IF(INDEX(eng_units_3460,sel_row)&gt;0,(INDEX(eng_price_3460,sel_row)*(1-$C43)*(1-INDEX(eng_dmg,sel_row))-INDEX(eng_o_3460,sel_row))/(1+INDEX(eng_a_3460,sel_row))*INDEX(eng_fx,sel_row)/((1+INDEX(eng_req,sel_row))*INDEX(eng_supfac,sel_row)),"")</f>
        <v>5.54838770465988</v>
      </c>
      <c r="H43" s="9" t="s">
        <v>1651</v>
      </c>
    </row>
    <row r="44" customFormat="false" ht="15" hidden="false" customHeight="false" outlineLevel="0" collapsed="false">
      <c r="B44" s="9" t="s">
        <v>40</v>
      </c>
      <c r="C44" s="28" t="n">
        <v>0.15</v>
      </c>
      <c r="D44" s="24" t="n">
        <f aca="false">IF(INDEX(eng_units_3464,sel_row)&gt;0,(INDEX(eng_price_3464,sel_row)*(1-$C44)*(1-INDEX(eng_dmg,sel_row))-INDEX(eng_o_3464,sel_row))/(1+INDEX(eng_a_3464,sel_row))*INDEX(eng_fx,sel_row)/((1+INDEX(eng_req,sel_row))*INDEX(eng_supfac,sel_row)),"")</f>
        <v>4.65045607150732</v>
      </c>
      <c r="E44" s="24" t="n">
        <f aca="false">IF(INDEX(eng_units_3463,sel_row)&gt;0,(INDEX(eng_price_3463,sel_row)*(1-$C44)*(1-INDEX(eng_dmg,sel_row))-INDEX(eng_o_3463,sel_row))/(1+INDEX(eng_a_3463,sel_row))*INDEX(eng_fx,sel_row)/((1+INDEX(eng_req,sel_row))*INDEX(eng_supfac,sel_row)),"")</f>
        <v>5.23493692784683</v>
      </c>
      <c r="F44" s="24" t="n">
        <f aca="false">IF(INDEX(eng_units_3460,sel_row)&gt;0,(INDEX(eng_price_3460,sel_row)*(1-$C44)*(1-INDEX(eng_dmg,sel_row))-INDEX(eng_o_3460,sel_row))/(1+INDEX(eng_a_3460,sel_row))*INDEX(eng_fx,sel_row)/((1+INDEX(eng_req,sel_row))*INDEX(eng_supfac,sel_row)),"")</f>
        <v>5.03374204859313</v>
      </c>
      <c r="H44" s="9" t="s">
        <v>1651</v>
      </c>
    </row>
    <row r="45" customFormat="false" ht="15" hidden="false" customHeight="false" outlineLevel="0" collapsed="false">
      <c r="B45" s="9" t="s">
        <v>40</v>
      </c>
      <c r="C45" s="28" t="n">
        <v>0.2</v>
      </c>
      <c r="D45" s="24" t="n">
        <f aca="false">IF(INDEX(eng_units_3464,sel_row)&gt;0,(INDEX(eng_price_3464,sel_row)*(1-$C45)*(1-INDEX(eng_dmg,sel_row))-INDEX(eng_o_3464,sel_row))/(1+INDEX(eng_a_3464,sel_row))*INDEX(eng_fx,sel_row)/((1+INDEX(eng_req,sel_row))*INDEX(eng_supfac,sel_row)),"")</f>
        <v>4.11522458919789</v>
      </c>
      <c r="E45" s="24" t="n">
        <f aca="false">IF(INDEX(eng_units_3463,sel_row)&gt;0,(INDEX(eng_price_3463,sel_row)*(1-$C45)*(1-INDEX(eng_dmg,sel_row))-INDEX(eng_o_3463,sel_row))/(1+INDEX(eng_a_3463,sel_row))*INDEX(eng_fx,sel_row)/((1+INDEX(eng_req,sel_row))*INDEX(eng_supfac,sel_row)),"")</f>
        <v>4.61736214056672</v>
      </c>
      <c r="F45" s="24" t="n">
        <f aca="false">IF(INDEX(eng_units_3460,sel_row)&gt;0,(INDEX(eng_price_3460,sel_row)*(1-$C45)*(1-INDEX(eng_dmg,sel_row))-INDEX(eng_o_3460,sel_row))/(1+INDEX(eng_a_3460,sel_row))*INDEX(eng_fx,sel_row)/((1+INDEX(eng_req,sel_row))*INDEX(eng_supfac,sel_row)),"")</f>
        <v>4.51909639252637</v>
      </c>
      <c r="H45" s="9" t="s">
        <v>1651</v>
      </c>
    </row>
    <row r="46" customFormat="false" ht="15" hidden="false" customHeight="false" outlineLevel="0" collapsed="false">
      <c r="B46" s="9" t="s">
        <v>40</v>
      </c>
      <c r="C46" s="28" t="n">
        <v>0.25</v>
      </c>
      <c r="D46" s="24" t="n">
        <f aca="false">IF(INDEX(eng_units_3464,sel_row)&gt;0,(INDEX(eng_price_3464,sel_row)*(1-$C46)*(1-INDEX(eng_dmg,sel_row))-INDEX(eng_o_3464,sel_row))/(1+INDEX(eng_a_3464,sel_row))*INDEX(eng_fx,sel_row)/((1+INDEX(eng_req,sel_row))*INDEX(eng_supfac,sel_row)),"")</f>
        <v>3.57999310688847</v>
      </c>
      <c r="E46" s="24" t="n">
        <f aca="false">IF(INDEX(eng_units_3463,sel_row)&gt;0,(INDEX(eng_price_3463,sel_row)*(1-$C46)*(1-INDEX(eng_dmg,sel_row))-INDEX(eng_o_3463,sel_row))/(1+INDEX(eng_a_3463,sel_row))*INDEX(eng_fx,sel_row)/((1+INDEX(eng_req,sel_row))*INDEX(eng_supfac,sel_row)),"")</f>
        <v>3.99978735328661</v>
      </c>
      <c r="F46" s="24" t="n">
        <f aca="false">IF(INDEX(eng_units_3460,sel_row)&gt;0,(INDEX(eng_price_3460,sel_row)*(1-$C46)*(1-INDEX(eng_dmg,sel_row))-INDEX(eng_o_3460,sel_row))/(1+INDEX(eng_a_3460,sel_row))*INDEX(eng_fx,sel_row)/((1+INDEX(eng_req,sel_row))*INDEX(eng_supfac,sel_row)),"")</f>
        <v>4.00445073645962</v>
      </c>
      <c r="H46" s="9" t="s">
        <v>1651</v>
      </c>
    </row>
    <row r="47" customFormat="false" ht="15" hidden="false" customHeight="false" outlineLevel="0" collapsed="false">
      <c r="B47" s="9" t="s">
        <v>40</v>
      </c>
      <c r="C47" s="28" t="n">
        <v>0.3</v>
      </c>
      <c r="D47" s="24" t="n">
        <f aca="false">IF(INDEX(eng_units_3464,sel_row)&gt;0,(INDEX(eng_price_3464,sel_row)*(1-$C47)*(1-INDEX(eng_dmg,sel_row))-INDEX(eng_o_3464,sel_row))/(1+INDEX(eng_a_3464,sel_row))*INDEX(eng_fx,sel_row)/((1+INDEX(eng_req,sel_row))*INDEX(eng_supfac,sel_row)),"")</f>
        <v>3.04476162457904</v>
      </c>
      <c r="E47" s="24" t="n">
        <f aca="false">IF(INDEX(eng_units_3463,sel_row)&gt;0,(INDEX(eng_price_3463,sel_row)*(1-$C47)*(1-INDEX(eng_dmg,sel_row))-INDEX(eng_o_3463,sel_row))/(1+INDEX(eng_a_3463,sel_row))*INDEX(eng_fx,sel_row)/((1+INDEX(eng_req,sel_row))*INDEX(eng_supfac,sel_row)),"")</f>
        <v>3.38221256600651</v>
      </c>
      <c r="F47" s="24" t="n">
        <f aca="false">IF(INDEX(eng_units_3460,sel_row)&gt;0,(INDEX(eng_price_3460,sel_row)*(1-$C47)*(1-INDEX(eng_dmg,sel_row))-INDEX(eng_o_3460,sel_row))/(1+INDEX(eng_a_3460,sel_row))*INDEX(eng_fx,sel_row)/((1+INDEX(eng_req,sel_row))*INDEX(eng_supfac,sel_row)),"")</f>
        <v>3.48980508039286</v>
      </c>
      <c r="H47" s="9" t="s">
        <v>1651</v>
      </c>
    </row>
    <row r="48" customFormat="false" ht="15" hidden="false" customHeight="false" outlineLevel="0" collapsed="false">
      <c r="B48" s="9" t="s">
        <v>40</v>
      </c>
      <c r="C48" s="28" t="n">
        <v>0.35</v>
      </c>
      <c r="D48" s="24" t="n">
        <f aca="false">IF(INDEX(eng_units_3464,sel_row)&gt;0,(INDEX(eng_price_3464,sel_row)*(1-$C48)*(1-INDEX(eng_dmg,sel_row))-INDEX(eng_o_3464,sel_row))/(1+INDEX(eng_a_3464,sel_row))*INDEX(eng_fx,sel_row)/((1+INDEX(eng_req,sel_row))*INDEX(eng_supfac,sel_row)),"")</f>
        <v>2.50953014226962</v>
      </c>
      <c r="E48" s="24" t="n">
        <f aca="false">IF(INDEX(eng_units_3463,sel_row)&gt;0,(INDEX(eng_price_3463,sel_row)*(1-$C48)*(1-INDEX(eng_dmg,sel_row))-INDEX(eng_o_3463,sel_row))/(1+INDEX(eng_a_3463,sel_row))*INDEX(eng_fx,sel_row)/((1+INDEX(eng_req,sel_row))*INDEX(eng_supfac,sel_row)),"")</f>
        <v>2.7646377787264</v>
      </c>
      <c r="F48" s="24" t="n">
        <f aca="false">IF(INDEX(eng_units_3460,sel_row)&gt;0,(INDEX(eng_price_3460,sel_row)*(1-$C48)*(1-INDEX(eng_dmg,sel_row))-INDEX(eng_o_3460,sel_row))/(1+INDEX(eng_a_3460,sel_row))*INDEX(eng_fx,sel_row)/((1+INDEX(eng_req,sel_row))*INDEX(eng_supfac,sel_row)),"")</f>
        <v>2.97515942432611</v>
      </c>
      <c r="H48" s="9" t="s">
        <v>1651</v>
      </c>
    </row>
    <row r="49" customFormat="false" ht="15" hidden="false" customHeight="false" outlineLevel="0" collapsed="false">
      <c r="B49" s="9" t="s">
        <v>40</v>
      </c>
      <c r="C49" s="28" t="n">
        <v>0</v>
      </c>
      <c r="D49" s="24" t="n">
        <f aca="false">IF(INDEX(eng_units_3464,sel_row)&gt;0,(INDEX(eng_price_3464,sel_row)*(1-$C49)*(1-INDEX(eng_dmg,sel_row))-INDEX(eng_o_3464,sel_row))/(1+INDEX(eng_a_3464,sel_row))*INDEX(eng_fx,sel_row)/((1+INDEX(eng_req,sel_row))*INDEX(eng_supfac,sel_row)),"")</f>
        <v>6.2561505184356</v>
      </c>
      <c r="E49" s="24" t="n">
        <f aca="false">IF(INDEX(eng_units_3463,sel_row)&gt;0,(INDEX(eng_price_3463,sel_row)*(1-$C49)*(1-INDEX(eng_dmg,sel_row))-INDEX(eng_o_3463,sel_row))/(1+INDEX(eng_a_3463,sel_row))*INDEX(eng_fx,sel_row)/((1+INDEX(eng_req,sel_row))*INDEX(eng_supfac,sel_row)),"")</f>
        <v>7.08766128968715</v>
      </c>
      <c r="F49" s="24" t="n">
        <f aca="false">IF(INDEX(eng_units_3460,sel_row)&gt;0,(INDEX(eng_price_3460,sel_row)*(1-$C49)*(1-INDEX(eng_dmg,sel_row))-INDEX(eng_o_3460,sel_row))/(1+INDEX(eng_a_3460,sel_row))*INDEX(eng_fx,sel_row)/((1+INDEX(eng_req,sel_row))*INDEX(eng_supfac,sel_row)),"")</f>
        <v>6.5776790167934</v>
      </c>
      <c r="H49" s="9" t="s">
        <v>1651</v>
      </c>
    </row>
    <row r="50" customFormat="false" ht="15" hidden="false" customHeight="true" outlineLevel="0" collapsed="false">
      <c r="B50" s="16" t="s">
        <v>1652</v>
      </c>
      <c r="C50" s="16"/>
      <c r="D50" s="16"/>
      <c r="E50" s="16"/>
      <c r="F50" s="16"/>
      <c r="G50" s="16"/>
      <c r="H50" s="16"/>
      <c r="I50" s="16"/>
      <c r="J50" s="16"/>
    </row>
  </sheetData>
  <mergeCells count="1">
    <mergeCell ref="B50:J50"/>
  </mergeCells>
  <conditionalFormatting sqref="H6:H14">
    <cfRule type="expression" priority="2" aboveAverage="0" equalAverage="0" bottom="0" percent="0" rank="0" text="" dxfId="0">
      <formula>LEFT(H6,8)="VERIFIED"</formula>
    </cfRule>
    <cfRule type="expression" priority="3" aboveAverage="0" equalAverage="0" bottom="0" percent="0" rank="0" text="" dxfId="2">
      <formula>OR(H6="ESTIMATED",H6="CALCULATED")</formula>
    </cfRule>
    <cfRule type="expression" priority="4" aboveAverage="0" equalAverage="0" bottom="0" percent="0" rank="0" text="" dxfId="1">
      <formula>OR(H6="ASSUMED",H6="UNRESOLVED",H6="UNVERIFIED")</formula>
    </cfRule>
  </conditionalFormatting>
  <dataValidations count="1">
    <dataValidation allowBlank="true" error="Value outside the allowed range" errorStyle="stop" operator="between" showDropDown="false" showErrorMessage="false" showInputMessage="false" sqref="D6:F14"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V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22" min="3" style="0" width="13"/>
  </cols>
  <sheetData>
    <row r="1" customFormat="false" ht="18.55" hidden="false" customHeight="false" outlineLevel="0" collapsed="false">
      <c r="A1" s="1" t="s">
        <v>1653</v>
      </c>
    </row>
    <row r="2" customFormat="false" ht="15" hidden="false" customHeight="false" outlineLevel="0" collapsed="false">
      <c r="A2" s="2" t="s">
        <v>1654</v>
      </c>
    </row>
    <row r="4" customFormat="false" ht="15" hidden="false" customHeight="false" outlineLevel="0" collapsed="false">
      <c r="A4" s="3" t="s">
        <v>1655</v>
      </c>
      <c r="B4" s="4"/>
      <c r="C4" s="4"/>
      <c r="D4" s="4"/>
      <c r="E4" s="4"/>
      <c r="F4" s="4"/>
      <c r="G4" s="4"/>
      <c r="H4" s="4"/>
      <c r="I4" s="4"/>
      <c r="J4" s="4"/>
      <c r="K4" s="4"/>
      <c r="L4" s="4"/>
      <c r="M4" s="4"/>
      <c r="N4" s="4"/>
      <c r="O4" s="4"/>
      <c r="P4" s="4"/>
      <c r="Q4" s="4"/>
      <c r="R4" s="4"/>
      <c r="S4" s="4"/>
      <c r="T4" s="4"/>
      <c r="U4" s="4"/>
      <c r="V4" s="4"/>
    </row>
    <row r="5" customFormat="false" ht="23.85" hidden="false" customHeight="false" outlineLevel="0" collapsed="false">
      <c r="A5" s="13" t="s">
        <v>356</v>
      </c>
      <c r="B5" s="13" t="s">
        <v>113</v>
      </c>
      <c r="C5" s="13" t="s">
        <v>1656</v>
      </c>
      <c r="D5" s="13" t="s">
        <v>769</v>
      </c>
      <c r="E5" s="13" t="s">
        <v>23</v>
      </c>
      <c r="F5" s="13" t="s">
        <v>1657</v>
      </c>
      <c r="G5" s="13" t="s">
        <v>1658</v>
      </c>
      <c r="H5" s="13" t="s">
        <v>39</v>
      </c>
      <c r="I5" s="13" t="s">
        <v>1659</v>
      </c>
      <c r="J5" s="13" t="s">
        <v>1660</v>
      </c>
      <c r="K5" s="13" t="s">
        <v>114</v>
      </c>
      <c r="L5" s="13" t="s">
        <v>1661</v>
      </c>
      <c r="M5" s="13" t="s">
        <v>1662</v>
      </c>
      <c r="N5" s="13" t="s">
        <v>1663</v>
      </c>
      <c r="O5" s="13" t="s">
        <v>1664</v>
      </c>
      <c r="P5" s="13" t="s">
        <v>1665</v>
      </c>
      <c r="Q5" s="13" t="s">
        <v>1666</v>
      </c>
      <c r="R5" s="13" t="s">
        <v>1667</v>
      </c>
      <c r="S5" s="13" t="s">
        <v>1668</v>
      </c>
      <c r="T5" s="13" t="s">
        <v>1669</v>
      </c>
      <c r="U5" s="13" t="s">
        <v>1670</v>
      </c>
      <c r="V5" s="13" t="s">
        <v>1671</v>
      </c>
    </row>
    <row r="6" customFormat="false" ht="15" hidden="false" customHeight="false" outlineLevel="0" collapsed="false">
      <c r="A6" s="9" t="n">
        <v>1</v>
      </c>
      <c r="B6" s="9" t="s">
        <v>743</v>
      </c>
      <c r="C6" s="8" t="str">
        <f aca="false">IF(INDEX(eng_fits,MATCH(sel_scen*1000+1*10+sel_dest,eng_key,0)),"Yes","NO")</f>
        <v>Yes</v>
      </c>
      <c r="D6" s="15" t="n">
        <f aca="false">INDEX(eng_U,MATCH(sel_scen*1000+1*10+sel_dest,eng_key,0))</f>
        <v>60000</v>
      </c>
      <c r="E6" s="10" t="n">
        <f aca="false">INDEX(eng_n,MATCH(sel_scen*1000+1*10+sel_dest,eng_key,0))</f>
        <v>1</v>
      </c>
      <c r="F6" s="65" t="n">
        <f aca="false">INDEX(eng_COGS,MATCH(sel_scen*1000+1*10+sel_dest,eng_key,0))</f>
        <v>17454.2331882641</v>
      </c>
      <c r="G6" s="65" t="n">
        <f aca="false">INDEX(eng_REV,MATCH(sel_scen*1000+1*10+sel_dest,eng_key,0))</f>
        <v>14361.3</v>
      </c>
      <c r="H6" s="65" t="n">
        <f aca="false">INDEX(eng_GP,MATCH(sel_scen*1000+1*10+sel_dest,eng_key,0))</f>
        <v>-3092.93318826409</v>
      </c>
      <c r="I6" s="26" t="n">
        <f aca="false">INDEX(eng_GM,MATCH(sel_scen*1000+1*10+sel_dest,eng_key,0))</f>
        <v>-0.215365822611051</v>
      </c>
      <c r="J6" s="65" t="n">
        <f aca="false">INDEX(eng_SELL_VAR,MATCH(sel_scen*1000+1*10+sel_dest,eng_key,0))+INDEX(eng_SELL_FIX,MATCH(sel_scen*1000+1*10+sel_dest,eng_key,0))+INDEX(eng_FIN,MATCH(sel_scen*1000+1*10+sel_dest,eng_key,0))</f>
        <v>4290.21709604094</v>
      </c>
      <c r="K6" s="70" t="n">
        <f aca="false">INDEX(eng_CONTRIB,MATCH(sel_scen*1000+1*10+sel_dest,eng_key,0))</f>
        <v>-7383.15028430503</v>
      </c>
      <c r="L6" s="69" t="n">
        <f aca="false">INDEX(eng_CM,MATCH(sel_scen*1000+1*10+sel_dest,eng_key,0))</f>
        <v>-0.514100414607663</v>
      </c>
      <c r="M6" s="65" t="n">
        <f aca="false">IF(INDEX(eng_n,MATCH(sel_scen*1000+1*10+sel_dest,eng_key,0))&gt;0,INDEX(eng_CONTRIB,MATCH(sel_scen*1000+1*10+sel_dest,eng_key,0))/INDEX(eng_n,MATCH(sel_scen*1000+1*10+sel_dest,eng_key,0)),"LCL")</f>
        <v>-7383.15028430503</v>
      </c>
      <c r="N6" s="65" t="n">
        <f aca="false">INDEX(eng_PEAK,MATCH(sel_scen*1000+1*10+sel_dest,eng_key,0))</f>
        <v>21183.2667421572</v>
      </c>
      <c r="O6" s="65" t="n">
        <f aca="false">INDEX(eng_CASH_TOTAL,MATCH(sel_scen*1000+1*10+sel_dest,eng_key,0))</f>
        <v>21183.2667421572</v>
      </c>
      <c r="P6" s="67" t="n">
        <f aca="false">INDEX(eng_f_be,MATCH(sel_scen*1000+1*10+sel_dest,eng_key,0))-1</f>
        <v>0.545754155634462</v>
      </c>
      <c r="Q6" s="15" t="n">
        <f aca="false">INDEX(eng_u_be_0,MATCH(sel_scen*1000+1*10+sel_dest,eng_key,0))</f>
        <v>101800.310866376</v>
      </c>
      <c r="R6" s="65" t="n">
        <f aca="false">INDEX(eng_sale_3464,MATCH(sel_scen*1000+1*10+sel_dest,eng_key,0))*INDEX(eng_price_3464,MATCH(sel_scen*1000+1*10+sel_dest,eng_key,0))-INDEX(eng_cost_3464,MATCH(sel_scen*1000+1*10+sel_dest,eng_key,0))-IF(INDEX(eng_REV,MATCH(sel_scen*1000+1*10+sel_dest,eng_key,0))&gt;0,(INDEX(eng_sale_3464,MATCH(sel_scen*1000+1*10+sel_dest,eng_key,0))*INDEX(eng_price_3464,MATCH(sel_scen*1000+1*10+sel_dest,eng_key,0)))/INDEX(eng_REV,MATCH(sel_scen*1000+1*10+sel_dest,eng_key,0)),0)*(INDEX(eng_SELL_VAR,MATCH(sel_scen*1000+1*10+sel_dest,eng_key,0))+INDEX(eng_SELL_FIX,MATCH(sel_scen*1000+1*10+sel_dest,eng_key,0))+INDEX(eng_FIN,MATCH(sel_scen*1000+1*10+sel_dest,eng_key,0)))</f>
        <v>-2847.80641594998</v>
      </c>
      <c r="S6" s="65" t="n">
        <f aca="false">INDEX(eng_sale_3463,MATCH(sel_scen*1000+1*10+sel_dest,eng_key,0))*INDEX(eng_price_3463,MATCH(sel_scen*1000+1*10+sel_dest,eng_key,0))-INDEX(eng_cost_3463,MATCH(sel_scen*1000+1*10+sel_dest,eng_key,0))-IF(INDEX(eng_REV,MATCH(sel_scen*1000+1*10+sel_dest,eng_key,0))&gt;0,(INDEX(eng_sale_3463,MATCH(sel_scen*1000+1*10+sel_dest,eng_key,0))*INDEX(eng_price_3463,MATCH(sel_scen*1000+1*10+sel_dest,eng_key,0)))/INDEX(eng_REV,MATCH(sel_scen*1000+1*10+sel_dest,eng_key,0)),0)*(INDEX(eng_SELL_VAR,MATCH(sel_scen*1000+1*10+sel_dest,eng_key,0))+INDEX(eng_SELL_FIX,MATCH(sel_scen*1000+1*10+sel_dest,eng_key,0))+INDEX(eng_FIN,MATCH(sel_scen*1000+1*10+sel_dest,eng_key,0)))</f>
        <v>-2602.74770333442</v>
      </c>
      <c r="T6" s="65" t="n">
        <f aca="false">INDEX(eng_sale_3460,MATCH(sel_scen*1000+1*10+sel_dest,eng_key,0))*INDEX(eng_price_3460,MATCH(sel_scen*1000+1*10+sel_dest,eng_key,0))-INDEX(eng_cost_3460,MATCH(sel_scen*1000+1*10+sel_dest,eng_key,0))-IF(INDEX(eng_REV,MATCH(sel_scen*1000+1*10+sel_dest,eng_key,0))&gt;0,(INDEX(eng_sale_3460,MATCH(sel_scen*1000+1*10+sel_dest,eng_key,0))*INDEX(eng_price_3460,MATCH(sel_scen*1000+1*10+sel_dest,eng_key,0)))/INDEX(eng_REV,MATCH(sel_scen*1000+1*10+sel_dest,eng_key,0)),0)*(INDEX(eng_SELL_VAR,MATCH(sel_scen*1000+1*10+sel_dest,eng_key,0))+INDEX(eng_SELL_FIX,MATCH(sel_scen*1000+1*10+sel_dest,eng_key,0))+INDEX(eng_FIN,MATCH(sel_scen*1000+1*10+sel_dest,eng_key,0)))</f>
        <v>-1932.59616502064</v>
      </c>
      <c r="U6" s="20" t="n">
        <f aca="false">INDEX(eng_avg_cpb,MATCH(sel_scen*1000+1*10+sel_dest,eng_key,0))</f>
        <v>0.295333894894486</v>
      </c>
      <c r="V6" s="20" t="n">
        <f aca="false">INDEX(eng_avg_price,MATCH(sel_scen*1000+1*10+sel_dest,eng_key,0))</f>
        <v>0.243</v>
      </c>
    </row>
    <row r="7" customFormat="false" ht="15" hidden="false" customHeight="false" outlineLevel="0" collapsed="false">
      <c r="A7" s="9" t="n">
        <v>2</v>
      </c>
      <c r="B7" s="9" t="s">
        <v>745</v>
      </c>
      <c r="C7" s="8" t="str">
        <f aca="false">IF(INDEX(eng_fits,MATCH(sel_scen*1000+2*10+sel_dest,eng_key,0)),"Yes","NO")</f>
        <v>Yes</v>
      </c>
      <c r="D7" s="15" t="n">
        <f aca="false">INDEX(eng_U,MATCH(sel_scen*1000+2*10+sel_dest,eng_key,0))</f>
        <v>60000</v>
      </c>
      <c r="E7" s="10" t="n">
        <f aca="false">INDEX(eng_n,MATCH(sel_scen*1000+2*10+sel_dest,eng_key,0))</f>
        <v>1</v>
      </c>
      <c r="F7" s="65" t="n">
        <f aca="false">INDEX(eng_COGS,MATCH(sel_scen*1000+2*10+sel_dest,eng_key,0))</f>
        <v>17354.2331882641</v>
      </c>
      <c r="G7" s="65" t="n">
        <f aca="false">INDEX(eng_REV,MATCH(sel_scen*1000+2*10+sel_dest,eng_key,0))</f>
        <v>14361.3</v>
      </c>
      <c r="H7" s="65" t="n">
        <f aca="false">INDEX(eng_GP,MATCH(sel_scen*1000+2*10+sel_dest,eng_key,0))</f>
        <v>-2992.93318826409</v>
      </c>
      <c r="I7" s="26" t="n">
        <f aca="false">INDEX(eng_GM,MATCH(sel_scen*1000+2*10+sel_dest,eng_key,0))</f>
        <v>-0.208402664679666</v>
      </c>
      <c r="J7" s="65" t="n">
        <f aca="false">INDEX(eng_SELL_VAR,MATCH(sel_scen*1000+2*10+sel_dest,eng_key,0))+INDEX(eng_SELL_FIX,MATCH(sel_scen*1000+2*10+sel_dest,eng_key,0))+INDEX(eng_FIN,MATCH(sel_scen*1000+2*10+sel_dest,eng_key,0))</f>
        <v>4288.10750699984</v>
      </c>
      <c r="K7" s="70" t="n">
        <f aca="false">INDEX(eng_CONTRIB,MATCH(sel_scen*1000+2*10+sel_dest,eng_key,0))</f>
        <v>-7281.04069526394</v>
      </c>
      <c r="L7" s="69" t="n">
        <f aca="false">INDEX(eng_CM,MATCH(sel_scen*1000+2*10+sel_dest,eng_key,0))</f>
        <v>-0.506990362659643</v>
      </c>
      <c r="M7" s="65" t="n">
        <f aca="false">IF(INDEX(eng_n,MATCH(sel_scen*1000+2*10+sel_dest,eng_key,0))&gt;0,INDEX(eng_CONTRIB,MATCH(sel_scen*1000+2*10+sel_dest,eng_key,0))/INDEX(eng_n,MATCH(sel_scen*1000+2*10+sel_dest,eng_key,0)),"LCL")</f>
        <v>-7281.04069526394</v>
      </c>
      <c r="N7" s="65" t="n">
        <f aca="false">INDEX(eng_PEAK,MATCH(sel_scen*1000+2*10+sel_dest,eng_key,0))</f>
        <v>21083.2667421572</v>
      </c>
      <c r="O7" s="65" t="n">
        <f aca="false">INDEX(eng_CASH_TOTAL,MATCH(sel_scen*1000+2*10+sel_dest,eng_key,0))</f>
        <v>21083.2667421572</v>
      </c>
      <c r="P7" s="67" t="n">
        <f aca="false">INDEX(eng_f_be,MATCH(sel_scen*1000+2*10+sel_dest,eng_key,0))-1</f>
        <v>0.538206329787307</v>
      </c>
      <c r="Q7" s="15" t="n">
        <f aca="false">INDEX(eng_u_be_0,MATCH(sel_scen*1000+2*10+sel_dest,eng_key,0))</f>
        <v>100448.832889904</v>
      </c>
      <c r="R7" s="65" t="n">
        <f aca="false">INDEX(eng_sale_3464,MATCH(sel_scen*1000+2*10+sel_dest,eng_key,0))*INDEX(eng_price_3464,MATCH(sel_scen*1000+2*10+sel_dest,eng_key,0))-INDEX(eng_cost_3464,MATCH(sel_scen*1000+2*10+sel_dest,eng_key,0))-IF(INDEX(eng_REV,MATCH(sel_scen*1000+2*10+sel_dest,eng_key,0))&gt;0,(INDEX(eng_sale_3464,MATCH(sel_scen*1000+2*10+sel_dest,eng_key,0))*INDEX(eng_price_3464,MATCH(sel_scen*1000+2*10+sel_dest,eng_key,0)))/INDEX(eng_REV,MATCH(sel_scen*1000+2*10+sel_dest,eng_key,0)),0)*(INDEX(eng_SELL_VAR,MATCH(sel_scen*1000+2*10+sel_dest,eng_key,0))+INDEX(eng_SELL_FIX,MATCH(sel_scen*1000+2*10+sel_dest,eng_key,0))+INDEX(eng_FIN,MATCH(sel_scen*1000+2*10+sel_dest,eng_key,0)))</f>
        <v>-2814.04397228946</v>
      </c>
      <c r="S7" s="65" t="n">
        <f aca="false">INDEX(eng_sale_3463,MATCH(sel_scen*1000+2*10+sel_dest,eng_key,0))*INDEX(eng_price_3463,MATCH(sel_scen*1000+2*10+sel_dest,eng_key,0))-INDEX(eng_cost_3463,MATCH(sel_scen*1000+2*10+sel_dest,eng_key,0))-IF(INDEX(eng_REV,MATCH(sel_scen*1000+2*10+sel_dest,eng_key,0))&gt;0,(INDEX(eng_sale_3463,MATCH(sel_scen*1000+2*10+sel_dest,eng_key,0))*INDEX(eng_price_3463,MATCH(sel_scen*1000+2*10+sel_dest,eng_key,0)))/INDEX(eng_REV,MATCH(sel_scen*1000+2*10+sel_dest,eng_key,0)),0)*(INDEX(eng_SELL_VAR,MATCH(sel_scen*1000+2*10+sel_dest,eng_key,0))+INDEX(eng_SELL_FIX,MATCH(sel_scen*1000+2*10+sel_dest,eng_key,0))+INDEX(eng_FIN,MATCH(sel_scen*1000+2*10+sel_dest,eng_key,0)))</f>
        <v>-2561.49191987572</v>
      </c>
      <c r="T7" s="65" t="n">
        <f aca="false">INDEX(eng_sale_3460,MATCH(sel_scen*1000+2*10+sel_dest,eng_key,0))*INDEX(eng_price_3460,MATCH(sel_scen*1000+2*10+sel_dest,eng_key,0))-INDEX(eng_cost_3460,MATCH(sel_scen*1000+2*10+sel_dest,eng_key,0))-IF(INDEX(eng_REV,MATCH(sel_scen*1000+2*10+sel_dest,eng_key,0))&gt;0,(INDEX(eng_sale_3460,MATCH(sel_scen*1000+2*10+sel_dest,eng_key,0))*INDEX(eng_price_3460,MATCH(sel_scen*1000+2*10+sel_dest,eng_key,0)))/INDEX(eng_REV,MATCH(sel_scen*1000+2*10+sel_dest,eng_key,0)),0)*(INDEX(eng_SELL_VAR,MATCH(sel_scen*1000+2*10+sel_dest,eng_key,0))+INDEX(eng_SELL_FIX,MATCH(sel_scen*1000+2*10+sel_dest,eng_key,0))+INDEX(eng_FIN,MATCH(sel_scen*1000+2*10+sel_dest,eng_key,0)))</f>
        <v>-1905.50480309876</v>
      </c>
      <c r="U7" s="20" t="n">
        <f aca="false">INDEX(eng_avg_cpb,MATCH(sel_scen*1000+2*10+sel_dest,eng_key,0))</f>
        <v>0.293641847517159</v>
      </c>
      <c r="V7" s="20" t="n">
        <f aca="false">INDEX(eng_avg_price,MATCH(sel_scen*1000+2*10+sel_dest,eng_key,0))</f>
        <v>0.243</v>
      </c>
    </row>
    <row r="8" customFormat="false" ht="15" hidden="false" customHeight="false" outlineLevel="0" collapsed="false">
      <c r="A8" s="9" t="n">
        <v>3</v>
      </c>
      <c r="B8" s="9" t="s">
        <v>746</v>
      </c>
      <c r="C8" s="8" t="str">
        <f aca="false">IF(INDEX(eng_fits,MATCH(sel_scen*1000+3*10+sel_dest,eng_key,0)),"Yes","NO")</f>
        <v>Yes</v>
      </c>
      <c r="D8" s="15" t="n">
        <f aca="false">INDEX(eng_U,MATCH(sel_scen*1000+3*10+sel_dest,eng_key,0))</f>
        <v>60000</v>
      </c>
      <c r="E8" s="10" t="n">
        <f aca="false">INDEX(eng_n,MATCH(sel_scen*1000+3*10+sel_dest,eng_key,0))</f>
        <v>2</v>
      </c>
      <c r="F8" s="65" t="n">
        <f aca="false">INDEX(eng_COGS,MATCH(sel_scen*1000+3*10+sel_dest,eng_key,0))</f>
        <v>20946.872250847</v>
      </c>
      <c r="G8" s="65" t="n">
        <f aca="false">INDEX(eng_REV,MATCH(sel_scen*1000+3*10+sel_dest,eng_key,0))</f>
        <v>14361.3</v>
      </c>
      <c r="H8" s="65" t="n">
        <f aca="false">INDEX(eng_GP,MATCH(sel_scen*1000+3*10+sel_dest,eng_key,0))</f>
        <v>-6585.57225084699</v>
      </c>
      <c r="I8" s="26" t="n">
        <f aca="false">INDEX(eng_GM,MATCH(sel_scen*1000+3*10+sel_dest,eng_key,0))</f>
        <v>-0.458563796511945</v>
      </c>
      <c r="J8" s="65" t="n">
        <f aca="false">INDEX(eng_SELL_VAR,MATCH(sel_scen*1000+3*10+sel_dest,eng_key,0))+INDEX(eng_SELL_FIX,MATCH(sel_scen*1000+3*10+sel_dest,eng_key,0))+INDEX(eng_FIN,MATCH(sel_scen*1000+3*10+sel_dest,eng_key,0))</f>
        <v>4353.28920777214</v>
      </c>
      <c r="K8" s="70" t="n">
        <f aca="false">INDEX(eng_CONTRIB,MATCH(sel_scen*1000+3*10+sel_dest,eng_key,0))</f>
        <v>-10938.8614586191</v>
      </c>
      <c r="L8" s="69" t="n">
        <f aca="false">INDEX(eng_CM,MATCH(sel_scen*1000+3*10+sel_dest,eng_key,0))</f>
        <v>-0.76169019925906</v>
      </c>
      <c r="M8" s="65" t="n">
        <f aca="false">IF(INDEX(eng_n,MATCH(sel_scen*1000+3*10+sel_dest,eng_key,0))&gt;0,INDEX(eng_CONTRIB,MATCH(sel_scen*1000+3*10+sel_dest,eng_key,0))/INDEX(eng_n,MATCH(sel_scen*1000+3*10+sel_dest,eng_key,0)),"LCL")</f>
        <v>-5469.43072930957</v>
      </c>
      <c r="N8" s="65" t="n">
        <f aca="false">INDEX(eng_PEAK,MATCH(sel_scen*1000+3*10+sel_dest,eng_key,0))</f>
        <v>24675.9058047401</v>
      </c>
      <c r="O8" s="65" t="n">
        <f aca="false">INDEX(eng_CASH_TOTAL,MATCH(sel_scen*1000+3*10+sel_dest,eng_key,0))</f>
        <v>24675.9058047401</v>
      </c>
      <c r="P8" s="67" t="n">
        <f aca="false">INDEX(eng_f_be,MATCH(sel_scen*1000+3*10+sel_dest,eng_key,0))-1</f>
        <v>0.808588321931061</v>
      </c>
      <c r="Q8" s="15" t="n">
        <f aca="false">INDEX(eng_u_be_0,MATCH(sel_scen*1000+3*10+sel_dest,eng_key,0))</f>
        <v>149002.558594835</v>
      </c>
      <c r="R8" s="65" t="n">
        <f aca="false">INDEX(eng_sale_3464,MATCH(sel_scen*1000+3*10+sel_dest,eng_key,0))*INDEX(eng_price_3464,MATCH(sel_scen*1000+3*10+sel_dest,eng_key,0))-INDEX(eng_cost_3464,MATCH(sel_scen*1000+3*10+sel_dest,eng_key,0))-IF(INDEX(eng_REV,MATCH(sel_scen*1000+3*10+sel_dest,eng_key,0))&gt;0,(INDEX(eng_sale_3464,MATCH(sel_scen*1000+3*10+sel_dest,eng_key,0))*INDEX(eng_price_3464,MATCH(sel_scen*1000+3*10+sel_dest,eng_key,0)))/INDEX(eng_REV,MATCH(sel_scen*1000+3*10+sel_dest,eng_key,0)),0)*(INDEX(eng_SELL_VAR,MATCH(sel_scen*1000+3*10+sel_dest,eng_key,0))+INDEX(eng_SELL_FIX,MATCH(sel_scen*1000+3*10+sel_dest,eng_key,0))+INDEX(eng_FIN,MATCH(sel_scen*1000+3*10+sel_dest,eng_key,0)))</f>
        <v>-4023.60160432942</v>
      </c>
      <c r="S8" s="65" t="n">
        <f aca="false">INDEX(eng_sale_3463,MATCH(sel_scen*1000+3*10+sel_dest,eng_key,0))*INDEX(eng_price_3463,MATCH(sel_scen*1000+3*10+sel_dest,eng_key,0))-INDEX(eng_cost_3463,MATCH(sel_scen*1000+3*10+sel_dest,eng_key,0))-IF(INDEX(eng_REV,MATCH(sel_scen*1000+3*10+sel_dest,eng_key,0))&gt;0,(INDEX(eng_sale_3463,MATCH(sel_scen*1000+3*10+sel_dest,eng_key,0))*INDEX(eng_price_3463,MATCH(sel_scen*1000+3*10+sel_dest,eng_key,0)))/INDEX(eng_REV,MATCH(sel_scen*1000+3*10+sel_dest,eng_key,0)),0)*(INDEX(eng_SELL_VAR,MATCH(sel_scen*1000+3*10+sel_dest,eng_key,0))+INDEX(eng_SELL_FIX,MATCH(sel_scen*1000+3*10+sel_dest,eng_key,0))+INDEX(eng_FIN,MATCH(sel_scen*1000+3*10+sel_dest,eng_key,0)))</f>
        <v>-4039.73434192148</v>
      </c>
      <c r="T8" s="65" t="n">
        <f aca="false">INDEX(eng_sale_3460,MATCH(sel_scen*1000+3*10+sel_dest,eng_key,0))*INDEX(eng_price_3460,MATCH(sel_scen*1000+3*10+sel_dest,eng_key,0))-INDEX(eng_cost_3460,MATCH(sel_scen*1000+3*10+sel_dest,eng_key,0))-IF(INDEX(eng_REV,MATCH(sel_scen*1000+3*10+sel_dest,eng_key,0))&gt;0,(INDEX(eng_sale_3460,MATCH(sel_scen*1000+3*10+sel_dest,eng_key,0))*INDEX(eng_price_3460,MATCH(sel_scen*1000+3*10+sel_dest,eng_key,0)))/INDEX(eng_REV,MATCH(sel_scen*1000+3*10+sel_dest,eng_key,0)),0)*(INDEX(eng_SELL_VAR,MATCH(sel_scen*1000+3*10+sel_dest,eng_key,0))+INDEX(eng_SELL_FIX,MATCH(sel_scen*1000+3*10+sel_dest,eng_key,0))+INDEX(eng_FIN,MATCH(sel_scen*1000+3*10+sel_dest,eng_key,0)))</f>
        <v>-2875.52551236824</v>
      </c>
      <c r="U8" s="20" t="n">
        <f aca="false">INDEX(eng_avg_cpb,MATCH(sel_scen*1000+3*10+sel_dest,eng_key,0))</f>
        <v>0.354431002552403</v>
      </c>
      <c r="V8" s="20" t="n">
        <f aca="false">INDEX(eng_avg_price,MATCH(sel_scen*1000+3*10+sel_dest,eng_key,0))</f>
        <v>0.243</v>
      </c>
    </row>
    <row r="9" customFormat="false" ht="15" hidden="false" customHeight="false" outlineLevel="0" collapsed="false">
      <c r="A9" s="9" t="n">
        <v>4</v>
      </c>
      <c r="B9" s="9" t="s">
        <v>747</v>
      </c>
      <c r="C9" s="8" t="str">
        <f aca="false">IF(INDEX(eng_fits,MATCH(sel_scen*1000+4*10+sel_dest,eng_key,0)),"Yes","NO")</f>
        <v>Yes</v>
      </c>
      <c r="D9" s="15" t="n">
        <f aca="false">INDEX(eng_U,MATCH(sel_scen*1000+4*10+sel_dest,eng_key,0))</f>
        <v>77400</v>
      </c>
      <c r="E9" s="10" t="n">
        <f aca="false">INDEX(eng_n,MATCH(sel_scen*1000+4*10+sel_dest,eng_key,0))</f>
        <v>1</v>
      </c>
      <c r="F9" s="65" t="n">
        <f aca="false">INDEX(eng_COGS,MATCH(sel_scen*1000+4*10+sel_dest,eng_key,0))</f>
        <v>20327.9130770479</v>
      </c>
      <c r="G9" s="65" t="n">
        <f aca="false">INDEX(eng_REV,MATCH(sel_scen*1000+4*10+sel_dest,eng_key,0))</f>
        <v>18526.077</v>
      </c>
      <c r="H9" s="65" t="n">
        <f aca="false">INDEX(eng_GP,MATCH(sel_scen*1000+4*10+sel_dest,eng_key,0))</f>
        <v>-1801.83607704791</v>
      </c>
      <c r="I9" s="26" t="n">
        <f aca="false">INDEX(eng_GM,MATCH(sel_scen*1000+4*10+sel_dest,eng_key,0))</f>
        <v>-0.0972594509376113</v>
      </c>
      <c r="J9" s="65" t="n">
        <f aca="false">INDEX(eng_SELL_VAR,MATCH(sel_scen*1000+4*10+sel_dest,eng_key,0))+INDEX(eng_SELL_FIX,MATCH(sel_scen*1000+4*10+sel_dest,eng_key,0))+INDEX(eng_FIN,MATCH(sel_scen*1000+4*10+sel_dest,eng_key,0))</f>
        <v>4603.91051331292</v>
      </c>
      <c r="K9" s="70" t="n">
        <f aca="false">INDEX(eng_CONTRIB,MATCH(sel_scen*1000+4*10+sel_dest,eng_key,0))</f>
        <v>-6405.74659036083</v>
      </c>
      <c r="L9" s="69" t="n">
        <f aca="false">INDEX(eng_CM,MATCH(sel_scen*1000+4*10+sel_dest,eng_key,0))</f>
        <v>-0.345769187419486</v>
      </c>
      <c r="M9" s="65" t="n">
        <f aca="false">IF(INDEX(eng_n,MATCH(sel_scen*1000+4*10+sel_dest,eng_key,0))&gt;0,INDEX(eng_CONTRIB,MATCH(sel_scen*1000+4*10+sel_dest,eng_key,0))/INDEX(eng_n,MATCH(sel_scen*1000+4*10+sel_dest,eng_key,0)),"LCL")</f>
        <v>-6405.74659036083</v>
      </c>
      <c r="N9" s="65" t="n">
        <f aca="false">INDEX(eng_PEAK,MATCH(sel_scen*1000+4*10+sel_dest,eng_key,0))</f>
        <v>24413.3663615701</v>
      </c>
      <c r="O9" s="65" t="n">
        <f aca="false">INDEX(eng_CASH_TOTAL,MATCH(sel_scen*1000+4*10+sel_dest,eng_key,0))</f>
        <v>24413.3663615701</v>
      </c>
      <c r="P9" s="67" t="n">
        <f aca="false">INDEX(eng_f_be,MATCH(sel_scen*1000+4*10+sel_dest,eng_key,0))-1</f>
        <v>0.367058585371004</v>
      </c>
      <c r="Q9" s="15" t="n">
        <f aca="false">INDEX(eng_u_be_0,MATCH(sel_scen*1000+4*10+sel_dest,eng_key,0))</f>
        <v>101728.565399837</v>
      </c>
      <c r="R9" s="65" t="n">
        <f aca="false">INDEX(eng_sale_3464,MATCH(sel_scen*1000+4*10+sel_dest,eng_key,0))*INDEX(eng_price_3464,MATCH(sel_scen*1000+4*10+sel_dest,eng_key,0))-INDEX(eng_cost_3464,MATCH(sel_scen*1000+4*10+sel_dest,eng_key,0))-IF(INDEX(eng_REV,MATCH(sel_scen*1000+4*10+sel_dest,eng_key,0))&gt;0,(INDEX(eng_sale_3464,MATCH(sel_scen*1000+4*10+sel_dest,eng_key,0))*INDEX(eng_price_3464,MATCH(sel_scen*1000+4*10+sel_dest,eng_key,0)))/INDEX(eng_REV,MATCH(sel_scen*1000+4*10+sel_dest,eng_key,0)),0)*(INDEX(eng_SELL_VAR,MATCH(sel_scen*1000+4*10+sel_dest,eng_key,0))+INDEX(eng_SELL_FIX,MATCH(sel_scen*1000+4*10+sel_dest,eng_key,0))+INDEX(eng_FIN,MATCH(sel_scen*1000+4*10+sel_dest,eng_key,0)))</f>
        <v>-2649.3077097652</v>
      </c>
      <c r="S9" s="65" t="n">
        <f aca="false">INDEX(eng_sale_3463,MATCH(sel_scen*1000+4*10+sel_dest,eng_key,0))*INDEX(eng_price_3463,MATCH(sel_scen*1000+4*10+sel_dest,eng_key,0))-INDEX(eng_cost_3463,MATCH(sel_scen*1000+4*10+sel_dest,eng_key,0))-IF(INDEX(eng_REV,MATCH(sel_scen*1000+4*10+sel_dest,eng_key,0))&gt;0,(INDEX(eng_sale_3463,MATCH(sel_scen*1000+4*10+sel_dest,eng_key,0))*INDEX(eng_price_3463,MATCH(sel_scen*1000+4*10+sel_dest,eng_key,0)))/INDEX(eng_REV,MATCH(sel_scen*1000+4*10+sel_dest,eng_key,0)),0)*(INDEX(eng_SELL_VAR,MATCH(sel_scen*1000+4*10+sel_dest,eng_key,0))+INDEX(eng_SELL_FIX,MATCH(sel_scen*1000+4*10+sel_dest,eng_key,0))+INDEX(eng_FIN,MATCH(sel_scen*1000+4*10+sel_dest,eng_key,0)))</f>
        <v>-2156.42290818518</v>
      </c>
      <c r="T9" s="65" t="n">
        <f aca="false">INDEX(eng_sale_3460,MATCH(sel_scen*1000+4*10+sel_dest,eng_key,0))*INDEX(eng_price_3460,MATCH(sel_scen*1000+4*10+sel_dest,eng_key,0))-INDEX(eng_cost_3460,MATCH(sel_scen*1000+4*10+sel_dest,eng_key,0))-IF(INDEX(eng_REV,MATCH(sel_scen*1000+4*10+sel_dest,eng_key,0))&gt;0,(INDEX(eng_sale_3460,MATCH(sel_scen*1000+4*10+sel_dest,eng_key,0))*INDEX(eng_price_3460,MATCH(sel_scen*1000+4*10+sel_dest,eng_key,0)))/INDEX(eng_REV,MATCH(sel_scen*1000+4*10+sel_dest,eng_key,0)),0)*(INDEX(eng_SELL_VAR,MATCH(sel_scen*1000+4*10+sel_dest,eng_key,0))+INDEX(eng_SELL_FIX,MATCH(sel_scen*1000+4*10+sel_dest,eng_key,0))+INDEX(eng_FIN,MATCH(sel_scen*1000+4*10+sel_dest,eng_key,0)))</f>
        <v>-1600.01597241045</v>
      </c>
      <c r="U9" s="20" t="n">
        <f aca="false">INDEX(eng_avg_cpb,MATCH(sel_scen*1000+4*10+sel_dest,eng_key,0))</f>
        <v>0.26663404657784</v>
      </c>
      <c r="V9" s="20" t="n">
        <f aca="false">INDEX(eng_avg_price,MATCH(sel_scen*1000+4*10+sel_dest,eng_key,0))</f>
        <v>0.243</v>
      </c>
    </row>
    <row r="10" customFormat="false" ht="15" hidden="false" customHeight="false" outlineLevel="0" collapsed="false">
      <c r="A10" s="9" t="n">
        <v>5</v>
      </c>
      <c r="B10" s="9" t="s">
        <v>749</v>
      </c>
      <c r="C10" s="8" t="str">
        <f aca="false">IF(INDEX(eng_fits,MATCH(sel_scen*1000+5*10+sel_dest,eng_key,0)),"Yes","NO")</f>
        <v>Yes</v>
      </c>
      <c r="D10" s="15" t="n">
        <f aca="false">INDEX(eng_U,MATCH(sel_scen*1000+5*10+sel_dest,eng_key,0))</f>
        <v>76000</v>
      </c>
      <c r="E10" s="10" t="n">
        <f aca="false">INDEX(eng_n,MATCH(sel_scen*1000+5*10+sel_dest,eng_key,0))</f>
        <v>1</v>
      </c>
      <c r="F10" s="65" t="n">
        <f aca="false">INDEX(eng_COGS,MATCH(sel_scen*1000+5*10+sel_dest,eng_key,0))</f>
        <v>21148.0210765396</v>
      </c>
      <c r="G10" s="65" t="n">
        <f aca="false">INDEX(eng_REV,MATCH(sel_scen*1000+5*10+sel_dest,eng_key,0))</f>
        <v>17517.24</v>
      </c>
      <c r="H10" s="65" t="n">
        <f aca="false">INDEX(eng_GP,MATCH(sel_scen*1000+5*10+sel_dest,eng_key,0))</f>
        <v>-3630.78107653956</v>
      </c>
      <c r="I10" s="26" t="n">
        <f aca="false">INDEX(eng_GM,MATCH(sel_scen*1000+5*10+sel_dest,eng_key,0))</f>
        <v>-0.207269014784267</v>
      </c>
      <c r="J10" s="65" t="n">
        <f aca="false">INDEX(eng_SELL_VAR,MATCH(sel_scen*1000+5*10+sel_dest,eng_key,0))+INDEX(eng_SELL_FIX,MATCH(sel_scen*1000+5*10+sel_dest,eng_key,0))+INDEX(eng_FIN,MATCH(sel_scen*1000+5*10+sel_dest,eng_key,0))</f>
        <v>4565.91652627243</v>
      </c>
      <c r="K10" s="70" t="n">
        <f aca="false">INDEX(eng_CONTRIB,MATCH(sel_scen*1000+5*10+sel_dest,eng_key,0))</f>
        <v>-8196.69760281199</v>
      </c>
      <c r="L10" s="69" t="n">
        <f aca="false">INDEX(eng_CM,MATCH(sel_scen*1000+5*10+sel_dest,eng_key,0))</f>
        <v>-0.467921750390586</v>
      </c>
      <c r="M10" s="65" t="n">
        <f aca="false">IF(INDEX(eng_n,MATCH(sel_scen*1000+5*10+sel_dest,eng_key,0))&gt;0,INDEX(eng_CONTRIB,MATCH(sel_scen*1000+5*10+sel_dest,eng_key,0))/INDEX(eng_n,MATCH(sel_scen*1000+5*10+sel_dest,eng_key,0)),"LCL")</f>
        <v>-8196.69760281199</v>
      </c>
      <c r="N10" s="65" t="n">
        <f aca="false">INDEX(eng_PEAK,MATCH(sel_scen*1000+5*10+sel_dest,eng_key,0))</f>
        <v>25334.5002294686</v>
      </c>
      <c r="O10" s="65" t="n">
        <f aca="false">INDEX(eng_CASH_TOTAL,MATCH(sel_scen*1000+5*10+sel_dest,eng_key,0))</f>
        <v>25334.5002294686</v>
      </c>
      <c r="P10" s="67" t="n">
        <f aca="false">INDEX(eng_f_be,MATCH(sel_scen*1000+5*10+sel_dest,eng_key,0))-1</f>
        <v>0.496732219098287</v>
      </c>
      <c r="Q10" s="15" t="n">
        <f aca="false">INDEX(eng_u_be_0,MATCH(sel_scen*1000+5*10+sel_dest,eng_key,0))</f>
        <v>146601.81229993</v>
      </c>
      <c r="R10" s="65" t="n">
        <f aca="false">INDEX(eng_sale_3464,MATCH(sel_scen*1000+5*10+sel_dest,eng_key,0))*INDEX(eng_price_3464,MATCH(sel_scen*1000+5*10+sel_dest,eng_key,0))-INDEX(eng_cost_3464,MATCH(sel_scen*1000+5*10+sel_dest,eng_key,0))-IF(INDEX(eng_REV,MATCH(sel_scen*1000+5*10+sel_dest,eng_key,0))&gt;0,(INDEX(eng_sale_3464,MATCH(sel_scen*1000+5*10+sel_dest,eng_key,0))*INDEX(eng_price_3464,MATCH(sel_scen*1000+5*10+sel_dest,eng_key,0)))/INDEX(eng_REV,MATCH(sel_scen*1000+5*10+sel_dest,eng_key,0)),0)*(INDEX(eng_SELL_VAR,MATCH(sel_scen*1000+5*10+sel_dest,eng_key,0))+INDEX(eng_SELL_FIX,MATCH(sel_scen*1000+5*10+sel_dest,eng_key,0))+INDEX(eng_FIN,MATCH(sel_scen*1000+5*10+sel_dest,eng_key,0)))</f>
        <v>-8196.69760281199</v>
      </c>
      <c r="S10" s="65" t="n">
        <f aca="false">INDEX(eng_sale_3463,MATCH(sel_scen*1000+5*10+sel_dest,eng_key,0))*INDEX(eng_price_3463,MATCH(sel_scen*1000+5*10+sel_dest,eng_key,0))-INDEX(eng_cost_3463,MATCH(sel_scen*1000+5*10+sel_dest,eng_key,0))-IF(INDEX(eng_REV,MATCH(sel_scen*1000+5*10+sel_dest,eng_key,0))&gt;0,(INDEX(eng_sale_3463,MATCH(sel_scen*1000+5*10+sel_dest,eng_key,0))*INDEX(eng_price_3463,MATCH(sel_scen*1000+5*10+sel_dest,eng_key,0)))/INDEX(eng_REV,MATCH(sel_scen*1000+5*10+sel_dest,eng_key,0)),0)*(INDEX(eng_SELL_VAR,MATCH(sel_scen*1000+5*10+sel_dest,eng_key,0))+INDEX(eng_SELL_FIX,MATCH(sel_scen*1000+5*10+sel_dest,eng_key,0))+INDEX(eng_FIN,MATCH(sel_scen*1000+5*10+sel_dest,eng_key,0)))</f>
        <v>0</v>
      </c>
      <c r="T10" s="65" t="n">
        <f aca="false">INDEX(eng_sale_3460,MATCH(sel_scen*1000+5*10+sel_dest,eng_key,0))*INDEX(eng_price_3460,MATCH(sel_scen*1000+5*10+sel_dest,eng_key,0))-INDEX(eng_cost_3460,MATCH(sel_scen*1000+5*10+sel_dest,eng_key,0))-IF(INDEX(eng_REV,MATCH(sel_scen*1000+5*10+sel_dest,eng_key,0))&gt;0,(INDEX(eng_sale_3460,MATCH(sel_scen*1000+5*10+sel_dest,eng_key,0))*INDEX(eng_price_3460,MATCH(sel_scen*1000+5*10+sel_dest,eng_key,0)))/INDEX(eng_REV,MATCH(sel_scen*1000+5*10+sel_dest,eng_key,0)),0)*(INDEX(eng_SELL_VAR,MATCH(sel_scen*1000+5*10+sel_dest,eng_key,0))+INDEX(eng_SELL_FIX,MATCH(sel_scen*1000+5*10+sel_dest,eng_key,0))+INDEX(eng_FIN,MATCH(sel_scen*1000+5*10+sel_dest,eng_key,0)))</f>
        <v>0</v>
      </c>
      <c r="U10" s="20" t="n">
        <f aca="false">INDEX(eng_avg_cpb,MATCH(sel_scen*1000+5*10+sel_dest,eng_key,0))</f>
        <v>0.282500949459519</v>
      </c>
      <c r="V10" s="20" t="n">
        <f aca="false">INDEX(eng_avg_price,MATCH(sel_scen*1000+5*10+sel_dest,eng_key,0))</f>
        <v>0.234</v>
      </c>
    </row>
    <row r="11" customFormat="false" ht="15" hidden="false" customHeight="false" outlineLevel="0" collapsed="false">
      <c r="A11" s="9" t="n">
        <v>6</v>
      </c>
      <c r="B11" s="9" t="s">
        <v>751</v>
      </c>
      <c r="C11" s="8" t="str">
        <f aca="false">IF(INDEX(eng_fits,MATCH(sel_scen*1000+6*10+sel_dest,eng_key,0)),"Yes","NO")</f>
        <v>Yes</v>
      </c>
      <c r="D11" s="15" t="n">
        <f aca="false">INDEX(eng_U,MATCH(sel_scen*1000+6*10+sel_dest,eng_key,0))</f>
        <v>66850</v>
      </c>
      <c r="E11" s="10" t="n">
        <f aca="false">INDEX(eng_n,MATCH(sel_scen*1000+6*10+sel_dest,eng_key,0))</f>
        <v>1</v>
      </c>
      <c r="F11" s="65" t="n">
        <f aca="false">INDEX(eng_COGS,MATCH(sel_scen*1000+6*10+sel_dest,eng_key,0))</f>
        <v>18837.5133054033</v>
      </c>
      <c r="G11" s="65" t="n">
        <f aca="false">INDEX(eng_REV,MATCH(sel_scen*1000+6*10+sel_dest,eng_key,0))</f>
        <v>17778.7575</v>
      </c>
      <c r="H11" s="65" t="n">
        <f aca="false">INDEX(eng_GP,MATCH(sel_scen*1000+6*10+sel_dest,eng_key,0))</f>
        <v>-1058.75580540334</v>
      </c>
      <c r="I11" s="26" t="n">
        <f aca="false">INDEX(eng_GM,MATCH(sel_scen*1000+6*10+sel_dest,eng_key,0))</f>
        <v>-0.0595517321951962</v>
      </c>
      <c r="J11" s="65" t="n">
        <f aca="false">INDEX(eng_SELL_VAR,MATCH(sel_scen*1000+6*10+sel_dest,eng_key,0))+INDEX(eng_SELL_FIX,MATCH(sel_scen*1000+6*10+sel_dest,eng_key,0))+INDEX(eng_FIN,MATCH(sel_scen*1000+6*10+sel_dest,eng_key,0))</f>
        <v>4523.1901042666</v>
      </c>
      <c r="K11" s="70" t="n">
        <f aca="false">INDEX(eng_CONTRIB,MATCH(sel_scen*1000+6*10+sel_dest,eng_key,0))</f>
        <v>-5581.94590966994</v>
      </c>
      <c r="L11" s="69" t="n">
        <f aca="false">INDEX(eng_CM,MATCH(sel_scen*1000+6*10+sel_dest,eng_key,0))</f>
        <v>-0.313967154885258</v>
      </c>
      <c r="M11" s="65" t="n">
        <f aca="false">IF(INDEX(eng_n,MATCH(sel_scen*1000+6*10+sel_dest,eng_key,0))&gt;0,INDEX(eng_CONTRIB,MATCH(sel_scen*1000+6*10+sel_dest,eng_key,0))/INDEX(eng_n,MATCH(sel_scen*1000+6*10+sel_dest,eng_key,0)),"LCL")</f>
        <v>-5581.94590966994</v>
      </c>
      <c r="N11" s="65" t="n">
        <f aca="false">INDEX(eng_PEAK,MATCH(sel_scen*1000+6*10+sel_dest,eng_key,0))</f>
        <v>22738.4868761227</v>
      </c>
      <c r="O11" s="65" t="n">
        <f aca="false">INDEX(eng_CASH_TOTAL,MATCH(sel_scen*1000+6*10+sel_dest,eng_key,0))</f>
        <v>22738.4868761227</v>
      </c>
      <c r="P11" s="67" t="n">
        <f aca="false">INDEX(eng_f_be,MATCH(sel_scen*1000+6*10+sel_dest,eng_key,0))-1</f>
        <v>0.333298465907917</v>
      </c>
      <c r="Q11" s="15" t="n">
        <f aca="false">INDEX(eng_u_be_0,MATCH(sel_scen*1000+6*10+sel_dest,eng_key,0))</f>
        <v>77783.0297196668</v>
      </c>
      <c r="R11" s="65" t="n">
        <f aca="false">INDEX(eng_sale_3464,MATCH(sel_scen*1000+6*10+sel_dest,eng_key,0))*INDEX(eng_price_3464,MATCH(sel_scen*1000+6*10+sel_dest,eng_key,0))-INDEX(eng_cost_3464,MATCH(sel_scen*1000+6*10+sel_dest,eng_key,0))-IF(INDEX(eng_REV,MATCH(sel_scen*1000+6*10+sel_dest,eng_key,0))&gt;0,(INDEX(eng_sale_3464,MATCH(sel_scen*1000+6*10+sel_dest,eng_key,0))*INDEX(eng_price_3464,MATCH(sel_scen*1000+6*10+sel_dest,eng_key,0)))/INDEX(eng_REV,MATCH(sel_scen*1000+6*10+sel_dest,eng_key,0)),0)*(INDEX(eng_SELL_VAR,MATCH(sel_scen*1000+6*10+sel_dest,eng_key,0))+INDEX(eng_SELL_FIX,MATCH(sel_scen*1000+6*10+sel_dest,eng_key,0))+INDEX(eng_FIN,MATCH(sel_scen*1000+6*10+sel_dest,eng_key,0)))</f>
        <v>0</v>
      </c>
      <c r="S11" s="65" t="n">
        <f aca="false">INDEX(eng_sale_3463,MATCH(sel_scen*1000+6*10+sel_dest,eng_key,0))*INDEX(eng_price_3463,MATCH(sel_scen*1000+6*10+sel_dest,eng_key,0))-INDEX(eng_cost_3463,MATCH(sel_scen*1000+6*10+sel_dest,eng_key,0))-IF(INDEX(eng_REV,MATCH(sel_scen*1000+6*10+sel_dest,eng_key,0))&gt;0,(INDEX(eng_sale_3463,MATCH(sel_scen*1000+6*10+sel_dest,eng_key,0))*INDEX(eng_price_3463,MATCH(sel_scen*1000+6*10+sel_dest,eng_key,0)))/INDEX(eng_REV,MATCH(sel_scen*1000+6*10+sel_dest,eng_key,0)),0)*(INDEX(eng_SELL_VAR,MATCH(sel_scen*1000+6*10+sel_dest,eng_key,0))+INDEX(eng_SELL_FIX,MATCH(sel_scen*1000+6*10+sel_dest,eng_key,0))+INDEX(eng_FIN,MATCH(sel_scen*1000+6*10+sel_dest,eng_key,0)))</f>
        <v>-5581.94590966994</v>
      </c>
      <c r="T11" s="65" t="n">
        <f aca="false">INDEX(eng_sale_3460,MATCH(sel_scen*1000+6*10+sel_dest,eng_key,0))*INDEX(eng_price_3460,MATCH(sel_scen*1000+6*10+sel_dest,eng_key,0))-INDEX(eng_cost_3460,MATCH(sel_scen*1000+6*10+sel_dest,eng_key,0))-IF(INDEX(eng_REV,MATCH(sel_scen*1000+6*10+sel_dest,eng_key,0))&gt;0,(INDEX(eng_sale_3460,MATCH(sel_scen*1000+6*10+sel_dest,eng_key,0))*INDEX(eng_price_3460,MATCH(sel_scen*1000+6*10+sel_dest,eng_key,0)))/INDEX(eng_REV,MATCH(sel_scen*1000+6*10+sel_dest,eng_key,0)),0)*(INDEX(eng_SELL_VAR,MATCH(sel_scen*1000+6*10+sel_dest,eng_key,0))+INDEX(eng_SELL_FIX,MATCH(sel_scen*1000+6*10+sel_dest,eng_key,0))+INDEX(eng_FIN,MATCH(sel_scen*1000+6*10+sel_dest,eng_key,0)))</f>
        <v>0</v>
      </c>
      <c r="U11" s="20" t="n">
        <f aca="false">INDEX(eng_avg_cpb,MATCH(sel_scen*1000+6*10+sel_dest,eng_key,0))</f>
        <v>0.286078967692703</v>
      </c>
      <c r="V11" s="20" t="n">
        <f aca="false">INDEX(eng_avg_price,MATCH(sel_scen*1000+6*10+sel_dest,eng_key,0))</f>
        <v>0.27</v>
      </c>
    </row>
    <row r="12" customFormat="false" ht="15" hidden="false" customHeight="false" outlineLevel="0" collapsed="false">
      <c r="A12" s="9" t="n">
        <v>7</v>
      </c>
      <c r="B12" s="9" t="s">
        <v>752</v>
      </c>
      <c r="C12" s="8" t="str">
        <f aca="false">IF(INDEX(eng_fits,MATCH(sel_scen*1000+7*10+sel_dest,eng_key,0)),"Yes","NO")</f>
        <v>Yes</v>
      </c>
      <c r="D12" s="15" t="n">
        <f aca="false">INDEX(eng_U,MATCH(sel_scen*1000+7*10+sel_dest,eng_key,0))</f>
        <v>106400</v>
      </c>
      <c r="E12" s="10" t="n">
        <f aca="false">INDEX(eng_n,MATCH(sel_scen*1000+7*10+sel_dest,eng_key,0))</f>
        <v>1</v>
      </c>
      <c r="F12" s="65" t="n">
        <f aca="false">INDEX(eng_COGS,MATCH(sel_scen*1000+7*10+sel_dest,eng_key,0))</f>
        <v>23267.4714693649</v>
      </c>
      <c r="G12" s="65" t="n">
        <f aca="false">INDEX(eng_REV,MATCH(sel_scen*1000+7*10+sel_dest,eng_key,0))</f>
        <v>23580.9</v>
      </c>
      <c r="H12" s="65" t="n">
        <f aca="false">INDEX(eng_GP,MATCH(sel_scen*1000+7*10+sel_dest,eng_key,0))</f>
        <v>313.428530635079</v>
      </c>
      <c r="I12" s="26" t="n">
        <f aca="false">INDEX(eng_GM,MATCH(sel_scen*1000+7*10+sel_dest,eng_key,0))</f>
        <v>0.0132916271488823</v>
      </c>
      <c r="J12" s="65" t="n">
        <f aca="false">INDEX(eng_SELL_VAR,MATCH(sel_scen*1000+7*10+sel_dest,eng_key,0))+INDEX(eng_SELL_FIX,MATCH(sel_scen*1000+7*10+sel_dest,eng_key,0))+INDEX(eng_FIN,MATCH(sel_scen*1000+7*10+sel_dest,eng_key,0))</f>
        <v>4970.63605131077</v>
      </c>
      <c r="K12" s="70" t="n">
        <f aca="false">INDEX(eng_CONTRIB,MATCH(sel_scen*1000+7*10+sel_dest,eng_key,0))</f>
        <v>-4657.20752067569</v>
      </c>
      <c r="L12" s="69" t="n">
        <f aca="false">INDEX(eng_CM,MATCH(sel_scen*1000+7*10+sel_dest,eng_key,0))</f>
        <v>-0.197499142130949</v>
      </c>
      <c r="M12" s="65" t="n">
        <f aca="false">IF(INDEX(eng_n,MATCH(sel_scen*1000+7*10+sel_dest,eng_key,0))&gt;0,INDEX(eng_CONTRIB,MATCH(sel_scen*1000+7*10+sel_dest,eng_key,0))/INDEX(eng_n,MATCH(sel_scen*1000+7*10+sel_dest,eng_key,0)),"LCL")</f>
        <v>-4657.20752067569</v>
      </c>
      <c r="N12" s="65" t="n">
        <f aca="false">INDEX(eng_PEAK,MATCH(sel_scen*1000+7*10+sel_dest,eng_key,0))</f>
        <v>27715.0373530822</v>
      </c>
      <c r="O12" s="65" t="n">
        <f aca="false">INDEX(eng_CASH_TOTAL,MATCH(sel_scen*1000+7*10+sel_dest,eng_key,0))</f>
        <v>27715.0373530822</v>
      </c>
      <c r="P12" s="67" t="n">
        <f aca="false">INDEX(eng_f_be,MATCH(sel_scen*1000+7*10+sel_dest,eng_key,0))-1</f>
        <v>0.209659386550901</v>
      </c>
      <c r="Q12" s="15" t="n">
        <f aca="false">INDEX(eng_u_be_0,MATCH(sel_scen*1000+7*10+sel_dest,eng_key,0))</f>
        <v>102159.977188859</v>
      </c>
      <c r="R12" s="65" t="n">
        <f aca="false">INDEX(eng_sale_3464,MATCH(sel_scen*1000+7*10+sel_dest,eng_key,0))*INDEX(eng_price_3464,MATCH(sel_scen*1000+7*10+sel_dest,eng_key,0))-INDEX(eng_cost_3464,MATCH(sel_scen*1000+7*10+sel_dest,eng_key,0))-IF(INDEX(eng_REV,MATCH(sel_scen*1000+7*10+sel_dest,eng_key,0))&gt;0,(INDEX(eng_sale_3464,MATCH(sel_scen*1000+7*10+sel_dest,eng_key,0))*INDEX(eng_price_3464,MATCH(sel_scen*1000+7*10+sel_dest,eng_key,0)))/INDEX(eng_REV,MATCH(sel_scen*1000+7*10+sel_dest,eng_key,0)),0)*(INDEX(eng_SELL_VAR,MATCH(sel_scen*1000+7*10+sel_dest,eng_key,0))+INDEX(eng_SELL_FIX,MATCH(sel_scen*1000+7*10+sel_dest,eng_key,0))+INDEX(eng_FIN,MATCH(sel_scen*1000+7*10+sel_dest,eng_key,0)))</f>
        <v>0</v>
      </c>
      <c r="S12" s="65" t="n">
        <f aca="false">INDEX(eng_sale_3463,MATCH(sel_scen*1000+7*10+sel_dest,eng_key,0))*INDEX(eng_price_3463,MATCH(sel_scen*1000+7*10+sel_dest,eng_key,0))-INDEX(eng_cost_3463,MATCH(sel_scen*1000+7*10+sel_dest,eng_key,0))-IF(INDEX(eng_REV,MATCH(sel_scen*1000+7*10+sel_dest,eng_key,0))&gt;0,(INDEX(eng_sale_3463,MATCH(sel_scen*1000+7*10+sel_dest,eng_key,0))*INDEX(eng_price_3463,MATCH(sel_scen*1000+7*10+sel_dest,eng_key,0)))/INDEX(eng_REV,MATCH(sel_scen*1000+7*10+sel_dest,eng_key,0)),0)*(INDEX(eng_SELL_VAR,MATCH(sel_scen*1000+7*10+sel_dest,eng_key,0))+INDEX(eng_SELL_FIX,MATCH(sel_scen*1000+7*10+sel_dest,eng_key,0))+INDEX(eng_FIN,MATCH(sel_scen*1000+7*10+sel_dest,eng_key,0)))</f>
        <v>0</v>
      </c>
      <c r="T12" s="65" t="n">
        <f aca="false">INDEX(eng_sale_3460,MATCH(sel_scen*1000+7*10+sel_dest,eng_key,0))*INDEX(eng_price_3460,MATCH(sel_scen*1000+7*10+sel_dest,eng_key,0))-INDEX(eng_cost_3460,MATCH(sel_scen*1000+7*10+sel_dest,eng_key,0))-IF(INDEX(eng_REV,MATCH(sel_scen*1000+7*10+sel_dest,eng_key,0))&gt;0,(INDEX(eng_sale_3460,MATCH(sel_scen*1000+7*10+sel_dest,eng_key,0))*INDEX(eng_price_3460,MATCH(sel_scen*1000+7*10+sel_dest,eng_key,0)))/INDEX(eng_REV,MATCH(sel_scen*1000+7*10+sel_dest,eng_key,0)),0)*(INDEX(eng_SELL_VAR,MATCH(sel_scen*1000+7*10+sel_dest,eng_key,0))+INDEX(eng_SELL_FIX,MATCH(sel_scen*1000+7*10+sel_dest,eng_key,0))+INDEX(eng_FIN,MATCH(sel_scen*1000+7*10+sel_dest,eng_key,0)))</f>
        <v>-4657.20752067569</v>
      </c>
      <c r="U12" s="20" t="n">
        <f aca="false">INDEX(eng_avg_cpb,MATCH(sel_scen*1000+7*10+sel_dest,eng_key,0))</f>
        <v>0.222009383891501</v>
      </c>
      <c r="V12" s="20" t="n">
        <f aca="false">INDEX(eng_avg_price,MATCH(sel_scen*1000+7*10+sel_dest,eng_key,0))</f>
        <v>0.225</v>
      </c>
    </row>
    <row r="13" customFormat="false" ht="15" hidden="false" customHeight="false" outlineLevel="0" collapsed="false">
      <c r="A13" s="9" t="n">
        <v>8</v>
      </c>
      <c r="B13" s="9" t="s">
        <v>753</v>
      </c>
      <c r="C13" s="8" t="str">
        <f aca="false">IF(INDEX(eng_fits,MATCH(sel_scen*1000+8*10+sel_dest,eng_key,0)),"Yes","NO")</f>
        <v>Yes</v>
      </c>
      <c r="D13" s="15" t="n">
        <f aca="false">INDEX(eng_U,MATCH(sel_scen*1000+8*10+sel_dest,eng_key,0))</f>
        <v>67800</v>
      </c>
      <c r="E13" s="10" t="n">
        <f aca="false">INDEX(eng_n,MATCH(sel_scen*1000+8*10+sel_dest,eng_key,0))</f>
        <v>1</v>
      </c>
      <c r="F13" s="65" t="n">
        <f aca="false">INDEX(eng_COGS,MATCH(sel_scen*1000+8*10+sel_dest,eng_key,0))</f>
        <v>18639.5608683311</v>
      </c>
      <c r="G13" s="65" t="n">
        <f aca="false">INDEX(eng_REV,MATCH(sel_scen*1000+8*10+sel_dest,eng_key,0))</f>
        <v>16228.269</v>
      </c>
      <c r="H13" s="65" t="n">
        <f aca="false">INDEX(eng_GP,MATCH(sel_scen*1000+8*10+sel_dest,eng_key,0))</f>
        <v>-2411.2918683311</v>
      </c>
      <c r="I13" s="26" t="n">
        <f aca="false">INDEX(eng_GM,MATCH(sel_scen*1000+8*10+sel_dest,eng_key,0))</f>
        <v>-0.148585894671274</v>
      </c>
      <c r="J13" s="65" t="n">
        <f aca="false">INDEX(eng_SELL_VAR,MATCH(sel_scen*1000+8*10+sel_dest,eng_key,0))+INDEX(eng_SELL_FIX,MATCH(sel_scen*1000+8*10+sel_dest,eng_key,0))+INDEX(eng_FIN,MATCH(sel_scen*1000+8*10+sel_dest,eng_key,0))</f>
        <v>4428.6916908963</v>
      </c>
      <c r="K13" s="70" t="n">
        <f aca="false">INDEX(eng_CONTRIB,MATCH(sel_scen*1000+8*10+sel_dest,eng_key,0))</f>
        <v>-6839.9835592274</v>
      </c>
      <c r="L13" s="69" t="n">
        <f aca="false">INDEX(eng_CM,MATCH(sel_scen*1000+8*10+sel_dest,eng_key,0))</f>
        <v>-0.421485714787412</v>
      </c>
      <c r="M13" s="65" t="n">
        <f aca="false">IF(INDEX(eng_n,MATCH(sel_scen*1000+8*10+sel_dest,eng_key,0))&gt;0,INDEX(eng_CONTRIB,MATCH(sel_scen*1000+8*10+sel_dest,eng_key,0))/INDEX(eng_n,MATCH(sel_scen*1000+8*10+sel_dest,eng_key,0)),"LCL")</f>
        <v>-6839.9835592274</v>
      </c>
      <c r="N13" s="65" t="n">
        <f aca="false">INDEX(eng_PEAK,MATCH(sel_scen*1000+8*10+sel_dest,eng_key,0))</f>
        <v>22528.3687842304</v>
      </c>
      <c r="O13" s="65" t="n">
        <f aca="false">INDEX(eng_CASH_TOTAL,MATCH(sel_scen*1000+8*10+sel_dest,eng_key,0))</f>
        <v>22528.3687842304</v>
      </c>
      <c r="P13" s="67" t="n">
        <f aca="false">INDEX(eng_f_be,MATCH(sel_scen*1000+8*10+sel_dest,eng_key,0))-1</f>
        <v>0.447437064530161</v>
      </c>
      <c r="Q13" s="15" t="n">
        <f aca="false">INDEX(eng_u_be_0,MATCH(sel_scen*1000+8*10+sel_dest,eng_key,0))</f>
        <v>100358.903110887</v>
      </c>
      <c r="R13" s="65" t="n">
        <f aca="false">INDEX(eng_sale_3464,MATCH(sel_scen*1000+8*10+sel_dest,eng_key,0))*INDEX(eng_price_3464,MATCH(sel_scen*1000+8*10+sel_dest,eng_key,0))-INDEX(eng_cost_3464,MATCH(sel_scen*1000+8*10+sel_dest,eng_key,0))-IF(INDEX(eng_REV,MATCH(sel_scen*1000+8*10+sel_dest,eng_key,0))&gt;0,(INDEX(eng_sale_3464,MATCH(sel_scen*1000+8*10+sel_dest,eng_key,0))*INDEX(eng_price_3464,MATCH(sel_scen*1000+8*10+sel_dest,eng_key,0)))/INDEX(eng_REV,MATCH(sel_scen*1000+8*10+sel_dest,eng_key,0)),0)*(INDEX(eng_SELL_VAR,MATCH(sel_scen*1000+8*10+sel_dest,eng_key,0))+INDEX(eng_SELL_FIX,MATCH(sel_scen*1000+8*10+sel_dest,eng_key,0))+INDEX(eng_FIN,MATCH(sel_scen*1000+8*10+sel_dest,eng_key,0)))</f>
        <v>-2724.03416004802</v>
      </c>
      <c r="S13" s="65" t="n">
        <f aca="false">INDEX(eng_sale_3463,MATCH(sel_scen*1000+8*10+sel_dest,eng_key,0))*INDEX(eng_price_3463,MATCH(sel_scen*1000+8*10+sel_dest,eng_key,0))-INDEX(eng_cost_3463,MATCH(sel_scen*1000+8*10+sel_dest,eng_key,0))-IF(INDEX(eng_REV,MATCH(sel_scen*1000+8*10+sel_dest,eng_key,0))&gt;0,(INDEX(eng_sale_3463,MATCH(sel_scen*1000+8*10+sel_dest,eng_key,0))*INDEX(eng_price_3463,MATCH(sel_scen*1000+8*10+sel_dest,eng_key,0)))/INDEX(eng_REV,MATCH(sel_scen*1000+8*10+sel_dest,eng_key,0)),0)*(INDEX(eng_SELL_VAR,MATCH(sel_scen*1000+8*10+sel_dest,eng_key,0))+INDEX(eng_SELL_FIX,MATCH(sel_scen*1000+8*10+sel_dest,eng_key,0))+INDEX(eng_FIN,MATCH(sel_scen*1000+8*10+sel_dest,eng_key,0)))</f>
        <v>-2360.42765707169</v>
      </c>
      <c r="T13" s="65" t="n">
        <f aca="false">INDEX(eng_sale_3460,MATCH(sel_scen*1000+8*10+sel_dest,eng_key,0))*INDEX(eng_price_3460,MATCH(sel_scen*1000+8*10+sel_dest,eng_key,0))-INDEX(eng_cost_3460,MATCH(sel_scen*1000+8*10+sel_dest,eng_key,0))-IF(INDEX(eng_REV,MATCH(sel_scen*1000+8*10+sel_dest,eng_key,0))&gt;0,(INDEX(eng_sale_3460,MATCH(sel_scen*1000+8*10+sel_dest,eng_key,0))*INDEX(eng_price_3460,MATCH(sel_scen*1000+8*10+sel_dest,eng_key,0)))/INDEX(eng_REV,MATCH(sel_scen*1000+8*10+sel_dest,eng_key,0)),0)*(INDEX(eng_SELL_VAR,MATCH(sel_scen*1000+8*10+sel_dest,eng_key,0))+INDEX(eng_SELL_FIX,MATCH(sel_scen*1000+8*10+sel_dest,eng_key,0))+INDEX(eng_FIN,MATCH(sel_scen*1000+8*10+sel_dest,eng_key,0)))</f>
        <v>-1755.52174210768</v>
      </c>
      <c r="U13" s="20" t="n">
        <f aca="false">INDEX(eng_avg_cpb,MATCH(sel_scen*1000+8*10+sel_dest,eng_key,0))</f>
        <v>0.27910637240512</v>
      </c>
      <c r="V13" s="20" t="n">
        <f aca="false">INDEX(eng_avg_price,MATCH(sel_scen*1000+8*10+sel_dest,eng_key,0))</f>
        <v>0.243</v>
      </c>
    </row>
    <row r="14" customFormat="false" ht="15" hidden="false" customHeight="false" outlineLevel="0" collapsed="false">
      <c r="A14" s="9" t="n">
        <v>9</v>
      </c>
      <c r="B14" s="9" t="s">
        <v>754</v>
      </c>
      <c r="C14" s="8" t="str">
        <f aca="false">IF(INDEX(eng_fits,MATCH(sel_scen*1000+9*10+sel_dest,eng_key,0)),"Yes","NO")</f>
        <v>Yes</v>
      </c>
      <c r="D14" s="15" t="n">
        <f aca="false">INDEX(eng_U,MATCH(sel_scen*1000+9*10+sel_dest,eng_key,0))</f>
        <v>31800</v>
      </c>
      <c r="E14" s="10" t="n">
        <f aca="false">INDEX(eng_n,MATCH(sel_scen*1000+9*10+sel_dest,eng_key,0))</f>
        <v>1</v>
      </c>
      <c r="F14" s="65" t="n">
        <f aca="false">INDEX(eng_COGS,MATCH(sel_scen*1000+9*10+sel_dest,eng_key,0))</f>
        <v>11506.1597367304</v>
      </c>
      <c r="G14" s="65" t="n">
        <f aca="false">INDEX(eng_REV,MATCH(sel_scen*1000+9*10+sel_dest,eng_key,0))</f>
        <v>7611.489</v>
      </c>
      <c r="H14" s="65" t="n">
        <f aca="false">INDEX(eng_GP,MATCH(sel_scen*1000+9*10+sel_dest,eng_key,0))</f>
        <v>-3894.67073673041</v>
      </c>
      <c r="I14" s="26" t="n">
        <f aca="false">INDEX(eng_GM,MATCH(sel_scen*1000+9*10+sel_dest,eng_key,0))</f>
        <v>-0.511683159067878</v>
      </c>
      <c r="J14" s="65" t="n">
        <f aca="false">INDEX(eng_SELL_VAR,MATCH(sel_scen*1000+9*10+sel_dest,eng_key,0))+INDEX(eng_SELL_FIX,MATCH(sel_scen*1000+9*10+sel_dest,eng_key,0))+INDEX(eng_FIN,MATCH(sel_scen*1000+9*10+sel_dest,eng_key,0))</f>
        <v>3755.93963770038</v>
      </c>
      <c r="K14" s="70" t="n">
        <f aca="false">INDEX(eng_CONTRIB,MATCH(sel_scen*1000+9*10+sel_dest,eng_key,0))</f>
        <v>-7650.61037443079</v>
      </c>
      <c r="L14" s="69" t="n">
        <f aca="false">INDEX(eng_CM,MATCH(sel_scen*1000+9*10+sel_dest,eng_key,0))</f>
        <v>-1.00513977940857</v>
      </c>
      <c r="M14" s="65" t="n">
        <f aca="false">IF(INDEX(eng_n,MATCH(sel_scen*1000+9*10+sel_dest,eng_key,0))&gt;0,INDEX(eng_CONTRIB,MATCH(sel_scen*1000+9*10+sel_dest,eng_key,0))/INDEX(eng_n,MATCH(sel_scen*1000+9*10+sel_dest,eng_key,0)),"LCL")</f>
        <v>-7650.61037443079</v>
      </c>
      <c r="N14" s="65" t="n">
        <f aca="false">INDEX(eng_PEAK,MATCH(sel_scen*1000+9*10+sel_dest,eng_key,0))</f>
        <v>14657.5475202938</v>
      </c>
      <c r="O14" s="65" t="n">
        <f aca="false">INDEX(eng_CASH_TOTAL,MATCH(sel_scen*1000+9*10+sel_dest,eng_key,0))</f>
        <v>14657.5475202938</v>
      </c>
      <c r="P14" s="67" t="n">
        <f aca="false">INDEX(eng_f_be,MATCH(sel_scen*1000+9*10+sel_dest,eng_key,0))-1</f>
        <v>1.06702736667577</v>
      </c>
      <c r="Q14" s="15" t="n">
        <f aca="false">INDEX(eng_u_be_0,MATCH(sel_scen*1000+9*10+sel_dest,eng_key,0))</f>
        <v>84801.7129440632</v>
      </c>
      <c r="R14" s="65" t="n">
        <f aca="false">INDEX(eng_sale_3464,MATCH(sel_scen*1000+9*10+sel_dest,eng_key,0))*INDEX(eng_price_3464,MATCH(sel_scen*1000+9*10+sel_dest,eng_key,0))-INDEX(eng_cost_3464,MATCH(sel_scen*1000+9*10+sel_dest,eng_key,0))-IF(INDEX(eng_REV,MATCH(sel_scen*1000+9*10+sel_dest,eng_key,0))&gt;0,(INDEX(eng_sale_3464,MATCH(sel_scen*1000+9*10+sel_dest,eng_key,0))*INDEX(eng_price_3464,MATCH(sel_scen*1000+9*10+sel_dest,eng_key,0)))/INDEX(eng_REV,MATCH(sel_scen*1000+9*10+sel_dest,eng_key,0)),0)*(INDEX(eng_SELL_VAR,MATCH(sel_scen*1000+9*10+sel_dest,eng_key,0))+INDEX(eng_SELL_FIX,MATCH(sel_scen*1000+9*10+sel_dest,eng_key,0))+INDEX(eng_FIN,MATCH(sel_scen*1000+9*10+sel_dest,eng_key,0)))</f>
        <v>-2734.39792457336</v>
      </c>
      <c r="S14" s="65" t="n">
        <f aca="false">INDEX(eng_sale_3463,MATCH(sel_scen*1000+9*10+sel_dest,eng_key,0))*INDEX(eng_price_3463,MATCH(sel_scen*1000+9*10+sel_dest,eng_key,0))-INDEX(eng_cost_3463,MATCH(sel_scen*1000+9*10+sel_dest,eng_key,0))-IF(INDEX(eng_REV,MATCH(sel_scen*1000+9*10+sel_dest,eng_key,0))&gt;0,(INDEX(eng_sale_3463,MATCH(sel_scen*1000+9*10+sel_dest,eng_key,0))*INDEX(eng_price_3463,MATCH(sel_scen*1000+9*10+sel_dest,eng_key,0)))/INDEX(eng_REV,MATCH(sel_scen*1000+9*10+sel_dest,eng_key,0)),0)*(INDEX(eng_SELL_VAR,MATCH(sel_scen*1000+9*10+sel_dest,eng_key,0))+INDEX(eng_SELL_FIX,MATCH(sel_scen*1000+9*10+sel_dest,eng_key,0))+INDEX(eng_FIN,MATCH(sel_scen*1000+9*10+sel_dest,eng_key,0)))</f>
        <v>-2793.41740508868</v>
      </c>
      <c r="T14" s="65" t="n">
        <f aca="false">INDEX(eng_sale_3460,MATCH(sel_scen*1000+9*10+sel_dest,eng_key,0))*INDEX(eng_price_3460,MATCH(sel_scen*1000+9*10+sel_dest,eng_key,0))-INDEX(eng_cost_3460,MATCH(sel_scen*1000+9*10+sel_dest,eng_key,0))-IF(INDEX(eng_REV,MATCH(sel_scen*1000+9*10+sel_dest,eng_key,0))&gt;0,(INDEX(eng_sale_3460,MATCH(sel_scen*1000+9*10+sel_dest,eng_key,0))*INDEX(eng_price_3460,MATCH(sel_scen*1000+9*10+sel_dest,eng_key,0)))/INDEX(eng_REV,MATCH(sel_scen*1000+9*10+sel_dest,eng_key,0)),0)*(INDEX(eng_SELL_VAR,MATCH(sel_scen*1000+9*10+sel_dest,eng_key,0))+INDEX(eng_SELL_FIX,MATCH(sel_scen*1000+9*10+sel_dest,eng_key,0))+INDEX(eng_FIN,MATCH(sel_scen*1000+9*10+sel_dest,eng_key,0)))</f>
        <v>-2122.79504476875</v>
      </c>
      <c r="U14" s="20" t="n">
        <f aca="false">INDEX(eng_avg_cpb,MATCH(sel_scen*1000+9*10+sel_dest,eng_key,0))</f>
        <v>0.367339007653495</v>
      </c>
      <c r="V14" s="20" t="n">
        <f aca="false">INDEX(eng_avg_price,MATCH(sel_scen*1000+9*10+sel_dest,eng_key,0))</f>
        <v>0.243</v>
      </c>
    </row>
    <row r="15" customFormat="false" ht="15" hidden="false" customHeight="false" outlineLevel="0" collapsed="false">
      <c r="A15" s="9" t="n">
        <v>10</v>
      </c>
      <c r="B15" s="9" t="s">
        <v>755</v>
      </c>
      <c r="C15" s="8" t="str">
        <f aca="false">IF(INDEX(eng_fits,MATCH(sel_scen*1000+10*10+sel_dest,eng_key,0)),"Yes","NO")</f>
        <v>Yes</v>
      </c>
      <c r="D15" s="15" t="n">
        <f aca="false">INDEX(eng_U,MATCH(sel_scen*1000+10*10+sel_dest,eng_key,0))</f>
        <v>10000</v>
      </c>
      <c r="E15" s="10" t="n">
        <f aca="false">INDEX(eng_n,MATCH(sel_scen*1000+10*10+sel_dest,eng_key,0))</f>
        <v>0</v>
      </c>
      <c r="F15" s="65" t="n">
        <f aca="false">INDEX(eng_COGS,MATCH(sel_scen*1000+10*10+sel_dest,eng_key,0))</f>
        <v>5445.25303942917</v>
      </c>
      <c r="G15" s="65" t="n">
        <f aca="false">INDEX(eng_REV,MATCH(sel_scen*1000+10*10+sel_dest,eng_key,0))</f>
        <v>2394.4365</v>
      </c>
      <c r="H15" s="65" t="n">
        <f aca="false">INDEX(eng_GP,MATCH(sel_scen*1000+10*10+sel_dest,eng_key,0))</f>
        <v>-3050.81653942917</v>
      </c>
      <c r="I15" s="26" t="n">
        <f aca="false">INDEX(eng_GM,MATCH(sel_scen*1000+10*10+sel_dest,eng_key,0))</f>
        <v>-1.27412714408136</v>
      </c>
      <c r="J15" s="65" t="n">
        <f aca="false">INDEX(eng_SELL_VAR,MATCH(sel_scen*1000+10*10+sel_dest,eng_key,0))+INDEX(eng_SELL_FIX,MATCH(sel_scen*1000+10*10+sel_dest,eng_key,0))+INDEX(eng_FIN,MATCH(sel_scen*1000+10*10+sel_dest,eng_key,0))</f>
        <v>3329.40701828669</v>
      </c>
      <c r="K15" s="70" t="n">
        <f aca="false">INDEX(eng_CONTRIB,MATCH(sel_scen*1000+10*10+sel_dest,eng_key,0))</f>
        <v>-6380.22355771586</v>
      </c>
      <c r="L15" s="69" t="n">
        <f aca="false">INDEX(eng_CM,MATCH(sel_scen*1000+10*10+sel_dest,eng_key,0))</f>
        <v>-2.66460336605955</v>
      </c>
      <c r="M15" s="65" t="str">
        <f aca="false">IF(INDEX(eng_n,MATCH(sel_scen*1000+10*10+sel_dest,eng_key,0))&gt;0,INDEX(eng_CONTRIB,MATCH(sel_scen*1000+10*10+sel_dest,eng_key,0))/INDEX(eng_n,MATCH(sel_scen*1000+10*10+sel_dest,eng_key,0)),"LCL")</f>
        <v>LCL</v>
      </c>
      <c r="N15" s="65" t="n">
        <f aca="false">INDEX(eng_PEAK,MATCH(sel_scen*1000+10*10+sel_dest,eng_key,0))</f>
        <v>8150.20095017445</v>
      </c>
      <c r="O15" s="65" t="n">
        <f aca="false">INDEX(eng_CASH_TOTAL,MATCH(sel_scen*1000+10*10+sel_dest,eng_key,0))</f>
        <v>8150.20095017445</v>
      </c>
      <c r="P15" s="67" t="n">
        <f aca="false">INDEX(eng_f_be,MATCH(sel_scen*1000+10*10+sel_dest,eng_key,0))-1</f>
        <v>2.8286659936938</v>
      </c>
      <c r="Q15" s="15" t="n">
        <f aca="false">INDEX(eng_u_be_0,MATCH(sel_scen*1000+10*10+sel_dest,eng_key,0))</f>
        <v>52901.3448559201</v>
      </c>
      <c r="R15" s="65" t="n">
        <f aca="false">INDEX(eng_sale_3464,MATCH(sel_scen*1000+10*10+sel_dest,eng_key,0))*INDEX(eng_price_3464,MATCH(sel_scen*1000+10*10+sel_dest,eng_key,0))-INDEX(eng_cost_3464,MATCH(sel_scen*1000+10*10+sel_dest,eng_key,0))-IF(INDEX(eng_REV,MATCH(sel_scen*1000+10*10+sel_dest,eng_key,0))&gt;0,(INDEX(eng_sale_3464,MATCH(sel_scen*1000+10*10+sel_dest,eng_key,0))*INDEX(eng_price_3464,MATCH(sel_scen*1000+10*10+sel_dest,eng_key,0)))/INDEX(eng_REV,MATCH(sel_scen*1000+10*10+sel_dest,eng_key,0)),0)*(INDEX(eng_SELL_VAR,MATCH(sel_scen*1000+10*10+sel_dest,eng_key,0))+INDEX(eng_SELL_FIX,MATCH(sel_scen*1000+10*10+sel_dest,eng_key,0))+INDEX(eng_FIN,MATCH(sel_scen*1000+10*10+sel_dest,eng_key,0)))</f>
        <v>-2167.70737133376</v>
      </c>
      <c r="S15" s="65" t="n">
        <f aca="false">INDEX(eng_sale_3463,MATCH(sel_scen*1000+10*10+sel_dest,eng_key,0))*INDEX(eng_price_3463,MATCH(sel_scen*1000+10*10+sel_dest,eng_key,0))-INDEX(eng_cost_3463,MATCH(sel_scen*1000+10*10+sel_dest,eng_key,0))-IF(INDEX(eng_REV,MATCH(sel_scen*1000+10*10+sel_dest,eng_key,0))&gt;0,(INDEX(eng_sale_3463,MATCH(sel_scen*1000+10*10+sel_dest,eng_key,0))*INDEX(eng_price_3463,MATCH(sel_scen*1000+10*10+sel_dest,eng_key,0)))/INDEX(eng_REV,MATCH(sel_scen*1000+10*10+sel_dest,eng_key,0)),0)*(INDEX(eng_SELL_VAR,MATCH(sel_scen*1000+10*10+sel_dest,eng_key,0))+INDEX(eng_SELL_FIX,MATCH(sel_scen*1000+10*10+sel_dest,eng_key,0))+INDEX(eng_FIN,MATCH(sel_scen*1000+10*10+sel_dest,eng_key,0)))</f>
        <v>-2353.66282594304</v>
      </c>
      <c r="T15" s="65" t="n">
        <f aca="false">INDEX(eng_sale_3460,MATCH(sel_scen*1000+10*10+sel_dest,eng_key,0))*INDEX(eng_price_3460,MATCH(sel_scen*1000+10*10+sel_dest,eng_key,0))-INDEX(eng_cost_3460,MATCH(sel_scen*1000+10*10+sel_dest,eng_key,0))-IF(INDEX(eng_REV,MATCH(sel_scen*1000+10*10+sel_dest,eng_key,0))&gt;0,(INDEX(eng_sale_3460,MATCH(sel_scen*1000+10*10+sel_dest,eng_key,0))*INDEX(eng_price_3460,MATCH(sel_scen*1000+10*10+sel_dest,eng_key,0)))/INDEX(eng_REV,MATCH(sel_scen*1000+10*10+sel_dest,eng_key,0)),0)*(INDEX(eng_SELL_VAR,MATCH(sel_scen*1000+10*10+sel_dest,eng_key,0))+INDEX(eng_SELL_FIX,MATCH(sel_scen*1000+10*10+sel_dest,eng_key,0))+INDEX(eng_FIN,MATCH(sel_scen*1000+10*10+sel_dest,eng_key,0)))</f>
        <v>-1858.85336043906</v>
      </c>
      <c r="U15" s="20" t="n">
        <f aca="false">INDEX(eng_avg_cpb,MATCH(sel_scen*1000+10*10+sel_dest,eng_key,0))</f>
        <v>0.552817567454738</v>
      </c>
      <c r="V15" s="20" t="n">
        <f aca="false">INDEX(eng_avg_price,MATCH(sel_scen*1000+10*10+sel_dest,eng_key,0))</f>
        <v>0.24309</v>
      </c>
    </row>
    <row r="17" customFormat="false" ht="15" hidden="false" customHeight="false" outlineLevel="0" collapsed="false">
      <c r="A17" s="3" t="s">
        <v>1672</v>
      </c>
      <c r="B17" s="4"/>
      <c r="C17" s="4"/>
      <c r="D17" s="4"/>
      <c r="E17" s="4"/>
      <c r="F17" s="4"/>
      <c r="G17" s="4"/>
      <c r="H17" s="4"/>
      <c r="I17" s="4"/>
      <c r="J17" s="4"/>
      <c r="K17" s="4"/>
      <c r="L17" s="4"/>
    </row>
    <row r="18" customFormat="false" ht="15" hidden="false" customHeight="false" outlineLevel="0" collapsed="false">
      <c r="B18" s="9" t="s">
        <v>1673</v>
      </c>
      <c r="C18" s="28" t="n">
        <v>0.5</v>
      </c>
    </row>
    <row r="19" customFormat="false" ht="15" hidden="false" customHeight="false" outlineLevel="0" collapsed="false">
      <c r="B19" s="9" t="s">
        <v>1674</v>
      </c>
      <c r="C19" s="64" t="n">
        <v>450</v>
      </c>
    </row>
    <row r="20" customFormat="false" ht="15" hidden="false" customHeight="false" outlineLevel="0" collapsed="false">
      <c r="B20" s="9" t="s">
        <v>1675</v>
      </c>
      <c r="C20" s="6" t="n">
        <v>3</v>
      </c>
    </row>
    <row r="21" customFormat="false" ht="15" hidden="false" customHeight="false" outlineLevel="0" collapsed="false">
      <c r="A21" s="13"/>
      <c r="B21" s="13" t="s">
        <v>1676</v>
      </c>
      <c r="C21" s="13"/>
      <c r="D21" s="13" t="s">
        <v>1658</v>
      </c>
      <c r="E21" s="13" t="s">
        <v>114</v>
      </c>
      <c r="F21" s="13" t="s">
        <v>1661</v>
      </c>
    </row>
    <row r="22" customFormat="false" ht="15" hidden="false" customHeight="false" outlineLevel="0" collapsed="false">
      <c r="B22" s="9" t="s">
        <v>1677</v>
      </c>
      <c r="C22" s="28" t="n">
        <v>1</v>
      </c>
      <c r="D22" s="65" t="n">
        <f aca="false">INDEX(eng_REV,sel_row)*($C22+(1-$C22)*C18)</f>
        <v>18526.077</v>
      </c>
      <c r="E22" s="65" t="n">
        <f aca="false">INDEX(eng_REV,sel_row)*($C22+(1-$C22)*C18)-INDEX(eng_COGS,sel_row)-INDEX(eng_REV,sel_row)*($C22+(1-$C22)*C18)*INDEX(eng_var_pct,sel_row)-INDEX(eng_SELL_FIX,sel_row)-INDEX(eng_FIN,sel_row)-(1-$C22)*MAX(INDEX(eng_n,sel_row),1)*C19*C20</f>
        <v>-6405.74659036083</v>
      </c>
      <c r="F22" s="26" t="n">
        <f aca="false">IF(D22&gt;0,E22/D22,0)</f>
        <v>-0.345769187419486</v>
      </c>
    </row>
    <row r="23" customFormat="false" ht="15" hidden="false" customHeight="false" outlineLevel="0" collapsed="false">
      <c r="B23" s="9" t="s">
        <v>1677</v>
      </c>
      <c r="C23" s="28" t="n">
        <v>0.9</v>
      </c>
      <c r="D23" s="65" t="n">
        <f aca="false">INDEX(eng_REV,sel_row)*($C23+(1-$C23)*C18)</f>
        <v>17599.77315</v>
      </c>
      <c r="E23" s="65" t="n">
        <f aca="false">INDEX(eng_REV,sel_row)*($C23+(1-$C23)*C18)-INDEX(eng_COGS,sel_row)-INDEX(eng_REV,sel_row)*($C23+(1-$C23)*C18)*INDEX(eng_var_pct,sel_row)-INDEX(eng_SELL_FIX,sel_row)-INDEX(eng_FIN,sel_row)-(1-$C23)*MAX(INDEX(eng_n,sel_row),1)*C19*C20</f>
        <v>-7413.32481706083</v>
      </c>
      <c r="F23" s="26" t="n">
        <f aca="false">IF(D23&gt;0,E23/D23,0)</f>
        <v>-0.42121706648593</v>
      </c>
    </row>
    <row r="24" customFormat="false" ht="15" hidden="false" customHeight="false" outlineLevel="0" collapsed="false">
      <c r="B24" s="9" t="s">
        <v>1677</v>
      </c>
      <c r="C24" s="28" t="n">
        <v>0.75</v>
      </c>
      <c r="D24" s="65" t="n">
        <f aca="false">INDEX(eng_REV,sel_row)*($C24+(1-$C24)*C18)</f>
        <v>16210.317375</v>
      </c>
      <c r="E24" s="65" t="n">
        <f aca="false">INDEX(eng_REV,sel_row)*($C24+(1-$C24)*C18)-INDEX(eng_COGS,sel_row)-INDEX(eng_REV,sel_row)*($C24+(1-$C24)*C18)*INDEX(eng_var_pct,sel_row)-INDEX(eng_SELL_FIX,sel_row)-INDEX(eng_FIN,sel_row)-(1-$C24)*MAX(INDEX(eng_n,sel_row),1)*C19*C20</f>
        <v>-8924.69215711083</v>
      </c>
      <c r="F24" s="26" t="n">
        <f aca="false">IF(D24&gt;0,E24/D24,0)</f>
        <v>-0.55055628774269</v>
      </c>
    </row>
    <row r="25" customFormat="false" ht="15" hidden="false" customHeight="false" outlineLevel="0" collapsed="false">
      <c r="B25" s="9" t="s">
        <v>1677</v>
      </c>
      <c r="C25" s="28" t="n">
        <v>0.5</v>
      </c>
      <c r="D25" s="65" t="n">
        <f aca="false">INDEX(eng_REV,sel_row)*($C25+(1-$C25)*C18)</f>
        <v>13894.55775</v>
      </c>
      <c r="E25" s="65" t="n">
        <f aca="false">INDEX(eng_REV,sel_row)*($C25+(1-$C25)*C18)-INDEX(eng_COGS,sel_row)-INDEX(eng_REV,sel_row)*($C25+(1-$C25)*C18)*INDEX(eng_var_pct,sel_row)-INDEX(eng_SELL_FIX,sel_row)-INDEX(eng_FIN,sel_row)-(1-$C25)*MAX(INDEX(eng_n,sel_row),1)*C19*C20</f>
        <v>-11443.6377238608</v>
      </c>
      <c r="F25" s="26" t="n">
        <f aca="false">IF(D25&gt;0,E25/D25,0)</f>
        <v>-0.823605754840296</v>
      </c>
    </row>
    <row r="26" customFormat="false" ht="23.85" hidden="false" customHeight="false" outlineLevel="0" collapsed="false">
      <c r="B26" s="16" t="s">
        <v>1678</v>
      </c>
    </row>
  </sheetData>
  <conditionalFormatting sqref="K5:L15">
    <cfRule type="cellIs" priority="2" operator="lessThan" aboveAverage="0" equalAverage="0" bottom="0" percent="0" rank="0" text="" dxfId="1">
      <formula>0</formula>
    </cfRule>
    <cfRule type="cellIs" priority="3" operator="greaterThan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J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6"/>
    <col collapsed="false" customWidth="true" hidden="false" outlineLevel="0" max="4" min="3" style="0" width="14"/>
    <col collapsed="false" customWidth="true" hidden="false" outlineLevel="0" max="6" min="5" style="0" width="12"/>
    <col collapsed="false" customWidth="true" hidden="false" outlineLevel="0" max="8" min="7" style="0" width="14"/>
    <col collapsed="false" customWidth="true" hidden="false" outlineLevel="0" max="9" min="9" style="0" width="10"/>
    <col collapsed="false" customWidth="true" hidden="true" outlineLevel="0" max="10" min="10" style="0" width="13"/>
  </cols>
  <sheetData>
    <row r="1" customFormat="false" ht="18.55" hidden="false" customHeight="false" outlineLevel="0" collapsed="false">
      <c r="A1" s="1" t="s">
        <v>1679</v>
      </c>
    </row>
    <row r="2" customFormat="false" ht="15" hidden="false" customHeight="false" outlineLevel="0" collapsed="false">
      <c r="A2" s="2" t="s">
        <v>1680</v>
      </c>
    </row>
    <row r="4" customFormat="false" ht="15" hidden="false" customHeight="false" outlineLevel="0" collapsed="false">
      <c r="A4" s="3" t="s">
        <v>1681</v>
      </c>
      <c r="B4" s="4"/>
      <c r="C4" s="4"/>
      <c r="D4" s="4"/>
      <c r="E4" s="4"/>
      <c r="F4" s="4"/>
      <c r="G4" s="4"/>
      <c r="H4" s="4"/>
      <c r="I4" s="4"/>
    </row>
    <row r="5" customFormat="false" ht="23.85" hidden="false" customHeight="false" outlineLevel="0" collapsed="false">
      <c r="A5" s="13" t="s">
        <v>356</v>
      </c>
      <c r="B5" s="13" t="s">
        <v>1682</v>
      </c>
      <c r="C5" s="13" t="s">
        <v>1683</v>
      </c>
      <c r="D5" s="13" t="s">
        <v>1684</v>
      </c>
      <c r="E5" s="13" t="s">
        <v>1659</v>
      </c>
      <c r="F5" s="13" t="s">
        <v>1661</v>
      </c>
      <c r="G5" s="13" t="s">
        <v>114</v>
      </c>
      <c r="H5" s="13" t="s">
        <v>1685</v>
      </c>
      <c r="I5" s="13" t="s">
        <v>1686</v>
      </c>
    </row>
    <row r="6" customFormat="false" ht="15" hidden="false" customHeight="false" outlineLevel="0" collapsed="false">
      <c r="B6" s="5" t="s">
        <v>1687</v>
      </c>
      <c r="C6" s="68" t="n">
        <f aca="false">INDEX(eng_avg_cpb,sel_row)</f>
        <v>0.26663404657784</v>
      </c>
      <c r="E6" s="69" t="n">
        <f aca="false">INDEX(eng_GM,sel_row)</f>
        <v>-0.0972594509376113</v>
      </c>
      <c r="F6" s="69" t="n">
        <f aca="false">INDEX(eng_CM,sel_row)</f>
        <v>-0.345769187419486</v>
      </c>
      <c r="G6" s="70" t="n">
        <f aca="false">INDEX(eng_CONTRIB,sel_row)</f>
        <v>-6405.74659036083</v>
      </c>
    </row>
    <row r="7" customFormat="false" ht="15" hidden="false" customHeight="false" outlineLevel="0" collapsed="false">
      <c r="A7" s="9" t="n">
        <v>1</v>
      </c>
      <c r="B7" s="9" t="s">
        <v>1688</v>
      </c>
      <c r="C7" s="20" t="n">
        <f aca="false">INDEX(eng_avg_cpb,MATCH(900001,eng_key,0))</f>
        <v>0.261667254392233</v>
      </c>
      <c r="D7" s="71" t="n">
        <f aca="false">C7-$C$6</f>
        <v>-0.00496679218560625</v>
      </c>
      <c r="E7" s="26" t="n">
        <f aca="false">INDEX(eng_GM,MATCH(900001,eng_key,0))</f>
        <v>-0.0768199769227707</v>
      </c>
      <c r="F7" s="26" t="n">
        <f aca="false">INDEX(eng_CM,MATCH(900001,eng_key,0))</f>
        <v>-0.324820456291677</v>
      </c>
      <c r="G7" s="65" t="n">
        <f aca="false">INDEX(eng_CONTRIB,MATCH(900001,eng_key,0))</f>
        <v>-6017.64878443474</v>
      </c>
      <c r="H7" s="72" t="n">
        <f aca="false">G7-$G$6</f>
        <v>388.097805926084</v>
      </c>
      <c r="I7" s="10" t="n">
        <f aca="false">RANK(ABS(H7-H8),$J$7:$J$35)</f>
        <v>8</v>
      </c>
      <c r="J7" s="73" t="n">
        <f aca="false">ABS(H7-H8)</f>
        <v>1509.29808656251</v>
      </c>
    </row>
    <row r="8" customFormat="false" ht="15" hidden="false" customHeight="false" outlineLevel="0" collapsed="false">
      <c r="A8" s="9" t="n">
        <v>2</v>
      </c>
      <c r="B8" s="9" t="s">
        <v>1689</v>
      </c>
      <c r="C8" s="20" t="n">
        <f aca="false">INDEX(eng_avg_cpb,MATCH(900002,eng_key,0))</f>
        <v>0.28098311823549</v>
      </c>
      <c r="D8" s="71" t="n">
        <f aca="false">C8-$C$6</f>
        <v>0.0143490716576505</v>
      </c>
      <c r="E8" s="26" t="n">
        <f aca="false">INDEX(eng_GM,MATCH(900002,eng_key,0))</f>
        <v>-0.156309128541111</v>
      </c>
      <c r="F8" s="26" t="n">
        <f aca="false">INDEX(eng_CM,MATCH(900002,eng_key,0))</f>
        <v>-0.406289300805413</v>
      </c>
      <c r="G8" s="65" t="n">
        <f aca="false">INDEX(eng_CONTRIB,MATCH(900002,eng_key,0))</f>
        <v>-7526.94687099725</v>
      </c>
      <c r="H8" s="72" t="n">
        <f aca="false">G8-$G$6</f>
        <v>-1121.20028063642</v>
      </c>
    </row>
    <row r="9" customFormat="false" ht="15" hidden="false" customHeight="false" outlineLevel="0" collapsed="false">
      <c r="A9" s="9" t="n">
        <v>3</v>
      </c>
      <c r="B9" s="9" t="s">
        <v>1690</v>
      </c>
      <c r="C9" s="20" t="n">
        <f aca="false">INDEX(eng_avg_cpb,MATCH(900003,eng_key,0))</f>
        <v>0.252205735608388</v>
      </c>
      <c r="D9" s="71" t="n">
        <f aca="false">C9-$C$6</f>
        <v>-0.0144283109694514</v>
      </c>
      <c r="E9" s="26" t="n">
        <f aca="false">INDEX(eng_GM,MATCH(900003,eng_key,0))</f>
        <v>-0.0378836856312272</v>
      </c>
      <c r="F9" s="26" t="n">
        <f aca="false">INDEX(eng_CM,MATCH(900003,eng_key,0))</f>
        <v>-0.285140837475131</v>
      </c>
      <c r="G9" s="65" t="n">
        <f aca="false">INDEX(eng_CONTRIB,MATCH(900003,eng_key,0))</f>
        <v>-5282.54111090877</v>
      </c>
      <c r="H9" s="72" t="n">
        <f aca="false">G9-$G$6</f>
        <v>1123.20547945205</v>
      </c>
      <c r="I9" s="10" t="n">
        <f aca="false">RANK(ABS(H9-H10),$J$7:$J$35)</f>
        <v>5</v>
      </c>
      <c r="J9" s="73" t="n">
        <f aca="false">ABS(H9-H10)</f>
        <v>2144.30136986301</v>
      </c>
    </row>
    <row r="10" customFormat="false" ht="15" hidden="false" customHeight="false" outlineLevel="0" collapsed="false">
      <c r="A10" s="9" t="n">
        <v>4</v>
      </c>
      <c r="B10" s="9" t="s">
        <v>1691</v>
      </c>
      <c r="C10" s="20" t="n">
        <f aca="false">INDEX(eng_avg_cpb,MATCH(900004,eng_key,0))</f>
        <v>0.279750692913704</v>
      </c>
      <c r="D10" s="71" t="n">
        <f aca="false">C10-$C$6</f>
        <v>0.0131166463358648</v>
      </c>
      <c r="E10" s="26" t="n">
        <f aca="false">INDEX(eng_GM,MATCH(900004,eng_key,0))</f>
        <v>-0.15123741939796</v>
      </c>
      <c r="F10" s="26" t="n">
        <f aca="false">INDEX(eng_CM,MATCH(900004,eng_key,0))</f>
        <v>-0.400885869187081</v>
      </c>
      <c r="G10" s="65" t="n">
        <f aca="false">INDEX(eng_CONTRIB,MATCH(900004,eng_key,0))</f>
        <v>-7426.84248077179</v>
      </c>
      <c r="H10" s="72" t="n">
        <f aca="false">G10-$G$6</f>
        <v>-1021.09589041096</v>
      </c>
    </row>
    <row r="11" customFormat="false" ht="15" hidden="false" customHeight="false" outlineLevel="0" collapsed="false">
      <c r="A11" s="9" t="n">
        <v>5</v>
      </c>
      <c r="B11" s="9" t="s">
        <v>1692</v>
      </c>
      <c r="C11" s="20" t="n">
        <f aca="false">INDEX(eng_avg_cpb,MATCH(900005,eng_key,0))</f>
        <v>0.248043232240549</v>
      </c>
      <c r="D11" s="71" t="n">
        <f aca="false">C11-$C$6</f>
        <v>-0.0185908143372903</v>
      </c>
      <c r="E11" s="26" t="n">
        <f aca="false">INDEX(eng_GM,MATCH(900005,eng_key,0))</f>
        <v>-0.0207540421421781</v>
      </c>
      <c r="F11" s="26" t="n">
        <f aca="false">INDEX(eng_CM,MATCH(900005,eng_key,0))</f>
        <v>-0.268278640483399</v>
      </c>
      <c r="G11" s="65" t="n">
        <f aca="false">INDEX(eng_CONTRIB,MATCH(900005,eng_key,0))</f>
        <v>-4970.15075105077</v>
      </c>
      <c r="H11" s="72" t="n">
        <f aca="false">G11-$G$6</f>
        <v>1435.59583931006</v>
      </c>
      <c r="I11" s="10" t="n">
        <f aca="false">RANK(ABS(H11-H12),$J$7:$J$35)</f>
        <v>2</v>
      </c>
      <c r="J11" s="73" t="n">
        <f aca="false">ABS(H11-H12)</f>
        <v>2878.01005595283</v>
      </c>
    </row>
    <row r="12" customFormat="false" ht="15" hidden="false" customHeight="false" outlineLevel="0" collapsed="false">
      <c r="A12" s="9" t="n">
        <v>6</v>
      </c>
      <c r="B12" s="9" t="s">
        <v>1693</v>
      </c>
      <c r="C12" s="20" t="n">
        <f aca="false">INDEX(eng_avg_cpb,MATCH(900006,eng_key,0))</f>
        <v>0.285313158180699</v>
      </c>
      <c r="D12" s="71" t="n">
        <f aca="false">C12-$C$6</f>
        <v>0.0186791116028598</v>
      </c>
      <c r="E12" s="26" t="n">
        <f aca="false">INDEX(eng_GM,MATCH(900006,eng_key,0))</f>
        <v>-0.174128222965841</v>
      </c>
      <c r="F12" s="26" t="n">
        <f aca="false">INDEX(eng_CM,MATCH(900006,eng_key,0))</f>
        <v>-0.423627776512189</v>
      </c>
      <c r="G12" s="65" t="n">
        <f aca="false">INDEX(eng_CONTRIB,MATCH(900006,eng_key,0))</f>
        <v>-7848.1608070036</v>
      </c>
      <c r="H12" s="72" t="n">
        <f aca="false">G12-$G$6</f>
        <v>-1442.41421664278</v>
      </c>
    </row>
    <row r="13" customFormat="false" ht="15" hidden="false" customHeight="false" outlineLevel="0" collapsed="false">
      <c r="A13" s="9" t="n">
        <v>7</v>
      </c>
      <c r="B13" s="9" t="s">
        <v>1694</v>
      </c>
      <c r="C13" s="20" t="n">
        <f aca="false">INDEX(eng_avg_cpb,MATCH(900007,eng_key,0))</f>
        <v>0.249829980247119</v>
      </c>
      <c r="D13" s="71" t="n">
        <f aca="false">C13-$C$6</f>
        <v>-0.0168040663307204</v>
      </c>
      <c r="E13" s="26" t="n">
        <f aca="false">INDEX(eng_GM,MATCH(900007,eng_key,0))</f>
        <v>-0.0281069145971982</v>
      </c>
      <c r="F13" s="26" t="n">
        <f aca="false">INDEX(eng_CM,MATCH(900007,eng_key,0))</f>
        <v>-0.274882623937566</v>
      </c>
      <c r="G13" s="65" t="n">
        <f aca="false">INDEX(eng_CONTRIB,MATCH(900007,eng_key,0))</f>
        <v>-5092.4966570294</v>
      </c>
      <c r="H13" s="72" t="n">
        <f aca="false">G13-$G$6</f>
        <v>1313.24993333143</v>
      </c>
      <c r="I13" s="10" t="n">
        <f aca="false">RANK(ABS(H13-H14),$J$7:$J$35)</f>
        <v>3</v>
      </c>
      <c r="J13" s="73" t="n">
        <f aca="false">ABS(H13-H14)</f>
        <v>2632.49040032259</v>
      </c>
    </row>
    <row r="14" customFormat="false" ht="15" hidden="false" customHeight="false" outlineLevel="0" collapsed="false">
      <c r="A14" s="9" t="n">
        <v>8</v>
      </c>
      <c r="B14" s="9" t="s">
        <v>1695</v>
      </c>
      <c r="C14" s="20" t="n">
        <f aca="false">INDEX(eng_avg_cpb,MATCH(900008,eng_key,0))</f>
        <v>0.28351568968609</v>
      </c>
      <c r="D14" s="71" t="n">
        <f aca="false">C14-$C$6</f>
        <v>0.0168816431082506</v>
      </c>
      <c r="E14" s="26" t="n">
        <f aca="false">INDEX(eng_GM,MATCH(900008,eng_key,0))</f>
        <v>-0.166731233276091</v>
      </c>
      <c r="F14" s="26" t="n">
        <f aca="false">INDEX(eng_CM,MATCH(900008,eng_key,0))</f>
        <v>-0.416979107738351</v>
      </c>
      <c r="G14" s="65" t="n">
        <f aca="false">INDEX(eng_CONTRIB,MATCH(900008,eng_key,0))</f>
        <v>-7724.98705735199</v>
      </c>
      <c r="H14" s="72" t="n">
        <f aca="false">G14-$G$6</f>
        <v>-1319.24046699116</v>
      </c>
    </row>
    <row r="15" customFormat="false" ht="15" hidden="false" customHeight="false" outlineLevel="0" collapsed="false">
      <c r="A15" s="9" t="n">
        <v>9</v>
      </c>
      <c r="B15" s="9" t="s">
        <v>1696</v>
      </c>
      <c r="C15" s="20" t="n">
        <f aca="false">INDEX(eng_avg_cpb,MATCH(900009,eng_key,0))</f>
        <v>0.26663404657784</v>
      </c>
      <c r="D15" s="71" t="n">
        <f aca="false">C15-$C$6</f>
        <v>0</v>
      </c>
      <c r="E15" s="26" t="n">
        <f aca="false">INDEX(eng_GM,MATCH(900009,eng_key,0))</f>
        <v>-0.290893471691307</v>
      </c>
      <c r="F15" s="26" t="n">
        <f aca="false">INDEX(eng_CM,MATCH(900009,eng_key,0))</f>
        <v>-0.573022573434689</v>
      </c>
      <c r="G15" s="65" t="n">
        <f aca="false">INDEX(eng_CONTRIB,MATCH(900009,eng_key,0))</f>
        <v>-9023.48127046083</v>
      </c>
      <c r="H15" s="72" t="n">
        <f aca="false">G15-$G$6</f>
        <v>-2617.7346801</v>
      </c>
      <c r="I15" s="10" t="n">
        <f aca="false">RANK(ABS(H15-H16),$J$7:$J$35)</f>
        <v>1</v>
      </c>
      <c r="J15" s="73" t="n">
        <f aca="false">ABS(H15-H16)</f>
        <v>5235.4693602</v>
      </c>
    </row>
    <row r="16" customFormat="false" ht="15" hidden="false" customHeight="false" outlineLevel="0" collapsed="false">
      <c r="A16" s="9" t="n">
        <v>10</v>
      </c>
      <c r="B16" s="9" t="s">
        <v>1697</v>
      </c>
      <c r="C16" s="20" t="n">
        <f aca="false">INDEX(eng_avg_cpb,MATCH(900010,eng_key,0))</f>
        <v>0.26663404657784</v>
      </c>
      <c r="D16" s="71" t="n">
        <f aca="false">C16-$C$6</f>
        <v>0</v>
      </c>
      <c r="E16" s="26" t="n">
        <f aca="false">INDEX(eng_GM,MATCH(900010,eng_key,0))</f>
        <v>0.0458613470107728</v>
      </c>
      <c r="F16" s="26" t="n">
        <f aca="false">INDEX(eng_CM,MATCH(900010,eng_key,0))</f>
        <v>-0.177799293408249</v>
      </c>
      <c r="G16" s="65" t="n">
        <f aca="false">INDEX(eng_CONTRIB,MATCH(900010,eng_key,0))</f>
        <v>-3788.01191026083</v>
      </c>
      <c r="H16" s="72" t="n">
        <f aca="false">G16-$G$6</f>
        <v>2617.7346801</v>
      </c>
    </row>
    <row r="17" customFormat="false" ht="15" hidden="false" customHeight="false" outlineLevel="0" collapsed="false">
      <c r="A17" s="9" t="n">
        <v>11</v>
      </c>
      <c r="B17" s="9" t="s">
        <v>1698</v>
      </c>
      <c r="C17" s="20" t="n">
        <f aca="false">INDEX(eng_avg_cpb,MATCH(900011,eng_key,0))</f>
        <v>0.291363697390453</v>
      </c>
      <c r="D17" s="71" t="n">
        <f aca="false">C17-$C$6</f>
        <v>0.0247296508126133</v>
      </c>
      <c r="E17" s="26" t="n">
        <f aca="false">INDEX(eng_GM,MATCH(900011,eng_key,0))</f>
        <v>-0.199027561277584</v>
      </c>
      <c r="F17" s="26" t="n">
        <f aca="false">INDEX(eng_CM,MATCH(900011,eng_key,0))</f>
        <v>-0.490833972425465</v>
      </c>
      <c r="G17" s="65" t="n">
        <f aca="false">INDEX(eng_CONTRIB,MATCH(900011,eng_key,0))</f>
        <v>-7274.58237389604</v>
      </c>
      <c r="H17" s="72" t="n">
        <f aca="false">G17-$G$6</f>
        <v>-868.835783535214</v>
      </c>
      <c r="I17" s="10" t="n">
        <f aca="false">RANK(ABS(H17-H18),$J$7:$J$35)</f>
        <v>7</v>
      </c>
      <c r="J17" s="73" t="n">
        <f aca="false">ABS(H17-H18)</f>
        <v>1720.66775635288</v>
      </c>
    </row>
    <row r="18" customFormat="false" ht="15" hidden="false" customHeight="false" outlineLevel="0" collapsed="false">
      <c r="A18" s="9" t="n">
        <v>12</v>
      </c>
      <c r="B18" s="9" t="s">
        <v>1699</v>
      </c>
      <c r="C18" s="20" t="n">
        <f aca="false">INDEX(eng_avg_cpb,MATCH(900012,eng_key,0))</f>
        <v>0.250331110661951</v>
      </c>
      <c r="D18" s="71" t="n">
        <f aca="false">C18-$C$6</f>
        <v>-0.0163029359158889</v>
      </c>
      <c r="E18" s="26" t="n">
        <f aca="false">INDEX(eng_GM,MATCH(900012,eng_key,0))</f>
        <v>-0.0301691796788094</v>
      </c>
      <c r="F18" s="26" t="n">
        <f aca="false">INDEX(eng_CM,MATCH(900012,eng_key,0))</f>
        <v>-0.249824190047681</v>
      </c>
      <c r="G18" s="65" t="n">
        <f aca="false">INDEX(eng_CONTRIB,MATCH(900012,eng_key,0))</f>
        <v>-5553.91461754316</v>
      </c>
      <c r="H18" s="72" t="n">
        <f aca="false">G18-$G$6</f>
        <v>851.831972817665</v>
      </c>
    </row>
    <row r="19" customFormat="false" ht="15" hidden="false" customHeight="false" outlineLevel="0" collapsed="false">
      <c r="A19" s="9" t="n">
        <v>13</v>
      </c>
      <c r="B19" s="9" t="s">
        <v>1700</v>
      </c>
      <c r="C19" s="20" t="n">
        <f aca="false">INDEX(eng_avg_cpb,MATCH(900013,eng_key,0))</f>
        <v>0.264076300542346</v>
      </c>
      <c r="D19" s="71" t="n">
        <f aca="false">C19-$C$6</f>
        <v>-0.00255774603549364</v>
      </c>
      <c r="E19" s="26" t="n">
        <f aca="false">INDEX(eng_GM,MATCH(900013,eng_key,0))</f>
        <v>-0.0867337470878432</v>
      </c>
      <c r="F19" s="26" t="n">
        <f aca="false">INDEX(eng_CM,MATCH(900013,eng_key,0))</f>
        <v>-0.335113714618145</v>
      </c>
      <c r="G19" s="65" t="n">
        <f aca="false">INDEX(eng_CONTRIB,MATCH(900013,eng_key,0))</f>
        <v>-6208.34248077179</v>
      </c>
      <c r="H19" s="72" t="n">
        <f aca="false">G19-$G$6</f>
        <v>197.404109589041</v>
      </c>
      <c r="I19" s="10" t="n">
        <f aca="false">RANK(ABS(H19-H20),$J$7:$J$35)</f>
        <v>13</v>
      </c>
      <c r="J19" s="73" t="n">
        <f aca="false">ABS(H19-H20)</f>
        <v>592.212328767123</v>
      </c>
    </row>
    <row r="20" customFormat="false" ht="15" hidden="false" customHeight="false" outlineLevel="0" collapsed="false">
      <c r="A20" s="9" t="n">
        <v>14</v>
      </c>
      <c r="B20" s="9" t="s">
        <v>1701</v>
      </c>
      <c r="C20" s="20" t="n">
        <f aca="false">INDEX(eng_avg_cpb,MATCH(900014,eng_key,0))</f>
        <v>0.271749538648827</v>
      </c>
      <c r="D20" s="71" t="n">
        <f aca="false">C20-$C$6</f>
        <v>0.00511549207098727</v>
      </c>
      <c r="E20" s="26" t="n">
        <f aca="false">INDEX(eng_GM,MATCH(900014,eng_key,0))</f>
        <v>-0.118310858637147</v>
      </c>
      <c r="F20" s="26" t="n">
        <f aca="false">INDEX(eng_CM,MATCH(900014,eng_key,0))</f>
        <v>-0.367080133022167</v>
      </c>
      <c r="G20" s="65" t="n">
        <f aca="false">INDEX(eng_CONTRIB,MATCH(900014,eng_key,0))</f>
        <v>-6800.55480953891</v>
      </c>
      <c r="H20" s="72" t="n">
        <f aca="false">G20-$G$6</f>
        <v>-394.808219178082</v>
      </c>
    </row>
    <row r="21" customFormat="false" ht="15" hidden="false" customHeight="false" outlineLevel="0" collapsed="false">
      <c r="A21" s="9" t="n">
        <v>15</v>
      </c>
      <c r="B21" s="9" t="s">
        <v>1702</v>
      </c>
      <c r="C21" s="20" t="n">
        <f aca="false">INDEX(eng_avg_cpb,MATCH(900015,eng_key,0))</f>
        <v>0.2607315557267</v>
      </c>
      <c r="D21" s="71" t="n">
        <f aca="false">C21-$C$6</f>
        <v>-0.0059024908511392</v>
      </c>
      <c r="E21" s="26" t="n">
        <f aca="false">INDEX(eng_GM,MATCH(900015,eng_key,0))</f>
        <v>-0.0729693651304541</v>
      </c>
      <c r="F21" s="26" t="n">
        <f aca="false">INDEX(eng_CM,MATCH(900015,eng_key,0))</f>
        <v>-0.321179634801008</v>
      </c>
      <c r="G21" s="65" t="n">
        <f aca="false">INDEX(eng_CONTRIB,MATCH(900015,eng_key,0))</f>
        <v>-5950.19864515535</v>
      </c>
      <c r="H21" s="72" t="n">
        <f aca="false">G21-$G$6</f>
        <v>455.54794520548</v>
      </c>
      <c r="I21" s="10" t="n">
        <f aca="false">RANK(ABS(H21-H22),$J$7:$J$35)</f>
        <v>10</v>
      </c>
      <c r="J21" s="73" t="n">
        <f aca="false">ABS(H21-H22)</f>
        <v>911.095890410959</v>
      </c>
    </row>
    <row r="22" customFormat="false" ht="15" hidden="false" customHeight="false" outlineLevel="0" collapsed="false">
      <c r="A22" s="9" t="n">
        <v>16</v>
      </c>
      <c r="B22" s="9" t="s">
        <v>1703</v>
      </c>
      <c r="C22" s="20" t="n">
        <f aca="false">INDEX(eng_avg_cpb,MATCH(900016,eng_key,0))</f>
        <v>0.272536537428979</v>
      </c>
      <c r="D22" s="71" t="n">
        <f aca="false">C22-$C$6</f>
        <v>0.00590249085113914</v>
      </c>
      <c r="E22" s="26" t="n">
        <f aca="false">INDEX(eng_GM,MATCH(900016,eng_key,0))</f>
        <v>-0.121549536744768</v>
      </c>
      <c r="F22" s="26" t="n">
        <f aca="false">INDEX(eng_CM,MATCH(900016,eng_key,0))</f>
        <v>-0.370358740037964</v>
      </c>
      <c r="G22" s="65" t="n">
        <f aca="false">INDEX(eng_CONTRIB,MATCH(900016,eng_key,0))</f>
        <v>-6861.29453556631</v>
      </c>
      <c r="H22" s="72" t="n">
        <f aca="false">G22-$G$6</f>
        <v>-455.54794520548</v>
      </c>
    </row>
    <row r="23" customFormat="false" ht="15" hidden="false" customHeight="false" outlineLevel="0" collapsed="false">
      <c r="A23" s="9" t="n">
        <v>17</v>
      </c>
      <c r="B23" s="9" t="s">
        <v>1704</v>
      </c>
      <c r="C23" s="20" t="n">
        <f aca="false">INDEX(eng_avg_cpb,MATCH(900017,eng_key,0))</f>
        <v>0.26663404657784</v>
      </c>
      <c r="D23" s="71" t="n">
        <f aca="false">C23-$C$6</f>
        <v>0</v>
      </c>
      <c r="E23" s="26" t="n">
        <f aca="false">INDEX(eng_GM,MATCH(900017,eng_key,0))</f>
        <v>-0.0972594509376113</v>
      </c>
      <c r="F23" s="26" t="n">
        <f aca="false">INDEX(eng_CM,MATCH(900017,eng_key,0))</f>
        <v>-0.344116212600087</v>
      </c>
      <c r="G23" s="65" t="n">
        <f aca="false">INDEX(eng_CONTRIB,MATCH(900017,eng_key,0))</f>
        <v>-6375.12345157759</v>
      </c>
      <c r="H23" s="72" t="n">
        <f aca="false">G23-$G$6</f>
        <v>30.6231387832358</v>
      </c>
      <c r="I23" s="10" t="n">
        <f aca="false">RANK(ABS(H23-H24),$J$7:$J$35)</f>
        <v>6</v>
      </c>
      <c r="J23" s="73" t="n">
        <f aca="false">ABS(H23-H24)</f>
        <v>1842.64941435798</v>
      </c>
    </row>
    <row r="24" customFormat="false" ht="15" hidden="false" customHeight="false" outlineLevel="0" collapsed="false">
      <c r="A24" s="9" t="n">
        <v>18</v>
      </c>
      <c r="B24" s="9" t="s">
        <v>1705</v>
      </c>
      <c r="C24" s="20" t="n">
        <f aca="false">INDEX(eng_avg_cpb,MATCH(900018,eng_key,0))</f>
        <v>0.29026834692939</v>
      </c>
      <c r="D24" s="71" t="n">
        <f aca="false">C24-$C$6</f>
        <v>0.0236343003515509</v>
      </c>
      <c r="E24" s="26" t="n">
        <f aca="false">INDEX(eng_GM,MATCH(900018,eng_key,0))</f>
        <v>-0.194519946211483</v>
      </c>
      <c r="F24" s="26" t="n">
        <f aca="false">INDEX(eng_CM,MATCH(900018,eng_key,0))</f>
        <v>-0.443578684571783</v>
      </c>
      <c r="G24" s="65" t="n">
        <f aca="false">INDEX(eng_CONTRIB,MATCH(900018,eng_key,0))</f>
        <v>-8217.77286593557</v>
      </c>
      <c r="H24" s="72" t="n">
        <f aca="false">G24-$G$6</f>
        <v>-1812.02627557475</v>
      </c>
    </row>
    <row r="25" customFormat="false" ht="15" hidden="false" customHeight="false" outlineLevel="0" collapsed="false">
      <c r="A25" s="9" t="n">
        <v>19</v>
      </c>
      <c r="B25" s="9" t="s">
        <v>1706</v>
      </c>
      <c r="C25" s="20" t="n">
        <f aca="false">INDEX(eng_avg_cpb,MATCH(900019,eng_key,0))</f>
        <v>0.263954307416253</v>
      </c>
      <c r="D25" s="71" t="n">
        <f aca="false">C25-$C$6</f>
        <v>-0.00267973916158637</v>
      </c>
      <c r="E25" s="26" t="n">
        <f aca="false">INDEX(eng_GM,MATCH(900019,eng_key,0))</f>
        <v>-0.086231717762359</v>
      </c>
      <c r="F25" s="26" t="n">
        <f aca="false">INDEX(eng_CM,MATCH(900019,eng_key,0))</f>
        <v>-0.332826783525823</v>
      </c>
      <c r="G25" s="65" t="n">
        <f aca="false">INDEX(eng_CONTRIB,MATCH(900019,eng_key,0))</f>
        <v>-6228.57334636083</v>
      </c>
      <c r="H25" s="72" t="n">
        <f aca="false">G25-$G$6</f>
        <v>177.173243999999</v>
      </c>
      <c r="I25" s="10" t="n">
        <f aca="false">RANK(ABS(H25-H26),$J$7:$J$35)</f>
        <v>12</v>
      </c>
      <c r="J25" s="73" t="n">
        <f aca="false">ABS(H25-H26)</f>
        <v>620.106353999997</v>
      </c>
    </row>
    <row r="26" customFormat="false" ht="15" hidden="false" customHeight="false" outlineLevel="0" collapsed="false">
      <c r="A26" s="9" t="n">
        <v>20</v>
      </c>
      <c r="B26" s="9" t="s">
        <v>1707</v>
      </c>
      <c r="C26" s="20" t="n">
        <f aca="false">INDEX(eng_avg_cpb,MATCH(900020,eng_key,0))</f>
        <v>0.273577641540804</v>
      </c>
      <c r="D26" s="71" t="n">
        <f aca="false">C26-$C$6</f>
        <v>0.00694359496296454</v>
      </c>
      <c r="E26" s="26" t="n">
        <f aca="false">INDEX(eng_GM,MATCH(900020,eng_key,0))</f>
        <v>-0.125833915805778</v>
      </c>
      <c r="F26" s="26" t="n">
        <f aca="false">INDEX(eng_CM,MATCH(900020,eng_key,0))</f>
        <v>-0.379304843341868</v>
      </c>
      <c r="G26" s="65" t="n">
        <f aca="false">INDEX(eng_CONTRIB,MATCH(900020,eng_key,0))</f>
        <v>-6848.67970036082</v>
      </c>
      <c r="H26" s="72" t="n">
        <f aca="false">G26-$G$6</f>
        <v>-442.933109999998</v>
      </c>
    </row>
    <row r="27" customFormat="false" ht="15" hidden="false" customHeight="false" outlineLevel="0" collapsed="false">
      <c r="A27" s="9" t="n">
        <v>21</v>
      </c>
      <c r="B27" s="9" t="s">
        <v>1708</v>
      </c>
      <c r="C27" s="20" t="n">
        <f aca="false">INDEX(eng_avg_cpb,MATCH(900021,eng_key,0))</f>
        <v>0.26663404657784</v>
      </c>
      <c r="D27" s="71" t="n">
        <f aca="false">C27-$C$6</f>
        <v>0</v>
      </c>
      <c r="E27" s="26" t="n">
        <f aca="false">INDEX(eng_GM,MATCH(900021,eng_key,0))</f>
        <v>-0.0286807352540105</v>
      </c>
      <c r="F27" s="26" t="n">
        <f aca="false">INDEX(eng_CM,MATCH(900021,eng_key,0))</f>
        <v>-0.265283613205768</v>
      </c>
      <c r="G27" s="65" t="n">
        <f aca="false">INDEX(eng_CONTRIB,MATCH(900021,eng_key,0))</f>
        <v>-5242.30895476083</v>
      </c>
      <c r="H27" s="72" t="n">
        <f aca="false">G27-$G$6</f>
        <v>1163.4376356</v>
      </c>
      <c r="I27" s="10" t="n">
        <f aca="false">RANK(ABS(H27-H28),$J$7:$J$35)</f>
        <v>4</v>
      </c>
      <c r="J27" s="73" t="n">
        <f aca="false">ABS(H27-H28)</f>
        <v>2326.8752712</v>
      </c>
    </row>
    <row r="28" customFormat="false" ht="15" hidden="false" customHeight="false" outlineLevel="0" collapsed="false">
      <c r="A28" s="9" t="n">
        <v>22</v>
      </c>
      <c r="B28" s="9" t="s">
        <v>1709</v>
      </c>
      <c r="C28" s="20" t="n">
        <f aca="false">INDEX(eng_avg_cpb,MATCH(900022,eng_key,0))</f>
        <v>0.26663404657784</v>
      </c>
      <c r="D28" s="71" t="n">
        <f aca="false">C28-$C$6</f>
        <v>0</v>
      </c>
      <c r="E28" s="26" t="n">
        <f aca="false">INDEX(eng_GM,MATCH(900022,eng_key,0))</f>
        <v>-0.175635126004584</v>
      </c>
      <c r="F28" s="26" t="n">
        <f aca="false">INDEX(eng_CM,MATCH(900022,eng_key,0))</f>
        <v>-0.437752700806592</v>
      </c>
      <c r="G28" s="65" t="n">
        <f aca="false">INDEX(eng_CONTRIB,MATCH(900022,eng_key,0))</f>
        <v>-7569.18422596083</v>
      </c>
      <c r="H28" s="72" t="n">
        <f aca="false">G28-$G$6</f>
        <v>-1163.4376356</v>
      </c>
    </row>
    <row r="29" customFormat="false" ht="15" hidden="false" customHeight="false" outlineLevel="0" collapsed="false">
      <c r="A29" s="9" t="n">
        <v>23</v>
      </c>
      <c r="B29" s="9" t="s">
        <v>1710</v>
      </c>
      <c r="C29" s="20" t="n">
        <f aca="false">INDEX(eng_avg_cpb,MATCH(900023,eng_key,0))</f>
        <v>0.26663404657784</v>
      </c>
      <c r="D29" s="71" t="n">
        <f aca="false">C29-$C$6</f>
        <v>0</v>
      </c>
      <c r="E29" s="26" t="n">
        <f aca="false">INDEX(eng_GM,MATCH(900023,eng_key,0))</f>
        <v>-0.0518108346265861</v>
      </c>
      <c r="F29" s="26" t="n">
        <f aca="false">INDEX(eng_CM,MATCH(900023,eng_key,0))</f>
        <v>-0.292429635277851</v>
      </c>
      <c r="G29" s="65" t="n">
        <f aca="false">INDEX(eng_CONTRIB,MATCH(900023,eng_key,0))</f>
        <v>-5651.66664136083</v>
      </c>
      <c r="H29" s="72" t="n">
        <f aca="false">G29-$G$6</f>
        <v>754.079948999997</v>
      </c>
      <c r="I29" s="10" t="n">
        <f aca="false">RANK(ABS(H29-H30),$J$7:$J$35)</f>
        <v>9</v>
      </c>
      <c r="J29" s="73" t="n">
        <f aca="false">ABS(H29-H30)</f>
        <v>1508.159898</v>
      </c>
    </row>
    <row r="30" customFormat="false" ht="15" hidden="false" customHeight="false" outlineLevel="0" collapsed="false">
      <c r="A30" s="9" t="n">
        <v>24</v>
      </c>
      <c r="B30" s="9" t="s">
        <v>1711</v>
      </c>
      <c r="C30" s="20" t="n">
        <f aca="false">INDEX(eng_avg_cpb,MATCH(900024,eng_key,0))</f>
        <v>0.26663404657784</v>
      </c>
      <c r="D30" s="71" t="n">
        <f aca="false">C30-$C$6</f>
        <v>0</v>
      </c>
      <c r="E30" s="26" t="n">
        <f aca="false">INDEX(eng_GM,MATCH(900024,eng_key,0))</f>
        <v>-0.1468131035606</v>
      </c>
      <c r="F30" s="26" t="n">
        <f aca="false">INDEX(eng_CM,MATCH(900024,eng_key,0))</f>
        <v>-0.403926505561011</v>
      </c>
      <c r="G30" s="65" t="n">
        <f aca="false">INDEX(eng_CONTRIB,MATCH(900024,eng_key,0))</f>
        <v>-7159.82653936083</v>
      </c>
      <c r="H30" s="72" t="n">
        <f aca="false">G30-$G$6</f>
        <v>-754.079949</v>
      </c>
    </row>
    <row r="31" customFormat="false" ht="15" hidden="false" customHeight="false" outlineLevel="0" collapsed="false">
      <c r="A31" s="9" t="n">
        <v>25</v>
      </c>
      <c r="B31" s="9" t="s">
        <v>1712</v>
      </c>
      <c r="C31" s="20" t="n">
        <f aca="false">INDEX(eng_avg_cpb,MATCH(900025,eng_key,0))</f>
        <v>0.26663404657784</v>
      </c>
      <c r="D31" s="71" t="n">
        <f aca="false">C31-$C$6</f>
        <v>0</v>
      </c>
      <c r="E31" s="26" t="n">
        <f aca="false">INDEX(eng_GM,MATCH(900025,eng_key,0))</f>
        <v>-0.0972594509376113</v>
      </c>
      <c r="F31" s="26" t="n">
        <f aca="false">INDEX(eng_CM,MATCH(900025,eng_key,0))</f>
        <v>-0.340705333835561</v>
      </c>
      <c r="G31" s="65" t="n">
        <f aca="false">INDEX(eng_CONTRIB,MATCH(900025,eng_key,0))</f>
        <v>-6311.9332489483</v>
      </c>
      <c r="H31" s="72" t="n">
        <f aca="false">G31-$G$6</f>
        <v>93.8133414125259</v>
      </c>
      <c r="I31" s="10" t="n">
        <f aca="false">RANK(ABS(H31-H32),$J$7:$J$35)</f>
        <v>14</v>
      </c>
      <c r="J31" s="73" t="n">
        <f aca="false">ABS(H31-H32)</f>
        <v>375.253365650103</v>
      </c>
    </row>
    <row r="32" customFormat="false" ht="15" hidden="false" customHeight="false" outlineLevel="0" collapsed="false">
      <c r="A32" s="9" t="n">
        <v>26</v>
      </c>
      <c r="B32" s="9" t="s">
        <v>1713</v>
      </c>
      <c r="C32" s="20" t="n">
        <f aca="false">INDEX(eng_avg_cpb,MATCH(900026,eng_key,0))</f>
        <v>0.26663404657784</v>
      </c>
      <c r="D32" s="71" t="n">
        <f aca="false">C32-$C$6</f>
        <v>0</v>
      </c>
      <c r="E32" s="26" t="n">
        <f aca="false">INDEX(eng_GM,MATCH(900026,eng_key,0))</f>
        <v>-0.0972594509376113</v>
      </c>
      <c r="F32" s="26" t="n">
        <f aca="false">INDEX(eng_CM,MATCH(900026,eng_key,0))</f>
        <v>-0.360960748171262</v>
      </c>
      <c r="G32" s="65" t="n">
        <f aca="false">INDEX(eng_CONTRIB,MATCH(900026,eng_key,0))</f>
        <v>-6687.1866145984</v>
      </c>
      <c r="H32" s="72" t="n">
        <f aca="false">G32-$G$6</f>
        <v>-281.440024237577</v>
      </c>
    </row>
    <row r="33" customFormat="false" ht="15" hidden="false" customHeight="false" outlineLevel="0" collapsed="false">
      <c r="A33" s="9" t="n">
        <v>27</v>
      </c>
      <c r="B33" s="9" t="s">
        <v>1714</v>
      </c>
      <c r="C33" s="20" t="n">
        <f aca="false">INDEX(eng_avg_cpb,MATCH(900027,eng_key,0))</f>
        <v>0.265938134708151</v>
      </c>
      <c r="D33" s="71" t="n">
        <f aca="false">C33-$C$6</f>
        <v>-0.000695911869688259</v>
      </c>
      <c r="E33" s="26" t="n">
        <f aca="false">INDEX(eng_GM,MATCH(900027,eng_key,0))</f>
        <v>-0.0943956160829272</v>
      </c>
      <c r="F33" s="26" t="n">
        <f aca="false">INDEX(eng_CM,MATCH(900027,eng_key,0))</f>
        <v>-0.342844937418552</v>
      </c>
      <c r="G33" s="65" t="n">
        <f aca="false">INDEX(eng_CONTRIB,MATCH(900027,eng_key,0))</f>
        <v>-6351.57170967628</v>
      </c>
      <c r="H33" s="72" t="n">
        <f aca="false">G33-$G$6</f>
        <v>54.1748806845453</v>
      </c>
      <c r="I33" s="10" t="n">
        <f aca="false">RANK(ABS(H33-H34),$J$7:$J$35)</f>
        <v>15</v>
      </c>
      <c r="J33" s="73" t="n">
        <f aca="false">ABS(H33-H34)</f>
        <v>135.437201711362</v>
      </c>
    </row>
    <row r="34" customFormat="false" ht="15" hidden="false" customHeight="false" outlineLevel="0" collapsed="false">
      <c r="A34" s="9" t="n">
        <v>28</v>
      </c>
      <c r="B34" s="9" t="s">
        <v>1715</v>
      </c>
      <c r="C34" s="20" t="n">
        <f aca="false">INDEX(eng_avg_cpb,MATCH(900028,eng_key,0))</f>
        <v>0.267677914382372</v>
      </c>
      <c r="D34" s="71" t="n">
        <f aca="false">C34-$C$6</f>
        <v>0.00104386780453231</v>
      </c>
      <c r="E34" s="26" t="n">
        <f aca="false">INDEX(eng_GM,MATCH(900028,eng_key,0))</f>
        <v>-0.101555203219637</v>
      </c>
      <c r="F34" s="26" t="n">
        <f aca="false">INDEX(eng_CM,MATCH(900028,eng_key,0))</f>
        <v>-0.350155562420886</v>
      </c>
      <c r="G34" s="65" t="n">
        <f aca="false">INDEX(eng_CONTRIB,MATCH(900028,eng_key,0))</f>
        <v>-6487.00891138764</v>
      </c>
      <c r="H34" s="72" t="n">
        <f aca="false">G34-$G$6</f>
        <v>-81.2623210268166</v>
      </c>
    </row>
    <row r="35" customFormat="false" ht="15" hidden="false" customHeight="false" outlineLevel="0" collapsed="false">
      <c r="A35" s="9" t="n">
        <v>29</v>
      </c>
      <c r="B35" s="9" t="s">
        <v>1716</v>
      </c>
      <c r="C35" s="20" t="n">
        <f aca="false">INDEX(eng_avg_cpb,MATCH(900029,eng_key,0))</f>
        <v>0.26663404657784</v>
      </c>
      <c r="D35" s="71" t="n">
        <f aca="false">C35-$C$6</f>
        <v>0</v>
      </c>
      <c r="E35" s="26" t="n">
        <f aca="false">INDEX(eng_GM,MATCH(900029,eng_key,0))</f>
        <v>-0.0972594509376113</v>
      </c>
      <c r="F35" s="26" t="n">
        <f aca="false">INDEX(eng_CM,MATCH(900029,eng_key,0))</f>
        <v>-0.325769187419486</v>
      </c>
      <c r="G35" s="65" t="n">
        <f aca="false">INDEX(eng_CONTRIB,MATCH(900029,eng_key,0))</f>
        <v>-6035.22505036083</v>
      </c>
      <c r="H35" s="72" t="n">
        <f aca="false">G35-$G$6</f>
        <v>370.52154</v>
      </c>
      <c r="I35" s="10" t="n">
        <f aca="false">RANK(ABS(H35-H36),$J$7:$J$35)</f>
        <v>11</v>
      </c>
      <c r="J35" s="73" t="n">
        <f aca="false">ABS(H35-H36)</f>
        <v>741.04308</v>
      </c>
    </row>
    <row r="36" customFormat="false" ht="15" hidden="false" customHeight="false" outlineLevel="0" collapsed="false">
      <c r="A36" s="9" t="n">
        <v>30</v>
      </c>
      <c r="B36" s="9" t="s">
        <v>1717</v>
      </c>
      <c r="C36" s="20" t="n">
        <f aca="false">INDEX(eng_avg_cpb,MATCH(900030,eng_key,0))</f>
        <v>0.26663404657784</v>
      </c>
      <c r="D36" s="71" t="n">
        <f aca="false">C36-$C$6</f>
        <v>0</v>
      </c>
      <c r="E36" s="26" t="n">
        <f aca="false">INDEX(eng_GM,MATCH(900030,eng_key,0))</f>
        <v>-0.0972594509376113</v>
      </c>
      <c r="F36" s="26" t="n">
        <f aca="false">INDEX(eng_CM,MATCH(900030,eng_key,0))</f>
        <v>-0.365769187419486</v>
      </c>
      <c r="G36" s="65" t="n">
        <f aca="false">INDEX(eng_CONTRIB,MATCH(900030,eng_key,0))</f>
        <v>-6776.26813036083</v>
      </c>
      <c r="H36" s="72" t="n">
        <f aca="false">G36-$G$6</f>
        <v>-370.52154</v>
      </c>
    </row>
    <row r="37" customFormat="false" ht="15" hidden="false" customHeight="false" outlineLevel="0" collapsed="false">
      <c r="A37" s="9" t="n">
        <v>31</v>
      </c>
      <c r="B37" s="9" t="s">
        <v>1718</v>
      </c>
      <c r="C37" s="20" t="n">
        <f aca="false">INDEX(eng_avg_cpb,MATCH(900031,eng_key,0))</f>
        <v>0.26663404657784</v>
      </c>
      <c r="D37" s="71" t="n">
        <f aca="false">C37-$C$6</f>
        <v>0</v>
      </c>
      <c r="E37" s="26" t="n">
        <f aca="false">INDEX(eng_GM,MATCH(900031,eng_key,0))</f>
        <v>-0.0972594509376113</v>
      </c>
      <c r="F37" s="26" t="n">
        <f aca="false">INDEX(eng_CM,MATCH(900031,eng_key,0))</f>
        <v>-0.20720108756374</v>
      </c>
      <c r="G37" s="65" t="n">
        <f aca="false">INDEX(eng_CONTRIB,MATCH(900031,eng_key,0))</f>
        <v>-3838.62330268959</v>
      </c>
      <c r="H37" s="72" t="n">
        <f aca="false">G37-$G$6</f>
        <v>2567.12328767123</v>
      </c>
    </row>
    <row r="38" customFormat="false" ht="15" hidden="false" customHeight="false" outlineLevel="0" collapsed="false">
      <c r="A38" s="9" t="n">
        <v>32</v>
      </c>
      <c r="B38" s="9" t="s">
        <v>1719</v>
      </c>
      <c r="C38" s="20" t="n">
        <f aca="false">INDEX(eng_avg_cpb,MATCH(900032,eng_key,0))</f>
        <v>0.26663404657784</v>
      </c>
      <c r="D38" s="71" t="n">
        <f aca="false">C38-$C$6</f>
        <v>0</v>
      </c>
      <c r="E38" s="26" t="n">
        <f aca="false">INDEX(eng_GM,MATCH(900032,eng_key,0))</f>
        <v>0.177055411796792</v>
      </c>
      <c r="F38" s="26" t="n">
        <f aca="false">INDEX(eng_CM,MATCH(900032,eng_key,0))</f>
        <v>-0.0238268905646144</v>
      </c>
      <c r="G38" s="65" t="n">
        <f aca="false">INDEX(eng_CONTRIB,MATCH(900032,eng_key,0))</f>
        <v>-588.558412360826</v>
      </c>
      <c r="H38" s="72" t="n">
        <f aca="false">G38-$G$6</f>
        <v>5817.188178</v>
      </c>
    </row>
    <row r="39" customFormat="false" ht="15" hidden="false" customHeight="false" outlineLevel="0" collapsed="false">
      <c r="A39" s="9" t="n">
        <v>33</v>
      </c>
      <c r="B39" s="9" t="s">
        <v>1720</v>
      </c>
      <c r="C39" s="20" t="n">
        <f aca="false">INDEX(eng_avg_cpb,MATCH(900033,eng_key,0))</f>
        <v>0.26663404657784</v>
      </c>
      <c r="D39" s="71" t="n">
        <f aca="false">C39-$C$6</f>
        <v>0</v>
      </c>
      <c r="E39" s="26" t="n">
        <f aca="false">INDEX(eng_GM,MATCH(900033,eng_key,0))</f>
        <v>0.122192439249911</v>
      </c>
      <c r="F39" s="26" t="n">
        <f aca="false">INDEX(eng_CM,MATCH(900033,eng_key,0))</f>
        <v>-0.0882153499355886</v>
      </c>
      <c r="G39" s="65" t="n">
        <f aca="false">INDEX(eng_CONTRIB,MATCH(900033,eng_key,0))</f>
        <v>-2042.85545686083</v>
      </c>
      <c r="H39" s="72" t="n">
        <f aca="false">G39-$G$6</f>
        <v>4362.8911335</v>
      </c>
    </row>
    <row r="41" customFormat="false" ht="15" hidden="false" customHeight="false" outlineLevel="0" collapsed="false">
      <c r="A41" s="3" t="s">
        <v>1721</v>
      </c>
      <c r="B41" s="4"/>
      <c r="C41" s="4"/>
      <c r="D41" s="4"/>
      <c r="E41" s="4"/>
      <c r="F41" s="4"/>
      <c r="G41" s="4"/>
      <c r="H41" s="4"/>
      <c r="I41" s="4"/>
    </row>
    <row r="42" customFormat="false" ht="15" hidden="false" customHeight="false" outlineLevel="0" collapsed="false">
      <c r="A42" s="13"/>
      <c r="B42" s="13" t="s">
        <v>1722</v>
      </c>
      <c r="C42" s="13" t="s">
        <v>14</v>
      </c>
      <c r="D42" s="13" t="s">
        <v>18</v>
      </c>
      <c r="E42" s="13"/>
      <c r="F42" s="13"/>
      <c r="G42" s="13" t="s">
        <v>1723</v>
      </c>
    </row>
    <row r="43" customFormat="false" ht="15" hidden="false" customHeight="false" outlineLevel="0" collapsed="false">
      <c r="B43" s="9" t="s">
        <v>1724</v>
      </c>
      <c r="C43" s="69" t="n">
        <f aca="false">INDEX(eng_f_be,sel_row)-1</f>
        <v>0.367058585371004</v>
      </c>
      <c r="D43" s="9" t="s">
        <v>41</v>
      </c>
      <c r="G43" s="9" t="s">
        <v>1725</v>
      </c>
    </row>
    <row r="44" customFormat="false" ht="15" hidden="false" customHeight="false" outlineLevel="0" collapsed="false">
      <c r="B44" s="9" t="s">
        <v>1726</v>
      </c>
      <c r="C44" s="69" t="n">
        <f aca="false">INDEX(eng_chg_gm_0,sel_row)</f>
        <v>-0.140838487728049</v>
      </c>
      <c r="D44" s="9" t="s">
        <v>48</v>
      </c>
      <c r="G44" s="9" t="s">
        <v>1727</v>
      </c>
    </row>
    <row r="45" customFormat="false" ht="15" hidden="false" customHeight="false" outlineLevel="0" collapsed="false">
      <c r="B45" s="9" t="s">
        <v>1728</v>
      </c>
      <c r="C45" s="69" t="n">
        <f aca="false">INDEX(eng_chg_gm_t,sel_row)</f>
        <v>-0.502855973870326</v>
      </c>
      <c r="D45" s="9" t="s">
        <v>48</v>
      </c>
      <c r="G45" s="9" t="s">
        <v>1729</v>
      </c>
    </row>
    <row r="46" customFormat="false" ht="15" hidden="false" customHeight="false" outlineLevel="0" collapsed="false">
      <c r="B46" s="9" t="s">
        <v>1730</v>
      </c>
      <c r="C46" s="70" t="n">
        <f aca="false">INDEX(eng_max_ocean,sel_row)</f>
        <v>-2433.35532704791</v>
      </c>
      <c r="D46" s="9" t="s">
        <v>819</v>
      </c>
      <c r="G46" s="9" t="s">
        <v>1731</v>
      </c>
    </row>
    <row r="47" customFormat="false" ht="15" hidden="false" customHeight="false" outlineLevel="0" collapsed="false">
      <c r="B47" s="9" t="s">
        <v>1732</v>
      </c>
      <c r="C47" s="42" t="n">
        <f aca="false">INDEX(eng_u_be_0,sel_row)</f>
        <v>101728.565399837</v>
      </c>
      <c r="D47" s="9" t="s">
        <v>21</v>
      </c>
      <c r="G47" s="9" t="s">
        <v>1733</v>
      </c>
    </row>
    <row r="48" customFormat="false" ht="15" hidden="false" customHeight="false" outlineLevel="0" collapsed="false">
      <c r="B48" s="9" t="s">
        <v>1734</v>
      </c>
      <c r="C48" s="42" t="n">
        <f aca="false">INDEX(eng_u_be_t,sel_row)</f>
        <v>529694.485121035</v>
      </c>
      <c r="D48" s="9" t="s">
        <v>21</v>
      </c>
      <c r="G48" s="9" t="s">
        <v>1735</v>
      </c>
    </row>
    <row r="49" customFormat="false" ht="15" hidden="false" customHeight="false" outlineLevel="0" collapsed="false">
      <c r="B49" s="9" t="s">
        <v>1736</v>
      </c>
      <c r="C49" s="74" t="n">
        <f aca="false">INDEX(eng_maxexw_3464,sel_row)</f>
        <v>3.57999310688847</v>
      </c>
      <c r="D49" s="9" t="s">
        <v>32</v>
      </c>
      <c r="G49" s="9" t="s">
        <v>1737</v>
      </c>
    </row>
    <row r="50" customFormat="false" ht="15" hidden="false" customHeight="false" outlineLevel="0" collapsed="false">
      <c r="B50" s="9" t="s">
        <v>1738</v>
      </c>
      <c r="C50" s="74" t="n">
        <f aca="false">INDEX(eng_maxexw_3463,sel_row)</f>
        <v>3.99978735328661</v>
      </c>
      <c r="D50" s="9" t="s">
        <v>32</v>
      </c>
      <c r="G50" s="9" t="s">
        <v>1739</v>
      </c>
    </row>
    <row r="51" customFormat="false" ht="15" hidden="false" customHeight="false" outlineLevel="0" collapsed="false">
      <c r="B51" s="9" t="s">
        <v>1740</v>
      </c>
      <c r="C51" s="74" t="n">
        <f aca="false">INDEX(eng_maxexw_3460,sel_row)</f>
        <v>4.00445073645962</v>
      </c>
      <c r="D51" s="9" t="s">
        <v>32</v>
      </c>
      <c r="G51" s="9" t="s">
        <v>1741</v>
      </c>
    </row>
    <row r="53" customFormat="false" ht="15" hidden="false" customHeight="false" outlineLevel="0" collapsed="false">
      <c r="A53" s="3" t="s">
        <v>1742</v>
      </c>
      <c r="B53" s="4"/>
      <c r="C53" s="4"/>
      <c r="D53" s="4"/>
      <c r="E53" s="4"/>
      <c r="F53" s="4"/>
      <c r="G53" s="4"/>
      <c r="H53" s="4"/>
      <c r="I53" s="4"/>
    </row>
    <row r="54" customFormat="false" ht="15" hidden="false" customHeight="false" outlineLevel="0" collapsed="false">
      <c r="A54" s="13" t="s">
        <v>356</v>
      </c>
      <c r="B54" s="13" t="s">
        <v>1743</v>
      </c>
      <c r="C54" s="13" t="s">
        <v>769</v>
      </c>
      <c r="D54" s="13" t="s">
        <v>1744</v>
      </c>
      <c r="E54" s="13" t="s">
        <v>1745</v>
      </c>
      <c r="F54" s="13" t="s">
        <v>1659</v>
      </c>
      <c r="G54" s="13" t="s">
        <v>1661</v>
      </c>
      <c r="H54" s="13" t="s">
        <v>114</v>
      </c>
    </row>
    <row r="55" customFormat="false" ht="15" hidden="false" customHeight="false" outlineLevel="0" collapsed="false">
      <c r="A55" s="9" t="n">
        <v>1</v>
      </c>
      <c r="B55" s="9" t="s">
        <v>1746</v>
      </c>
      <c r="C55" s="15" t="n">
        <f aca="false">INDEX(eng_U,MATCH(950001,eng_key,0))</f>
        <v>77400</v>
      </c>
      <c r="D55" s="20" t="n">
        <f aca="false">INDEX(eng_avg_cpb,MATCH(950001,eng_key,0))</f>
        <v>0.26663404657784</v>
      </c>
      <c r="E55" s="20" t="n">
        <f aca="false">INDEX(eng_avg_price,MATCH(950001,eng_key,0))</f>
        <v>0.243</v>
      </c>
      <c r="F55" s="26" t="n">
        <f aca="false">INDEX(eng_GM,MATCH(950001,eng_key,0))</f>
        <v>-0.0972594509376113</v>
      </c>
      <c r="G55" s="26" t="n">
        <f aca="false">INDEX(eng_CM,MATCH(950001,eng_key,0))</f>
        <v>-0.345769187419486</v>
      </c>
      <c r="H55" s="65" t="n">
        <f aca="false">INDEX(eng_CONTRIB,MATCH(950001,eng_key,0))</f>
        <v>-6405.74659036083</v>
      </c>
    </row>
    <row r="56" customFormat="false" ht="15" hidden="false" customHeight="false" outlineLevel="0" collapsed="false">
      <c r="A56" s="9" t="n">
        <v>2</v>
      </c>
      <c r="B56" s="9" t="s">
        <v>1747</v>
      </c>
      <c r="C56" s="15" t="n">
        <f aca="false">INDEX(eng_U,MATCH(950002,eng_key,0))</f>
        <v>77400</v>
      </c>
      <c r="D56" s="20" t="n">
        <f aca="false">INDEX(eng_avg_cpb,MATCH(950002,eng_key,0))</f>
        <v>0.248043232240549</v>
      </c>
      <c r="E56" s="20" t="n">
        <f aca="false">INDEX(eng_avg_price,MATCH(950002,eng_key,0))</f>
        <v>0.243</v>
      </c>
      <c r="F56" s="26" t="n">
        <f aca="false">INDEX(eng_GM,MATCH(950002,eng_key,0))</f>
        <v>-0.0207540421421781</v>
      </c>
      <c r="G56" s="26" t="n">
        <f aca="false">INDEX(eng_CM,MATCH(950002,eng_key,0))</f>
        <v>-0.268278640483399</v>
      </c>
      <c r="H56" s="65" t="n">
        <f aca="false">INDEX(eng_CONTRIB,MATCH(950002,eng_key,0))</f>
        <v>-4970.15075105077</v>
      </c>
    </row>
    <row r="57" customFormat="false" ht="15" hidden="false" customHeight="false" outlineLevel="0" collapsed="false">
      <c r="A57" s="9" t="n">
        <v>3</v>
      </c>
      <c r="B57" s="9" t="s">
        <v>1748</v>
      </c>
      <c r="C57" s="15" t="n">
        <f aca="false">INDEX(eng_U,MATCH(950003,eng_key,0))</f>
        <v>77400</v>
      </c>
      <c r="D57" s="20" t="n">
        <f aca="false">INDEX(eng_avg_cpb,MATCH(950003,eng_key,0))</f>
        <v>0.225673159616793</v>
      </c>
      <c r="E57" s="20" t="n">
        <f aca="false">INDEX(eng_avg_price,MATCH(950003,eng_key,0))</f>
        <v>0.243</v>
      </c>
      <c r="F57" s="26" t="n">
        <f aca="false">INDEX(eng_GM,MATCH(950003,eng_key,0))</f>
        <v>0.0713038698897401</v>
      </c>
      <c r="G57" s="26" t="n">
        <f aca="false">INDEX(eng_CM,MATCH(950003,eng_key,0))</f>
        <v>-0.17376997046429</v>
      </c>
      <c r="H57" s="65" t="n">
        <f aca="false">INDEX(eng_CONTRIB,MATCH(950003,eng_key,0))</f>
        <v>-3219.27585310916</v>
      </c>
    </row>
    <row r="58" customFormat="false" ht="15" hidden="false" customHeight="false" outlineLevel="0" collapsed="false">
      <c r="A58" s="9" t="n">
        <v>4</v>
      </c>
      <c r="B58" s="9" t="s">
        <v>1749</v>
      </c>
      <c r="C58" s="15" t="n">
        <f aca="false">INDEX(eng_U,MATCH(950004,eng_key,0))</f>
        <v>77400</v>
      </c>
      <c r="D58" s="20" t="n">
        <f aca="false">INDEX(eng_avg_cpb,MATCH(950004,eng_key,0))</f>
        <v>0.225673159616793</v>
      </c>
      <c r="E58" s="20" t="n">
        <f aca="false">INDEX(eng_avg_price,MATCH(950004,eng_key,0))</f>
        <v>0.27945</v>
      </c>
      <c r="F58" s="26" t="n">
        <f aca="false">INDEX(eng_GM,MATCH(950004,eng_key,0))</f>
        <v>0.192438147730209</v>
      </c>
      <c r="G58" s="26" t="n">
        <f aca="false">INDEX(eng_CM,MATCH(950004,eng_key,0))</f>
        <v>-0.0282347569254693</v>
      </c>
      <c r="H58" s="65" t="n">
        <f aca="false">INDEX(eng_CONTRIB,MATCH(950004,eng_key,0))</f>
        <v>-601.541173009156</v>
      </c>
    </row>
    <row r="59" customFormat="false" ht="15" hidden="false" customHeight="false" outlineLevel="0" collapsed="false">
      <c r="A59" s="9" t="n">
        <v>5</v>
      </c>
      <c r="B59" s="9" t="s">
        <v>1750</v>
      </c>
      <c r="C59" s="15" t="n">
        <f aca="false">INDEX(eng_U,MATCH(950005,eng_key,0))</f>
        <v>77400</v>
      </c>
      <c r="D59" s="20" t="n">
        <f aca="false">INDEX(eng_avg_cpb,MATCH(950005,eng_key,0))</f>
        <v>0.211244848647342</v>
      </c>
      <c r="E59" s="20" t="n">
        <f aca="false">INDEX(eng_avg_price,MATCH(950005,eng_key,0))</f>
        <v>0.27945</v>
      </c>
      <c r="F59" s="26" t="n">
        <f aca="false">INDEX(eng_GM,MATCH(950005,eng_key,0))</f>
        <v>0.24406924799663</v>
      </c>
      <c r="G59" s="26" t="n">
        <f aca="false">INDEX(eng_CM,MATCH(950005,eng_key,0))</f>
        <v>0.0244855473739693</v>
      </c>
      <c r="H59" s="65" t="n">
        <f aca="false">INDEX(eng_CONTRIB,MATCH(950005,eng_key,0))</f>
        <v>521.664306442899</v>
      </c>
    </row>
    <row r="60" customFormat="false" ht="15" hidden="false" customHeight="false" outlineLevel="0" collapsed="false">
      <c r="A60" s="9" t="n">
        <v>6</v>
      </c>
      <c r="B60" s="9" t="s">
        <v>1751</v>
      </c>
      <c r="C60" s="15" t="n">
        <f aca="false">INDEX(eng_U,MATCH(950006,eng_key,0))</f>
        <v>77400</v>
      </c>
      <c r="D60" s="20" t="n">
        <f aca="false">INDEX(eng_avg_cpb,MATCH(950006,eng_key,0))</f>
        <v>0.211244848647342</v>
      </c>
      <c r="E60" s="20" t="n">
        <f aca="false">INDEX(eng_avg_price,MATCH(950006,eng_key,0))</f>
        <v>0.27945</v>
      </c>
      <c r="F60" s="26" t="n">
        <f aca="false">INDEX(eng_GM,MATCH(950006,eng_key,0))</f>
        <v>0.24406924799663</v>
      </c>
      <c r="G60" s="26" t="n">
        <f aca="false">INDEX(eng_CM,MATCH(950006,eng_key,0))</f>
        <v>0.144979547248531</v>
      </c>
      <c r="H60" s="65" t="n">
        <f aca="false">INDEX(eng_CONTRIB,MATCH(950006,eng_key,0))</f>
        <v>3088.78759411413</v>
      </c>
    </row>
    <row r="62" customFormat="false" ht="31.5" hidden="false" customHeight="true" outlineLevel="0" collapsed="false">
      <c r="B62" s="16" t="s">
        <v>1752</v>
      </c>
      <c r="C62" s="16"/>
      <c r="D62" s="16"/>
      <c r="E62" s="16"/>
      <c r="F62" s="16"/>
      <c r="G62" s="16"/>
      <c r="H62" s="16"/>
      <c r="I62" s="16"/>
    </row>
  </sheetData>
  <mergeCells count="1">
    <mergeCell ref="B62:I62"/>
  </mergeCells>
  <conditionalFormatting sqref="H7:H39">
    <cfRule type="cellIs" priority="2" operator="lessThan" aboveAverage="0" equalAverage="0" bottom="0" percent="0" rank="0" text="" dxfId="1">
      <formula>0</formula>
    </cfRule>
    <cfRule type="cellIs" priority="3" operator="greaterThan" aboveAverage="0" equalAverage="0" bottom="0" percent="0" rank="0" text="" dxfId="0">
      <formula>0</formula>
    </cfRule>
  </conditionalFormatting>
  <conditionalFormatting sqref="G55:H60">
    <cfRule type="cellIs" priority="4" operator="lessThan" aboveAverage="0" equalAverage="0" bottom="0" percent="0" rank="0" text="" dxfId="1">
      <formula>0</formula>
    </cfRule>
    <cfRule type="cellIs" priority="5" operator="greaterThan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P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16" min="3" style="0" width="14"/>
  </cols>
  <sheetData>
    <row r="1" customFormat="false" ht="18.55" hidden="false" customHeight="false" outlineLevel="0" collapsed="false">
      <c r="A1" s="1" t="s">
        <v>1753</v>
      </c>
    </row>
    <row r="2" customFormat="false" ht="15" hidden="false" customHeight="false" outlineLevel="0" collapsed="false">
      <c r="A2" s="2" t="s">
        <v>1754</v>
      </c>
    </row>
    <row r="4" customFormat="false" ht="15" hidden="false" customHeight="false" outlineLevel="0" collapsed="false">
      <c r="A4" s="3" t="s">
        <v>1755</v>
      </c>
      <c r="B4" s="4"/>
      <c r="C4" s="4"/>
      <c r="D4" s="4"/>
      <c r="E4" s="4"/>
      <c r="F4" s="4"/>
      <c r="G4" s="4"/>
      <c r="H4" s="4"/>
    </row>
    <row r="5" customFormat="false" ht="15" hidden="false" customHeight="false" outlineLevel="0" collapsed="false">
      <c r="A5" s="13" t="s">
        <v>356</v>
      </c>
      <c r="B5" s="13" t="s">
        <v>113</v>
      </c>
      <c r="C5" s="13" t="s">
        <v>1756</v>
      </c>
      <c r="D5" s="13" t="s">
        <v>1757</v>
      </c>
      <c r="E5" s="13" t="s">
        <v>1758</v>
      </c>
      <c r="F5" s="13" t="s">
        <v>1759</v>
      </c>
      <c r="G5" s="13" t="s">
        <v>1760</v>
      </c>
    </row>
    <row r="6" customFormat="false" ht="15" hidden="false" customHeight="false" outlineLevel="0" collapsed="false">
      <c r="A6" s="9" t="n">
        <v>1</v>
      </c>
      <c r="B6" s="9" t="s">
        <v>743</v>
      </c>
      <c r="C6" s="20" t="n">
        <f aca="false">INDEX(eng_avg_cpb,MATCH(sel_scen*1000+1*10+1,eng_key,0))</f>
        <v>0.295333894894486</v>
      </c>
      <c r="D6" s="20" t="n">
        <f aca="false">INDEX(eng_avg_cpb,MATCH(sel_scen*1000+1*10+2,eng_key,0))</f>
        <v>0.300240832288733</v>
      </c>
      <c r="E6" s="20" t="n">
        <f aca="false">INDEX(eng_avg_cpb,MATCH(sel_scen*1000+1*10+3,eng_key,0))</f>
        <v>0.294731526028157</v>
      </c>
      <c r="F6" s="20" t="n">
        <f aca="false">INDEX(eng_avg_cpb,MATCH(sel_scen*1000+1*10+4,eng_key,0))</f>
        <v>0.302345739226127</v>
      </c>
      <c r="G6" s="20" t="n">
        <f aca="false">INDEX(eng_avg_cpb,MATCH(sel_scen*1000+1*10+5,eng_key,0))</f>
        <v>0.311922727381795</v>
      </c>
    </row>
    <row r="7" customFormat="false" ht="15" hidden="false" customHeight="false" outlineLevel="0" collapsed="false">
      <c r="A7" s="9" t="n">
        <v>2</v>
      </c>
      <c r="B7" s="9" t="s">
        <v>745</v>
      </c>
      <c r="C7" s="20" t="n">
        <f aca="false">INDEX(eng_avg_cpb,MATCH(sel_scen*1000+2*10+1,eng_key,0))</f>
        <v>0.293641847517159</v>
      </c>
      <c r="D7" s="20" t="n">
        <f aca="false">INDEX(eng_avg_cpb,MATCH(sel_scen*1000+2*10+2,eng_key,0))</f>
        <v>0.298548784911406</v>
      </c>
      <c r="E7" s="20" t="n">
        <f aca="false">INDEX(eng_avg_cpb,MATCH(sel_scen*1000+2*10+3,eng_key,0))</f>
        <v>0.293039478650831</v>
      </c>
      <c r="F7" s="20" t="n">
        <f aca="false">INDEX(eng_avg_cpb,MATCH(sel_scen*1000+2*10+4,eng_key,0))</f>
        <v>0.3006536918488</v>
      </c>
      <c r="G7" s="20" t="n">
        <f aca="false">INDEX(eng_avg_cpb,MATCH(sel_scen*1000+2*10+5,eng_key,0))</f>
        <v>0.310230680004469</v>
      </c>
    </row>
    <row r="8" customFormat="false" ht="15" hidden="false" customHeight="false" outlineLevel="0" collapsed="false">
      <c r="A8" s="9" t="n">
        <v>3</v>
      </c>
      <c r="B8" s="9" t="s">
        <v>746</v>
      </c>
      <c r="C8" s="20" t="n">
        <f aca="false">INDEX(eng_avg_cpb,MATCH(sel_scen*1000+3*10+1,eng_key,0))</f>
        <v>0.354431002552403</v>
      </c>
      <c r="D8" s="20" t="n">
        <f aca="false">INDEX(eng_avg_cpb,MATCH(sel_scen*1000+3*10+2,eng_key,0))</f>
        <v>0.364244877340897</v>
      </c>
      <c r="E8" s="20" t="n">
        <f aca="false">INDEX(eng_avg_cpb,MATCH(sel_scen*1000+3*10+3,eng_key,0))</f>
        <v>0.353727110843435</v>
      </c>
      <c r="F8" s="20" t="n">
        <f aca="false">INDEX(eng_avg_cpb,MATCH(sel_scen*1000+3*10+4,eng_key,0))</f>
        <v>0.368955537239374</v>
      </c>
      <c r="G8" s="20" t="n">
        <f aca="false">INDEX(eng_avg_cpb,MATCH(sel_scen*1000+3*10+5,eng_key,0))</f>
        <v>0.388109513550711</v>
      </c>
    </row>
    <row r="9" customFormat="false" ht="15" hidden="false" customHeight="false" outlineLevel="0" collapsed="false">
      <c r="A9" s="9" t="n">
        <v>4</v>
      </c>
      <c r="B9" s="9" t="s">
        <v>747</v>
      </c>
      <c r="C9" s="20" t="n">
        <f aca="false">INDEX(eng_avg_cpb,MATCH(sel_scen*1000+4*10+1,eng_key,0))</f>
        <v>0.26663404657784</v>
      </c>
      <c r="D9" s="20" t="n">
        <f aca="false">INDEX(eng_avg_cpb,MATCH(sel_scen*1000+4*10+2,eng_key,0))</f>
        <v>0.27043787401524</v>
      </c>
      <c r="E9" s="20" t="n">
        <f aca="false">INDEX(eng_avg_cpb,MATCH(sel_scen*1000+4*10+3,eng_key,0))</f>
        <v>0.266167093968283</v>
      </c>
      <c r="F9" s="20" t="n">
        <f aca="false">INDEX(eng_avg_cpb,MATCH(sel_scen*1000+4*10+4,eng_key,0))</f>
        <v>0.272069584819422</v>
      </c>
      <c r="G9" s="20" t="n">
        <f aca="false">INDEX(eng_avg_cpb,MATCH(sel_scen*1000+4*10+5,eng_key,0))</f>
        <v>0.279493606645522</v>
      </c>
    </row>
    <row r="10" customFormat="false" ht="15" hidden="false" customHeight="false" outlineLevel="0" collapsed="false">
      <c r="A10" s="9" t="n">
        <v>5</v>
      </c>
      <c r="B10" s="9" t="s">
        <v>749</v>
      </c>
      <c r="C10" s="20" t="n">
        <f aca="false">INDEX(eng_avg_cpb,MATCH(sel_scen*1000+5*10+1,eng_key,0))</f>
        <v>0.282500949459519</v>
      </c>
      <c r="D10" s="20" t="n">
        <f aca="false">INDEX(eng_avg_cpb,MATCH(sel_scen*1000+5*10+2,eng_key,0))</f>
        <v>0.286374847402345</v>
      </c>
      <c r="E10" s="20" t="n">
        <f aca="false">INDEX(eng_avg_cpb,MATCH(sel_scen*1000+5*10+3,eng_key,0))</f>
        <v>0.282025395091365</v>
      </c>
      <c r="F10" s="20" t="n">
        <f aca="false">INDEX(eng_avg_cpb,MATCH(sel_scen*1000+5*10+4,eng_key,0))</f>
        <v>0.28803661603713</v>
      </c>
      <c r="G10" s="20" t="n">
        <f aca="false">INDEX(eng_avg_cpb,MATCH(sel_scen*1000+5*10+5,eng_key,0))</f>
        <v>0.295597396160026</v>
      </c>
    </row>
    <row r="11" customFormat="false" ht="15" hidden="false" customHeight="false" outlineLevel="0" collapsed="false">
      <c r="A11" s="9" t="n">
        <v>6</v>
      </c>
      <c r="B11" s="9" t="s">
        <v>751</v>
      </c>
      <c r="C11" s="20" t="n">
        <f aca="false">INDEX(eng_avg_cpb,MATCH(sel_scen*1000+6*10+1,eng_key,0))</f>
        <v>0.286078967692703</v>
      </c>
      <c r="D11" s="20" t="n">
        <f aca="false">INDEX(eng_avg_cpb,MATCH(sel_scen*1000+6*10+2,eng_key,0))</f>
        <v>0.290483099983725</v>
      </c>
      <c r="E11" s="20" t="n">
        <f aca="false">INDEX(eng_avg_cpb,MATCH(sel_scen*1000+6*10+3,eng_key,0))</f>
        <v>0.285538322487322</v>
      </c>
      <c r="F11" s="20" t="n">
        <f aca="false">INDEX(eng_avg_cpb,MATCH(sel_scen*1000+6*10+4,eng_key,0))</f>
        <v>0.292372320869943</v>
      </c>
      <c r="G11" s="20" t="n">
        <f aca="false">INDEX(eng_avg_cpb,MATCH(sel_scen*1000+6*10+5,eng_key,0))</f>
        <v>0.300967972168972</v>
      </c>
    </row>
    <row r="12" customFormat="false" ht="15" hidden="false" customHeight="false" outlineLevel="0" collapsed="false">
      <c r="A12" s="9" t="n">
        <v>7</v>
      </c>
      <c r="B12" s="9" t="s">
        <v>752</v>
      </c>
      <c r="C12" s="20" t="n">
        <f aca="false">INDEX(eng_avg_cpb,MATCH(sel_scen*1000+7*10+1,eng_key,0))</f>
        <v>0.222009383891501</v>
      </c>
      <c r="D12" s="20" t="n">
        <f aca="false">INDEX(eng_avg_cpb,MATCH(sel_scen*1000+7*10+2,eng_key,0))</f>
        <v>0.224776453850663</v>
      </c>
      <c r="E12" s="20" t="n">
        <f aca="false">INDEX(eng_avg_cpb,MATCH(sel_scen*1000+7*10+3,eng_key,0))</f>
        <v>0.221669702199963</v>
      </c>
      <c r="F12" s="20" t="n">
        <f aca="false">INDEX(eng_avg_cpb,MATCH(sel_scen*1000+7*10+4,eng_key,0))</f>
        <v>0.225963431446938</v>
      </c>
      <c r="G12" s="20" t="n">
        <f aca="false">INDEX(eng_avg_cpb,MATCH(sel_scen*1000+7*10+5,eng_key,0))</f>
        <v>0.231363988677578</v>
      </c>
    </row>
    <row r="13" customFormat="false" ht="15" hidden="false" customHeight="false" outlineLevel="0" collapsed="false">
      <c r="A13" s="9" t="n">
        <v>8</v>
      </c>
      <c r="B13" s="9" t="s">
        <v>753</v>
      </c>
      <c r="C13" s="20" t="n">
        <f aca="false">INDEX(eng_avg_cpb,MATCH(sel_scen*1000+8*10+1,eng_key,0))</f>
        <v>0.27910637240512</v>
      </c>
      <c r="D13" s="20" t="n">
        <f aca="false">INDEX(eng_avg_cpb,MATCH(sel_scen*1000+8*10+2,eng_key,0))</f>
        <v>0.283448794877905</v>
      </c>
      <c r="E13" s="20" t="n">
        <f aca="false">INDEX(eng_avg_cpb,MATCH(sel_scen*1000+8*10+3,eng_key,0))</f>
        <v>0.278573302611909</v>
      </c>
      <c r="F13" s="20" t="n">
        <f aca="false">INDEX(eng_avg_cpb,MATCH(sel_scen*1000+8*10+4,eng_key,0))</f>
        <v>0.285311544380023</v>
      </c>
      <c r="G13" s="20" t="n">
        <f aca="false">INDEX(eng_avg_cpb,MATCH(sel_scen*1000+8*10+5,eng_key,0))</f>
        <v>0.293786755137252</v>
      </c>
    </row>
    <row r="14" customFormat="false" ht="15" hidden="false" customHeight="false" outlineLevel="0" collapsed="false">
      <c r="A14" s="9" t="n">
        <v>9</v>
      </c>
      <c r="B14" s="9" t="s">
        <v>754</v>
      </c>
      <c r="C14" s="20" t="n">
        <f aca="false">INDEX(eng_avg_cpb,MATCH(sel_scen*1000+9*10+1,eng_key,0))</f>
        <v>0.367339007653495</v>
      </c>
      <c r="D14" s="20" t="n">
        <f aca="false">INDEX(eng_avg_cpb,MATCH(sel_scen*1000+9*10+2,eng_key,0))</f>
        <v>0.37659738009547</v>
      </c>
      <c r="E14" s="20" t="n">
        <f aca="false">INDEX(eng_avg_cpb,MATCH(sel_scen*1000+9*10+3,eng_key,0))</f>
        <v>0.366674958871449</v>
      </c>
      <c r="F14" s="20" t="n">
        <f aca="false">INDEX(eng_avg_cpb,MATCH(sel_scen*1000+9*10+4,eng_key,0))</f>
        <v>0.381041398867618</v>
      </c>
      <c r="G14" s="20" t="n">
        <f aca="false">INDEX(eng_avg_cpb,MATCH(sel_scen*1000+9*10+5,eng_key,0))</f>
        <v>0.399111187840578</v>
      </c>
    </row>
    <row r="15" customFormat="false" ht="15" hidden="false" customHeight="false" outlineLevel="0" collapsed="false">
      <c r="A15" s="9" t="n">
        <v>10</v>
      </c>
      <c r="B15" s="9" t="s">
        <v>755</v>
      </c>
      <c r="C15" s="20" t="n">
        <f aca="false">INDEX(eng_avg_cpb,MATCH(sel_scen*1000+10*10+1,eng_key,0))</f>
        <v>0.552817567454738</v>
      </c>
      <c r="D15" s="20" t="n">
        <f aca="false">INDEX(eng_avg_cpb,MATCH(sel_scen*1000+10*10+2,eng_key,0))</f>
        <v>0.552817567454738</v>
      </c>
      <c r="E15" s="20" t="n">
        <f aca="false">INDEX(eng_avg_cpb,MATCH(sel_scen*1000+10*10+3,eng_key,0))</f>
        <v>0.552817567454738</v>
      </c>
      <c r="F15" s="20" t="n">
        <f aca="false">INDEX(eng_avg_cpb,MATCH(sel_scen*1000+10*10+4,eng_key,0))</f>
        <v>0.552817567454738</v>
      </c>
      <c r="G15" s="20" t="n">
        <f aca="false">INDEX(eng_avg_cpb,MATCH(sel_scen*1000+10*10+5,eng_key,0))</f>
        <v>0.552817567454738</v>
      </c>
    </row>
    <row r="17" customFormat="false" ht="15" hidden="false" customHeight="false" outlineLevel="0" collapsed="false">
      <c r="A17" s="3" t="s">
        <v>1761</v>
      </c>
      <c r="B17" s="4"/>
      <c r="C17" s="4"/>
      <c r="D17" s="4"/>
      <c r="E17" s="4"/>
      <c r="F17" s="4"/>
      <c r="G17" s="4"/>
      <c r="H17" s="4"/>
    </row>
    <row r="18" customFormat="false" ht="15" hidden="false" customHeight="false" outlineLevel="0" collapsed="false">
      <c r="A18" s="13" t="s">
        <v>356</v>
      </c>
      <c r="B18" s="13" t="s">
        <v>113</v>
      </c>
      <c r="C18" s="13" t="s">
        <v>1756</v>
      </c>
      <c r="D18" s="13" t="s">
        <v>1757</v>
      </c>
      <c r="E18" s="13" t="s">
        <v>1758</v>
      </c>
      <c r="F18" s="13" t="s">
        <v>1759</v>
      </c>
      <c r="G18" s="13" t="s">
        <v>1760</v>
      </c>
    </row>
    <row r="19" customFormat="false" ht="15" hidden="false" customHeight="false" outlineLevel="0" collapsed="false">
      <c r="A19" s="9" t="n">
        <v>1</v>
      </c>
      <c r="B19" s="9" t="s">
        <v>743</v>
      </c>
      <c r="C19" s="26" t="n">
        <f aca="false">INDEX(eng_CM,MATCH(sel_scen*1000+1*10+1,eng_key,0))</f>
        <v>-0.514100414607663</v>
      </c>
      <c r="D19" s="26" t="n">
        <f aca="false">INDEX(eng_CM,MATCH(sel_scen*1000+1*10+2,eng_key,0))</f>
        <v>-0.534542529351158</v>
      </c>
      <c r="E19" s="26" t="n">
        <f aca="false">INDEX(eng_CM,MATCH(sel_scen*1000+1*10+3,eng_key,0))</f>
        <v>-0.511681409726871</v>
      </c>
      <c r="F19" s="26" t="n">
        <f aca="false">INDEX(eng_CM,MATCH(sel_scen*1000+1*10+4,eng_key,0))</f>
        <v>-0.543310362308624</v>
      </c>
      <c r="G19" s="26" t="n">
        <f aca="false">INDEX(eng_CM,MATCH(sel_scen*1000+1*10+5,eng_key,0))</f>
        <v>-0.583268777947915</v>
      </c>
    </row>
    <row r="20" customFormat="false" ht="15" hidden="false" customHeight="false" outlineLevel="0" collapsed="false">
      <c r="A20" s="9" t="n">
        <v>2</v>
      </c>
      <c r="B20" s="9" t="s">
        <v>745</v>
      </c>
      <c r="C20" s="26" t="n">
        <f aca="false">INDEX(eng_CM,MATCH(sel_scen*1000+2*10+1,eng_key,0))</f>
        <v>-0.506990362659643</v>
      </c>
      <c r="D20" s="26" t="n">
        <f aca="false">INDEX(eng_CM,MATCH(sel_scen*1000+2*10+2,eng_key,0))</f>
        <v>-0.527432477403138</v>
      </c>
      <c r="E20" s="26" t="n">
        <f aca="false">INDEX(eng_CM,MATCH(sel_scen*1000+2*10+3,eng_key,0))</f>
        <v>-0.504571357778851</v>
      </c>
      <c r="F20" s="26" t="n">
        <f aca="false">INDEX(eng_CM,MATCH(sel_scen*1000+2*10+4,eng_key,0))</f>
        <v>-0.536200310360604</v>
      </c>
      <c r="G20" s="26" t="n">
        <f aca="false">INDEX(eng_CM,MATCH(sel_scen*1000+2*10+5,eng_key,0))</f>
        <v>-0.576158725999895</v>
      </c>
    </row>
    <row r="21" customFormat="false" ht="15" hidden="false" customHeight="false" outlineLevel="0" collapsed="false">
      <c r="A21" s="9" t="n">
        <v>3</v>
      </c>
      <c r="B21" s="9" t="s">
        <v>746</v>
      </c>
      <c r="C21" s="26" t="n">
        <f aca="false">INDEX(eng_CM,MATCH(sel_scen*1000+3*10+1,eng_key,0))</f>
        <v>-0.76169019925906</v>
      </c>
      <c r="D21" s="26" t="n">
        <f aca="false">INDEX(eng_CM,MATCH(sel_scen*1000+3*10+2,eng_key,0))</f>
        <v>-0.80257442874605</v>
      </c>
      <c r="E21" s="26" t="n">
        <f aca="false">INDEX(eng_CM,MATCH(sel_scen*1000+3*10+3,eng_key,0))</f>
        <v>-0.758939824369314</v>
      </c>
      <c r="F21" s="26" t="n">
        <f aca="false">INDEX(eng_CM,MATCH(sel_scen*1000+3*10+4,eng_key,0))</f>
        <v>-0.82219772953282</v>
      </c>
      <c r="G21" s="26" t="n">
        <f aca="false">INDEX(eng_CM,MATCH(sel_scen*1000+3*10+5,eng_key,0))</f>
        <v>-0.902114560811401</v>
      </c>
    </row>
    <row r="22" customFormat="false" ht="15" hidden="false" customHeight="false" outlineLevel="0" collapsed="false">
      <c r="A22" s="9" t="n">
        <v>4</v>
      </c>
      <c r="B22" s="9" t="s">
        <v>747</v>
      </c>
      <c r="C22" s="26" t="n">
        <f aca="false">INDEX(eng_CM,MATCH(sel_scen*1000+4*10+1,eng_key,0))</f>
        <v>-0.345769187419486</v>
      </c>
      <c r="D22" s="26" t="n">
        <f aca="false">INDEX(eng_CM,MATCH(sel_scen*1000+4*10+2,eng_key,0))</f>
        <v>-0.361615787995839</v>
      </c>
      <c r="E22" s="26" t="n">
        <f aca="false">INDEX(eng_CM,MATCH(sel_scen*1000+4*10+3,eng_key,0))</f>
        <v>-0.343893989837477</v>
      </c>
      <c r="F22" s="26" t="n">
        <f aca="false">INDEX(eng_CM,MATCH(sel_scen*1000+4*10+4,eng_key,0))</f>
        <v>-0.368412557730308</v>
      </c>
      <c r="G22" s="26" t="n">
        <f aca="false">INDEX(eng_CM,MATCH(sel_scen*1000+4*10+5,eng_key,0))</f>
        <v>-0.399388073729759</v>
      </c>
    </row>
    <row r="23" customFormat="false" ht="15" hidden="false" customHeight="false" outlineLevel="0" collapsed="false">
      <c r="A23" s="9" t="n">
        <v>5</v>
      </c>
      <c r="B23" s="9" t="s">
        <v>749</v>
      </c>
      <c r="C23" s="26" t="n">
        <f aca="false">INDEX(eng_CM,MATCH(sel_scen*1000+5*10+1,eng_key,0))</f>
        <v>-0.467921750390586</v>
      </c>
      <c r="D23" s="26" t="n">
        <f aca="false">INDEX(eng_CM,MATCH(sel_scen*1000+5*10+2,eng_key,0))</f>
        <v>-0.484680974016326</v>
      </c>
      <c r="E23" s="26" t="n">
        <f aca="false">INDEX(eng_CM,MATCH(sel_scen*1000+5*10+3,eng_key,0))</f>
        <v>-0.465938558130018</v>
      </c>
      <c r="F23" s="26" t="n">
        <f aca="false">INDEX(eng_CM,MATCH(sel_scen*1000+5*10+4,eng_key,0))</f>
        <v>-0.491869177149471</v>
      </c>
      <c r="G23" s="26" t="n">
        <f aca="false">INDEX(eng_CM,MATCH(sel_scen*1000+5*10+5,eng_key,0))</f>
        <v>-0.524628606975205</v>
      </c>
    </row>
    <row r="24" customFormat="false" ht="15" hidden="false" customHeight="false" outlineLevel="0" collapsed="false">
      <c r="A24" s="9" t="n">
        <v>6</v>
      </c>
      <c r="B24" s="9" t="s">
        <v>751</v>
      </c>
      <c r="C24" s="26" t="n">
        <f aca="false">INDEX(eng_CM,MATCH(sel_scen*1000+6*10+1,eng_key,0))</f>
        <v>-0.313967154885258</v>
      </c>
      <c r="D24" s="26" t="n">
        <f aca="false">INDEX(eng_CM,MATCH(sel_scen*1000+6*10+2,eng_key,0))</f>
        <v>-0.330479857894214</v>
      </c>
      <c r="E24" s="26" t="n">
        <f aca="false">INDEX(eng_CM,MATCH(sel_scen*1000+6*10+3,eng_key,0))</f>
        <v>-0.312013134487909</v>
      </c>
      <c r="F24" s="26" t="n">
        <f aca="false">INDEX(eng_CM,MATCH(sel_scen*1000+6*10+4,eng_key,0))</f>
        <v>-0.337562325803012</v>
      </c>
      <c r="G24" s="26" t="n">
        <f aca="false">INDEX(eng_CM,MATCH(sel_scen*1000+6*10+5,eng_key,0))</f>
        <v>-0.369839879198999</v>
      </c>
    </row>
    <row r="25" customFormat="false" ht="15" hidden="false" customHeight="false" outlineLevel="0" collapsed="false">
      <c r="A25" s="9" t="n">
        <v>7</v>
      </c>
      <c r="B25" s="9" t="s">
        <v>752</v>
      </c>
      <c r="C25" s="26" t="n">
        <f aca="false">INDEX(eng_CM,MATCH(sel_scen*1000+7*10+1,eng_key,0))</f>
        <v>-0.197499142130949</v>
      </c>
      <c r="D25" s="26" t="n">
        <f aca="false">INDEX(eng_CM,MATCH(sel_scen*1000+7*10+2,eng_key,0))</f>
        <v>-0.20994885111007</v>
      </c>
      <c r="E25" s="26" t="n">
        <f aca="false">INDEX(eng_CM,MATCH(sel_scen*1000+7*10+3,eng_key,0))</f>
        <v>-0.196025913594527</v>
      </c>
      <c r="F25" s="26" t="n">
        <f aca="false">INDEX(eng_CM,MATCH(sel_scen*1000+7*10+4,eng_key,0))</f>
        <v>-0.215288659151835</v>
      </c>
      <c r="G25" s="26" t="n">
        <f aca="false">INDEX(eng_CM,MATCH(sel_scen*1000+7*10+5,eng_key,0))</f>
        <v>-0.239624235593809</v>
      </c>
    </row>
    <row r="26" customFormat="false" ht="15" hidden="false" customHeight="false" outlineLevel="0" collapsed="false">
      <c r="A26" s="9" t="n">
        <v>8</v>
      </c>
      <c r="B26" s="9" t="s">
        <v>753</v>
      </c>
      <c r="C26" s="26" t="n">
        <f aca="false">INDEX(eng_CM,MATCH(sel_scen*1000+8*10+1,eng_key,0))</f>
        <v>-0.421485714787412</v>
      </c>
      <c r="D26" s="26" t="n">
        <f aca="false">INDEX(eng_CM,MATCH(sel_scen*1000+8*10+2,eng_key,0))</f>
        <v>-0.439576081817053</v>
      </c>
      <c r="E26" s="26" t="n">
        <f aca="false">INDEX(eng_CM,MATCH(sel_scen*1000+8*10+3,eng_key,0))</f>
        <v>-0.419345002503525</v>
      </c>
      <c r="F26" s="26" t="n">
        <f aca="false">INDEX(eng_CM,MATCH(sel_scen*1000+8*10+4,eng_key,0))</f>
        <v>-0.4473352260272</v>
      </c>
      <c r="G26" s="26" t="n">
        <f aca="false">INDEX(eng_CM,MATCH(sel_scen*1000+8*10+5,eng_key,0))</f>
        <v>-0.482696655796484</v>
      </c>
    </row>
    <row r="27" customFormat="false" ht="15" hidden="false" customHeight="false" outlineLevel="0" collapsed="false">
      <c r="A27" s="9" t="n">
        <v>9</v>
      </c>
      <c r="B27" s="9" t="s">
        <v>754</v>
      </c>
      <c r="C27" s="26" t="n">
        <f aca="false">INDEX(eng_CM,MATCH(sel_scen*1000+9*10+1,eng_key,0))</f>
        <v>-1.00513977940857</v>
      </c>
      <c r="D27" s="26" t="n">
        <f aca="false">INDEX(eng_CM,MATCH(sel_scen*1000+9*10+2,eng_key,0))</f>
        <v>-1.04370980722649</v>
      </c>
      <c r="E27" s="26" t="n">
        <f aca="false">INDEX(eng_CM,MATCH(sel_scen*1000+9*10+3,eng_key,0))</f>
        <v>-1.00254508611636</v>
      </c>
      <c r="F27" s="26" t="n">
        <f aca="false">INDEX(eng_CM,MATCH(sel_scen*1000+9*10+4,eng_key,0))</f>
        <v>-1.06222235513854</v>
      </c>
      <c r="G27" s="26" t="n">
        <f aca="false">INDEX(eng_CM,MATCH(sel_scen*1000+9*10+5,eng_key,0))</f>
        <v>-1.1376155921938</v>
      </c>
    </row>
    <row r="28" customFormat="false" ht="15" hidden="false" customHeight="false" outlineLevel="0" collapsed="false">
      <c r="A28" s="9" t="n">
        <v>10</v>
      </c>
      <c r="B28" s="9" t="s">
        <v>755</v>
      </c>
      <c r="C28" s="26" t="n">
        <f aca="false">INDEX(eng_CM,MATCH(sel_scen*1000+10*10+1,eng_key,0))</f>
        <v>-2.66460336605955</v>
      </c>
      <c r="D28" s="26" t="n">
        <f aca="false">INDEX(eng_CM,MATCH(sel_scen*1000+10*10+2,eng_key,0))</f>
        <v>-2.66460336605955</v>
      </c>
      <c r="E28" s="26" t="n">
        <f aca="false">INDEX(eng_CM,MATCH(sel_scen*1000+10*10+3,eng_key,0))</f>
        <v>-2.66460336605955</v>
      </c>
      <c r="F28" s="26" t="n">
        <f aca="false">INDEX(eng_CM,MATCH(sel_scen*1000+10*10+4,eng_key,0))</f>
        <v>-2.66460336605955</v>
      </c>
      <c r="G28" s="26" t="n">
        <f aca="false">INDEX(eng_CM,MATCH(sel_scen*1000+10*10+5,eng_key,0))</f>
        <v>-2.66460336605955</v>
      </c>
    </row>
    <row r="30" customFormat="false" ht="15" hidden="false" customHeight="false" outlineLevel="0" collapsed="false">
      <c r="A30" s="3" t="s">
        <v>1762</v>
      </c>
      <c r="B30" s="4"/>
      <c r="C30" s="4"/>
      <c r="D30" s="4"/>
      <c r="E30" s="4"/>
      <c r="F30" s="4"/>
      <c r="G30" s="4"/>
      <c r="H30" s="4"/>
    </row>
    <row r="31" customFormat="false" ht="15" hidden="false" customHeight="false" outlineLevel="0" collapsed="false">
      <c r="A31" s="13" t="s">
        <v>356</v>
      </c>
      <c r="B31" s="13" t="s">
        <v>113</v>
      </c>
      <c r="C31" s="13" t="s">
        <v>1756</v>
      </c>
      <c r="D31" s="13" t="s">
        <v>1757</v>
      </c>
      <c r="E31" s="13" t="s">
        <v>1758</v>
      </c>
      <c r="F31" s="13" t="s">
        <v>1759</v>
      </c>
      <c r="G31" s="13" t="s">
        <v>1760</v>
      </c>
    </row>
    <row r="32" customFormat="false" ht="15" hidden="false" customHeight="false" outlineLevel="0" collapsed="false">
      <c r="A32" s="9" t="n">
        <v>1</v>
      </c>
      <c r="B32" s="9" t="s">
        <v>743</v>
      </c>
      <c r="C32" s="65" t="n">
        <f aca="false">INDEX(eng_CONTRIB,MATCH(sel_scen*1000+1*10+1,eng_key,0))</f>
        <v>-7383.15028430503</v>
      </c>
      <c r="D32" s="65" t="n">
        <f aca="false">INDEX(eng_CONTRIB,MATCH(sel_scen*1000+1*10+2,eng_key,0))</f>
        <v>-7676.72562677079</v>
      </c>
      <c r="E32" s="65" t="n">
        <f aca="false">INDEX(eng_CONTRIB,MATCH(sel_scen*1000+1*10+3,eng_key,0))</f>
        <v>-7348.41022951051</v>
      </c>
      <c r="F32" s="65" t="n">
        <f aca="false">INDEX(eng_CONTRIB,MATCH(sel_scen*1000+1*10+4,eng_key,0))</f>
        <v>-7802.64310622284</v>
      </c>
      <c r="G32" s="65" t="n">
        <f aca="false">INDEX(eng_CONTRIB,MATCH(sel_scen*1000+1*10+5,eng_key,0))</f>
        <v>-8376.49790074339</v>
      </c>
    </row>
    <row r="33" customFormat="false" ht="15" hidden="false" customHeight="false" outlineLevel="0" collapsed="false">
      <c r="A33" s="9" t="n">
        <v>2</v>
      </c>
      <c r="B33" s="9" t="s">
        <v>745</v>
      </c>
      <c r="C33" s="65" t="n">
        <f aca="false">INDEX(eng_CONTRIB,MATCH(sel_scen*1000+2*10+1,eng_key,0))</f>
        <v>-7281.04069526394</v>
      </c>
      <c r="D33" s="65" t="n">
        <f aca="false">INDEX(eng_CONTRIB,MATCH(sel_scen*1000+2*10+2,eng_key,0))</f>
        <v>-7574.61603772969</v>
      </c>
      <c r="E33" s="65" t="n">
        <f aca="false">INDEX(eng_CONTRIB,MATCH(sel_scen*1000+2*10+3,eng_key,0))</f>
        <v>-7246.30064046942</v>
      </c>
      <c r="F33" s="65" t="n">
        <f aca="false">INDEX(eng_CONTRIB,MATCH(sel_scen*1000+2*10+4,eng_key,0))</f>
        <v>-7700.53351718175</v>
      </c>
      <c r="G33" s="65" t="n">
        <f aca="false">INDEX(eng_CONTRIB,MATCH(sel_scen*1000+2*10+5,eng_key,0))</f>
        <v>-8274.38831170229</v>
      </c>
    </row>
    <row r="34" customFormat="false" ht="15" hidden="false" customHeight="false" outlineLevel="0" collapsed="false">
      <c r="A34" s="9" t="n">
        <v>3</v>
      </c>
      <c r="B34" s="9" t="s">
        <v>746</v>
      </c>
      <c r="C34" s="65" t="n">
        <f aca="false">INDEX(eng_CONTRIB,MATCH(sel_scen*1000+3*10+1,eng_key,0))</f>
        <v>-10938.8614586191</v>
      </c>
      <c r="D34" s="65" t="n">
        <f aca="false">INDEX(eng_CONTRIB,MATCH(sel_scen*1000+3*10+2,eng_key,0))</f>
        <v>-11526.0121435506</v>
      </c>
      <c r="E34" s="65" t="n">
        <f aca="false">INDEX(eng_CONTRIB,MATCH(sel_scen*1000+3*10+3,eng_key,0))</f>
        <v>-10899.362499715</v>
      </c>
      <c r="F34" s="65" t="n">
        <f aca="false">INDEX(eng_CONTRIB,MATCH(sel_scen*1000+3*10+4,eng_key,0))</f>
        <v>-11807.8282531397</v>
      </c>
      <c r="G34" s="65" t="n">
        <f aca="false">INDEX(eng_CONTRIB,MATCH(sel_scen*1000+3*10+5,eng_key,0))</f>
        <v>-12955.5378421808</v>
      </c>
    </row>
    <row r="35" customFormat="false" ht="15" hidden="false" customHeight="false" outlineLevel="0" collapsed="false">
      <c r="A35" s="9" t="n">
        <v>4</v>
      </c>
      <c r="B35" s="9" t="s">
        <v>747</v>
      </c>
      <c r="C35" s="65" t="n">
        <f aca="false">INDEX(eng_CONTRIB,MATCH(sel_scen*1000+4*10+1,eng_key,0))</f>
        <v>-6405.74659036083</v>
      </c>
      <c r="D35" s="65" t="n">
        <f aca="false">INDEX(eng_CONTRIB,MATCH(sel_scen*1000+4*10+2,eng_key,0))</f>
        <v>-6699.32193282658</v>
      </c>
      <c r="E35" s="65" t="n">
        <f aca="false">INDEX(eng_CONTRIB,MATCH(sel_scen*1000+4*10+3,eng_key,0))</f>
        <v>-6371.00653556631</v>
      </c>
      <c r="F35" s="65" t="n">
        <f aca="false">INDEX(eng_CONTRIB,MATCH(sel_scen*1000+4*10+4,eng_key,0))</f>
        <v>-6825.23941227864</v>
      </c>
      <c r="G35" s="65" t="n">
        <f aca="false">INDEX(eng_CONTRIB,MATCH(sel_scen*1000+4*10+5,eng_key,0))</f>
        <v>-7399.09420679918</v>
      </c>
    </row>
    <row r="36" customFormat="false" ht="15" hidden="false" customHeight="false" outlineLevel="0" collapsed="false">
      <c r="A36" s="9" t="n">
        <v>5</v>
      </c>
      <c r="B36" s="9" t="s">
        <v>749</v>
      </c>
      <c r="C36" s="65" t="n">
        <f aca="false">INDEX(eng_CONTRIB,MATCH(sel_scen*1000+5*10+1,eng_key,0))</f>
        <v>-8196.69760281199</v>
      </c>
      <c r="D36" s="65" t="n">
        <f aca="false">INDEX(eng_CONTRIB,MATCH(sel_scen*1000+5*10+2,eng_key,0))</f>
        <v>-8490.27294527774</v>
      </c>
      <c r="E36" s="65" t="n">
        <f aca="false">INDEX(eng_CONTRIB,MATCH(sel_scen*1000+5*10+3,eng_key,0))</f>
        <v>-8161.95754801747</v>
      </c>
      <c r="F36" s="65" t="n">
        <f aca="false">INDEX(eng_CONTRIB,MATCH(sel_scen*1000+5*10+4,eng_key,0))</f>
        <v>-8616.1904247298</v>
      </c>
      <c r="G36" s="65" t="n">
        <f aca="false">INDEX(eng_CONTRIB,MATCH(sel_scen*1000+5*10+5,eng_key,0))</f>
        <v>-9190.04521925035</v>
      </c>
    </row>
    <row r="37" customFormat="false" ht="15" hidden="false" customHeight="false" outlineLevel="0" collapsed="false">
      <c r="A37" s="9" t="n">
        <v>6</v>
      </c>
      <c r="B37" s="9" t="s">
        <v>751</v>
      </c>
      <c r="C37" s="65" t="n">
        <f aca="false">INDEX(eng_CONTRIB,MATCH(sel_scen*1000+6*10+1,eng_key,0))</f>
        <v>-5581.94590966994</v>
      </c>
      <c r="D37" s="65" t="n">
        <f aca="false">INDEX(eng_CONTRIB,MATCH(sel_scen*1000+6*10+2,eng_key,0))</f>
        <v>-5875.52125213569</v>
      </c>
      <c r="E37" s="65" t="n">
        <f aca="false">INDEX(eng_CONTRIB,MATCH(sel_scen*1000+6*10+3,eng_key,0))</f>
        <v>-5547.20585487542</v>
      </c>
      <c r="F37" s="65" t="n">
        <f aca="false">INDEX(eng_CONTRIB,MATCH(sel_scen*1000+6*10+4,eng_key,0))</f>
        <v>-6001.43873158775</v>
      </c>
      <c r="G37" s="65" t="n">
        <f aca="false">INDEX(eng_CONTRIB,MATCH(sel_scen*1000+6*10+5,eng_key,0))</f>
        <v>-6575.29352610829</v>
      </c>
    </row>
    <row r="38" customFormat="false" ht="15" hidden="false" customHeight="false" outlineLevel="0" collapsed="false">
      <c r="A38" s="9" t="n">
        <v>7</v>
      </c>
      <c r="B38" s="9" t="s">
        <v>752</v>
      </c>
      <c r="C38" s="65" t="n">
        <f aca="false">INDEX(eng_CONTRIB,MATCH(sel_scen*1000+7*10+1,eng_key,0))</f>
        <v>-4657.20752067569</v>
      </c>
      <c r="D38" s="65" t="n">
        <f aca="false">INDEX(eng_CONTRIB,MATCH(sel_scen*1000+7*10+2,eng_key,0))</f>
        <v>-4950.78286314144</v>
      </c>
      <c r="E38" s="65" t="n">
        <f aca="false">INDEX(eng_CONTRIB,MATCH(sel_scen*1000+7*10+3,eng_key,0))</f>
        <v>-4622.46746588117</v>
      </c>
      <c r="F38" s="65" t="n">
        <f aca="false">INDEX(eng_CONTRIB,MATCH(sel_scen*1000+7*10+4,eng_key,0))</f>
        <v>-5076.7003425935</v>
      </c>
      <c r="G38" s="65" t="n">
        <f aca="false">INDEX(eng_CONTRIB,MATCH(sel_scen*1000+7*10+5,eng_key,0))</f>
        <v>-5650.55513711405</v>
      </c>
    </row>
    <row r="39" customFormat="false" ht="15" hidden="false" customHeight="false" outlineLevel="0" collapsed="false">
      <c r="A39" s="9" t="n">
        <v>8</v>
      </c>
      <c r="B39" s="9" t="s">
        <v>753</v>
      </c>
      <c r="C39" s="65" t="n">
        <f aca="false">INDEX(eng_CONTRIB,MATCH(sel_scen*1000+8*10+1,eng_key,0))</f>
        <v>-6839.9835592274</v>
      </c>
      <c r="D39" s="65" t="n">
        <f aca="false">INDEX(eng_CONTRIB,MATCH(sel_scen*1000+8*10+2,eng_key,0))</f>
        <v>-7133.55890169315</v>
      </c>
      <c r="E39" s="65" t="n">
        <f aca="false">INDEX(eng_CONTRIB,MATCH(sel_scen*1000+8*10+3,eng_key,0))</f>
        <v>-6805.24350443288</v>
      </c>
      <c r="F39" s="65" t="n">
        <f aca="false">INDEX(eng_CONTRIB,MATCH(sel_scen*1000+8*10+4,eng_key,0))</f>
        <v>-7259.47638114521</v>
      </c>
      <c r="G39" s="65" t="n">
        <f aca="false">INDEX(eng_CONTRIB,MATCH(sel_scen*1000+8*10+5,eng_key,0))</f>
        <v>-7833.33117566576</v>
      </c>
    </row>
    <row r="40" customFormat="false" ht="15" hidden="false" customHeight="false" outlineLevel="0" collapsed="false">
      <c r="A40" s="9" t="n">
        <v>9</v>
      </c>
      <c r="B40" s="9" t="s">
        <v>754</v>
      </c>
      <c r="C40" s="65" t="n">
        <f aca="false">INDEX(eng_CONTRIB,MATCH(sel_scen*1000+9*10+1,eng_key,0))</f>
        <v>-7650.61037443079</v>
      </c>
      <c r="D40" s="65" t="n">
        <f aca="false">INDEX(eng_CONTRIB,MATCH(sel_scen*1000+9*10+2,eng_key,0))</f>
        <v>-7944.18571689654</v>
      </c>
      <c r="E40" s="65" t="n">
        <f aca="false">INDEX(eng_CONTRIB,MATCH(sel_scen*1000+9*10+3,eng_key,0))</f>
        <v>-7630.86089497873</v>
      </c>
      <c r="F40" s="65" t="n">
        <f aca="false">INDEX(eng_CONTRIB,MATCH(sel_scen*1000+9*10+4,eng_key,0))</f>
        <v>-8085.09377169106</v>
      </c>
      <c r="G40" s="65" t="n">
        <f aca="false">INDEX(eng_CONTRIB,MATCH(sel_scen*1000+9*10+5,eng_key,0))</f>
        <v>-8658.94856621161</v>
      </c>
    </row>
    <row r="41" customFormat="false" ht="15" hidden="false" customHeight="false" outlineLevel="0" collapsed="false">
      <c r="A41" s="9" t="n">
        <v>10</v>
      </c>
      <c r="B41" s="9" t="s">
        <v>755</v>
      </c>
      <c r="C41" s="65" t="n">
        <f aca="false">INDEX(eng_CONTRIB,MATCH(sel_scen*1000+10*10+1,eng_key,0))</f>
        <v>-6380.22355771586</v>
      </c>
      <c r="D41" s="65" t="n">
        <f aca="false">INDEX(eng_CONTRIB,MATCH(sel_scen*1000+10*10+2,eng_key,0))</f>
        <v>-6380.22355771586</v>
      </c>
      <c r="E41" s="65" t="n">
        <f aca="false">INDEX(eng_CONTRIB,MATCH(sel_scen*1000+10*10+3,eng_key,0))</f>
        <v>-6380.22355771586</v>
      </c>
      <c r="F41" s="65" t="n">
        <f aca="false">INDEX(eng_CONTRIB,MATCH(sel_scen*1000+10*10+4,eng_key,0))</f>
        <v>-6380.22355771586</v>
      </c>
      <c r="G41" s="65" t="n">
        <f aca="false">INDEX(eng_CONTRIB,MATCH(sel_scen*1000+10*10+5,eng_key,0))</f>
        <v>-6380.22355771586</v>
      </c>
    </row>
    <row r="43" customFormat="false" ht="15" hidden="false" customHeight="false" outlineLevel="0" collapsed="false">
      <c r="A43" s="3" t="s">
        <v>1763</v>
      </c>
      <c r="B43" s="4"/>
      <c r="C43" s="4"/>
      <c r="D43" s="4"/>
      <c r="E43" s="4"/>
      <c r="F43" s="4"/>
      <c r="G43" s="4"/>
      <c r="H43" s="4"/>
    </row>
    <row r="44" customFormat="false" ht="23.85" hidden="false" customHeight="false" outlineLevel="0" collapsed="false">
      <c r="A44" s="13" t="s">
        <v>356</v>
      </c>
      <c r="B44" s="13" t="s">
        <v>113</v>
      </c>
      <c r="C44" s="13" t="s">
        <v>1764</v>
      </c>
      <c r="D44" s="13" t="s">
        <v>1765</v>
      </c>
      <c r="E44" s="13" t="s">
        <v>1744</v>
      </c>
    </row>
    <row r="45" customFormat="false" ht="15" hidden="false" customHeight="false" outlineLevel="0" collapsed="false">
      <c r="A45" s="9" t="n">
        <v>1</v>
      </c>
      <c r="B45" s="9" t="s">
        <v>743</v>
      </c>
      <c r="C45" s="10" t="n">
        <f aca="false">MATCH(MIN(C6:G6),C6:G6,0)</f>
        <v>3</v>
      </c>
      <c r="D45" s="8" t="str">
        <f aca="false">INDEX(dest_gw,C45)&amp;" → "&amp;INDEX(dest_name,C45)</f>
        <v>Baltimore → Jessup, MD (ZIP 20794 – Baltimore–Washington food-distribution hub)</v>
      </c>
      <c r="E45" s="20" t="n">
        <f aca="false">MIN(C6:G6)</f>
        <v>0.294731526028157</v>
      </c>
    </row>
    <row r="46" customFormat="false" ht="15" hidden="false" customHeight="false" outlineLevel="0" collapsed="false">
      <c r="A46" s="9" t="n">
        <v>2</v>
      </c>
      <c r="B46" s="9" t="s">
        <v>745</v>
      </c>
      <c r="C46" s="10" t="n">
        <f aca="false">MATCH(MIN(C7:G7),C7:G7,0)</f>
        <v>3</v>
      </c>
      <c r="D46" s="8" t="str">
        <f aca="false">INDEX(dest_gw,C46)&amp;" → "&amp;INDEX(dest_name,C46)</f>
        <v>Baltimore → Jessup, MD (ZIP 20794 – Baltimore–Washington food-distribution hub)</v>
      </c>
      <c r="E46" s="20" t="n">
        <f aca="false">MIN(C7:G7)</f>
        <v>0.293039478650831</v>
      </c>
    </row>
    <row r="47" customFormat="false" ht="15" hidden="false" customHeight="false" outlineLevel="0" collapsed="false">
      <c r="A47" s="9" t="n">
        <v>3</v>
      </c>
      <c r="B47" s="9" t="s">
        <v>746</v>
      </c>
      <c r="C47" s="10" t="n">
        <f aca="false">MATCH(MIN(C8:G8),C8:G8,0)</f>
        <v>3</v>
      </c>
      <c r="D47" s="8" t="str">
        <f aca="false">INDEX(dest_gw,C47)&amp;" → "&amp;INDEX(dest_name,C47)</f>
        <v>Baltimore → Jessup, MD (ZIP 20794 – Baltimore–Washington food-distribution hub)</v>
      </c>
      <c r="E47" s="20" t="n">
        <f aca="false">MIN(C8:G8)</f>
        <v>0.353727110843435</v>
      </c>
    </row>
    <row r="48" customFormat="false" ht="15" hidden="false" customHeight="false" outlineLevel="0" collapsed="false">
      <c r="A48" s="9" t="n">
        <v>4</v>
      </c>
      <c r="B48" s="9" t="s">
        <v>747</v>
      </c>
      <c r="C48" s="10" t="n">
        <f aca="false">MATCH(MIN(C9:G9),C9:G9,0)</f>
        <v>3</v>
      </c>
      <c r="D48" s="8" t="str">
        <f aca="false">INDEX(dest_gw,C48)&amp;" → "&amp;INDEX(dest_name,C48)</f>
        <v>Baltimore → Jessup, MD (ZIP 20794 – Baltimore–Washington food-distribution hub)</v>
      </c>
      <c r="E48" s="20" t="n">
        <f aca="false">MIN(C9:G9)</f>
        <v>0.266167093968283</v>
      </c>
    </row>
    <row r="49" customFormat="false" ht="15" hidden="false" customHeight="false" outlineLevel="0" collapsed="false">
      <c r="A49" s="9" t="n">
        <v>5</v>
      </c>
      <c r="B49" s="9" t="s">
        <v>749</v>
      </c>
      <c r="C49" s="10" t="n">
        <f aca="false">MATCH(MIN(C10:G10),C10:G10,0)</f>
        <v>3</v>
      </c>
      <c r="D49" s="8" t="str">
        <f aca="false">INDEX(dest_gw,C49)&amp;" → "&amp;INDEX(dest_name,C49)</f>
        <v>Baltimore → Jessup, MD (ZIP 20794 – Baltimore–Washington food-distribution hub)</v>
      </c>
      <c r="E49" s="20" t="n">
        <f aca="false">MIN(C10:G10)</f>
        <v>0.282025395091365</v>
      </c>
    </row>
    <row r="50" customFormat="false" ht="15" hidden="false" customHeight="false" outlineLevel="0" collapsed="false">
      <c r="A50" s="9" t="n">
        <v>6</v>
      </c>
      <c r="B50" s="9" t="s">
        <v>751</v>
      </c>
      <c r="C50" s="10" t="n">
        <f aca="false">MATCH(MIN(C11:G11),C11:G11,0)</f>
        <v>3</v>
      </c>
      <c r="D50" s="8" t="str">
        <f aca="false">INDEX(dest_gw,C50)&amp;" → "&amp;INDEX(dest_name,C50)</f>
        <v>Baltimore → Jessup, MD (ZIP 20794 – Baltimore–Washington food-distribution hub)</v>
      </c>
      <c r="E50" s="20" t="n">
        <f aca="false">MIN(C11:G11)</f>
        <v>0.285538322487322</v>
      </c>
    </row>
    <row r="51" customFormat="false" ht="15" hidden="false" customHeight="false" outlineLevel="0" collapsed="false">
      <c r="A51" s="9" t="n">
        <v>7</v>
      </c>
      <c r="B51" s="9" t="s">
        <v>752</v>
      </c>
      <c r="C51" s="10" t="n">
        <f aca="false">MATCH(MIN(C12:G12),C12:G12,0)</f>
        <v>3</v>
      </c>
      <c r="D51" s="8" t="str">
        <f aca="false">INDEX(dest_gw,C51)&amp;" → "&amp;INDEX(dest_name,C51)</f>
        <v>Baltimore → Jessup, MD (ZIP 20794 – Baltimore–Washington food-distribution hub)</v>
      </c>
      <c r="E51" s="20" t="n">
        <f aca="false">MIN(C12:G12)</f>
        <v>0.221669702199963</v>
      </c>
    </row>
    <row r="52" customFormat="false" ht="15" hidden="false" customHeight="false" outlineLevel="0" collapsed="false">
      <c r="A52" s="9" t="n">
        <v>8</v>
      </c>
      <c r="B52" s="9" t="s">
        <v>753</v>
      </c>
      <c r="C52" s="10" t="n">
        <f aca="false">MATCH(MIN(C13:G13),C13:G13,0)</f>
        <v>3</v>
      </c>
      <c r="D52" s="8" t="str">
        <f aca="false">INDEX(dest_gw,C52)&amp;" → "&amp;INDEX(dest_name,C52)</f>
        <v>Baltimore → Jessup, MD (ZIP 20794 – Baltimore–Washington food-distribution hub)</v>
      </c>
      <c r="E52" s="20" t="n">
        <f aca="false">MIN(C13:G13)</f>
        <v>0.278573302611909</v>
      </c>
    </row>
    <row r="53" customFormat="false" ht="15" hidden="false" customHeight="false" outlineLevel="0" collapsed="false">
      <c r="A53" s="9" t="n">
        <v>9</v>
      </c>
      <c r="B53" s="9" t="s">
        <v>754</v>
      </c>
      <c r="C53" s="10" t="n">
        <f aca="false">MATCH(MIN(C14:G14),C14:G14,0)</f>
        <v>3</v>
      </c>
      <c r="D53" s="8" t="str">
        <f aca="false">INDEX(dest_gw,C53)&amp;" → "&amp;INDEX(dest_name,C53)</f>
        <v>Baltimore → Jessup, MD (ZIP 20794 – Baltimore–Washington food-distribution hub)</v>
      </c>
      <c r="E53" s="20" t="n">
        <f aca="false">MIN(C14:G14)</f>
        <v>0.366674958871449</v>
      </c>
    </row>
    <row r="54" customFormat="false" ht="15" hidden="false" customHeight="false" outlineLevel="0" collapsed="false">
      <c r="A54" s="9" t="n">
        <v>10</v>
      </c>
      <c r="B54" s="9" t="s">
        <v>755</v>
      </c>
      <c r="C54" s="10" t="n">
        <f aca="false">MATCH(MIN(C15:G15),C15:G15,0)</f>
        <v>1</v>
      </c>
      <c r="D54" s="8" t="str">
        <f aca="false">INDEX(dest_gw,C54)&amp;" → "&amp;INDEX(dest_name,C54)</f>
        <v>New York/New Jersey → Edison, NJ (ZIP 08837 – Central NJ warehouse cluster)</v>
      </c>
      <c r="E54" s="20" t="n">
        <f aca="false">MIN(C15:G15)</f>
        <v>0.552817567454738</v>
      </c>
    </row>
    <row r="56" customFormat="false" ht="15" hidden="false" customHeight="false" outlineLevel="0" collapsed="false">
      <c r="A56" s="3" t="s">
        <v>1766</v>
      </c>
      <c r="B56" s="4"/>
      <c r="C56" s="4"/>
      <c r="D56" s="4"/>
      <c r="E56" s="4"/>
      <c r="F56" s="4"/>
      <c r="G56" s="4"/>
      <c r="H56" s="4"/>
      <c r="I56" s="4"/>
      <c r="J56" s="4"/>
      <c r="K56" s="4"/>
      <c r="L56" s="4"/>
      <c r="M56" s="4"/>
      <c r="N56" s="4"/>
      <c r="O56" s="4"/>
      <c r="P56" s="4"/>
    </row>
    <row r="57" customFormat="false" ht="30" hidden="false" customHeight="true" outlineLevel="0" collapsed="false">
      <c r="B57" s="9" t="s">
        <v>1767</v>
      </c>
      <c r="C57" s="16" t="s">
        <v>1768</v>
      </c>
      <c r="D57" s="16" t="s">
        <v>115</v>
      </c>
      <c r="E57" s="16" t="s">
        <v>1769</v>
      </c>
      <c r="F57" s="16" t="s">
        <v>1770</v>
      </c>
      <c r="G57" s="16" t="s">
        <v>1771</v>
      </c>
      <c r="H57" s="16" t="s">
        <v>1772</v>
      </c>
      <c r="I57" s="16" t="s">
        <v>1773</v>
      </c>
    </row>
    <row r="58" customFormat="false" ht="15" hidden="false" customHeight="false" outlineLevel="0" collapsed="false">
      <c r="B58" s="9" t="s">
        <v>1774</v>
      </c>
      <c r="C58" s="28" t="n">
        <v>0.3</v>
      </c>
      <c r="D58" s="28" t="n">
        <v>0.15</v>
      </c>
      <c r="E58" s="28" t="n">
        <v>0.1</v>
      </c>
      <c r="F58" s="28" t="n">
        <v>0.1</v>
      </c>
      <c r="G58" s="28" t="n">
        <v>0.15</v>
      </c>
      <c r="H58" s="28" t="n">
        <v>0.1</v>
      </c>
      <c r="I58" s="28" t="n">
        <v>0.1</v>
      </c>
    </row>
    <row r="59" customFormat="false" ht="35.05" hidden="false" customHeight="false" outlineLevel="0" collapsed="false">
      <c r="A59" s="13" t="s">
        <v>356</v>
      </c>
      <c r="B59" s="13" t="s">
        <v>113</v>
      </c>
      <c r="C59" s="13" t="s">
        <v>1775</v>
      </c>
      <c r="D59" s="13" t="s">
        <v>1744</v>
      </c>
      <c r="E59" s="13" t="s">
        <v>1663</v>
      </c>
      <c r="F59" s="13" t="s">
        <v>1776</v>
      </c>
      <c r="G59" s="13" t="s">
        <v>1777</v>
      </c>
      <c r="H59" s="13" t="s">
        <v>1778</v>
      </c>
      <c r="I59" s="13" t="s">
        <v>1779</v>
      </c>
      <c r="J59" s="13" t="s">
        <v>1780</v>
      </c>
      <c r="K59" s="13" t="s">
        <v>112</v>
      </c>
      <c r="L59" s="13" t="s">
        <v>1781</v>
      </c>
      <c r="M59" s="13" t="s">
        <v>1782</v>
      </c>
      <c r="N59" s="13" t="s">
        <v>1783</v>
      </c>
      <c r="O59" s="13" t="s">
        <v>1784</v>
      </c>
    </row>
    <row r="60" customFormat="false" ht="15" hidden="false" customHeight="false" outlineLevel="0" collapsed="false">
      <c r="A60" s="9" t="n">
        <v>1</v>
      </c>
      <c r="B60" s="9" t="s">
        <v>743</v>
      </c>
      <c r="C60" s="65" t="n">
        <f aca="false">(INDEX(eng_CONTRIB,MATCH(1*1000+1*10+sel_dest,eng_key,0))+INDEX(eng_CONTRIB,MATCH(2*1000+1*10+sel_dest,eng_key,0))+INDEX(eng_CONTRIB,MATCH(3*1000+1*10+sel_dest,eng_key,0)))/3*IF(AND(INDEX(eng_fits,MATCH(1*1000+1*10+sel_dest,eng_key,0)),INDEX(eng_fits,MATCH(2*1000+1*10+sel_dest,eng_key,0)),INDEX(eng_fits,MATCH(3*1000+1*10+sel_dest,eng_key,0))),1,0.5)</f>
        <v>-8905.81402945163</v>
      </c>
      <c r="D60" s="20" t="n">
        <f aca="false">INDEX(eng_avg_cpb,MATCH(sel_scen*1000+1*10+sel_dest,eng_key,0))</f>
        <v>0.295333894894486</v>
      </c>
      <c r="E60" s="65" t="n">
        <f aca="false">INDEX(eng_PEAK,MATCH(sel_scen*1000+1*10+sel_dest,eng_key,0))</f>
        <v>21183.2667421572</v>
      </c>
      <c r="F60" s="6" t="n">
        <v>4</v>
      </c>
      <c r="G60" s="26" t="n">
        <f aca="false">IF(INDEX(eng_avg_price,MATCH(sel_scen*1000+1*10+sel_dest,eng_key,0))&gt;0,(INDEX(eng_avg_price,MATCH(sel_scen*1000+1*10+sel_dest,eng_key,0))-INDEX(eng_avg_cpb,MATCH(sel_scen*1000+1*10+sel_dest,eng_key,0)))/INDEX(eng_avg_price,MATCH(sel_scen*1000+1*10+sel_dest,eng_key,0)),0)</f>
        <v>-0.215365822611051</v>
      </c>
      <c r="H60" s="26" t="n">
        <f aca="false">INDEX(eng_CM,MATCH(1*1000+1*10+sel_dest,eng_key,0))-INDEX(eng_CM,MATCH(3*1000+1*10+sel_dest,eng_key,0))</f>
        <v>1.81721435950174</v>
      </c>
      <c r="I60" s="6" t="n">
        <v>3</v>
      </c>
      <c r="J60" s="75" t="n">
        <f aca="false">$C$58*(C60-MIN($C$60:$C$69))/MAX(MAX($C$60:$C$69)-MIN($C$60:$C$69),0.000001)+$D$58*(1-(D60-MIN($D$60:$D$69))/MAX(MAX($D$60:$D$69)-MIN($D$60:$D$69),0.000001))+$E$58*(1-(E60-MIN($E$60:$E$69))/MAX(MAX($E$60:$E$69)-MIN($E$60:$E$69),0.000001))+$F$58*(F60-MIN($F$60:$F$69))/MAX(MAX($F$60:$F$69)-MIN($F$60:$F$69),0.000001)+$G$58*(G60-MIN($G$60:$G$69))/MAX(MAX($G$60:$G$69)-MIN($G$60:$G$69),0.000001)+$H$58*(1-(H60-MIN($H$60:$H$69))/MAX(MAX($H$60:$H$69)-MIN($H$60:$H$69),0.000001))+$I$58*(I60-MIN($I$60:$I$69))/MAX(MAX($I$60:$I$69)-MIN($I$60:$I$69),0.000001)</f>
        <v>0.532519846623919</v>
      </c>
      <c r="K60" s="10" t="n">
        <f aca="false">RANK(J60,$J$60:$J$69)+COUNTIF($J$60:J60,J60)-1</f>
        <v>6</v>
      </c>
      <c r="L60" s="65" t="n">
        <f aca="false">INDEX(eng_CONTRIB,MATCH(sel_scen*1000+1*10+sel_dest,eng_key,0))</f>
        <v>-7383.15028430503</v>
      </c>
      <c r="M60" s="26" t="n">
        <f aca="false">INDEX(eng_CM,MATCH(sel_scen*1000+1*10+sel_dest,eng_key,0))</f>
        <v>-0.514100414607663</v>
      </c>
      <c r="N60" s="20" t="n">
        <f aca="false">INDEX(eng_avg_cpb,MATCH(sel_scen*1000+1*10+sel_dest,eng_key,0))</f>
        <v>0.295333894894486</v>
      </c>
      <c r="O60" s="8" t="str">
        <f aca="false">IF(AND(INDEX(eng_fits,MATCH(1*1000+1*10+sel_dest,eng_key,0)),INDEX(eng_fits,MATCH(2*1000+1*10+sel_dest,eng_key,0)),INDEX(eng_fits,MATCH(3*1000+1*10+sel_dest,eng_key,0))),"Yes","No")</f>
        <v>Yes</v>
      </c>
    </row>
    <row r="61" customFormat="false" ht="15" hidden="false" customHeight="false" outlineLevel="0" collapsed="false">
      <c r="A61" s="9" t="n">
        <v>2</v>
      </c>
      <c r="B61" s="9" t="s">
        <v>745</v>
      </c>
      <c r="C61" s="65" t="n">
        <f aca="false">(INDEX(eng_CONTRIB,MATCH(1*1000+2*10+sel_dest,eng_key,0))+INDEX(eng_CONTRIB,MATCH(2*1000+2*10+sel_dest,eng_key,0))+INDEX(eng_CONTRIB,MATCH(3*1000+2*10+sel_dest,eng_key,0)))/3*IF(AND(INDEX(eng_fits,MATCH(1*1000+2*10+sel_dest,eng_key,0)),INDEX(eng_fits,MATCH(2*1000+2*10+sel_dest,eng_key,0)),INDEX(eng_fits,MATCH(3*1000+2*10+sel_dest,eng_key,0))),1,0.5)</f>
        <v>-4401.68874988563</v>
      </c>
      <c r="D61" s="20" t="n">
        <f aca="false">INDEX(eng_avg_cpb,MATCH(sel_scen*1000+2*10+sel_dest,eng_key,0))</f>
        <v>0.293641847517159</v>
      </c>
      <c r="E61" s="65" t="n">
        <f aca="false">INDEX(eng_PEAK,MATCH(sel_scen*1000+2*10+sel_dest,eng_key,0))</f>
        <v>21083.2667421572</v>
      </c>
      <c r="F61" s="6" t="n">
        <v>4</v>
      </c>
      <c r="G61" s="26" t="n">
        <f aca="false">IF(INDEX(eng_avg_price,MATCH(sel_scen*1000+2*10+sel_dest,eng_key,0))&gt;0,(INDEX(eng_avg_price,MATCH(sel_scen*1000+2*10+sel_dest,eng_key,0))-INDEX(eng_avg_cpb,MATCH(sel_scen*1000+2*10+sel_dest,eng_key,0)))/INDEX(eng_avg_price,MATCH(sel_scen*1000+2*10+sel_dest,eng_key,0)),0)</f>
        <v>-0.208402664679666</v>
      </c>
      <c r="H61" s="26" t="n">
        <f aca="false">INDEX(eng_CM,MATCH(1*1000+2*10+sel_dest,eng_key,0))-INDEX(eng_CM,MATCH(3*1000+2*10+sel_dest,eng_key,0))</f>
        <v>1.81478510323489</v>
      </c>
      <c r="I61" s="6" t="n">
        <v>2</v>
      </c>
      <c r="J61" s="75" t="n">
        <f aca="false">$C$58*(C61-MIN($C$60:$C$69))/MAX(MAX($C$60:$C$69)-MIN($C$60:$C$69),0.000001)+$D$58*(1-(D61-MIN($D$60:$D$69))/MAX(MAX($D$60:$D$69)-MIN($D$60:$D$69),0.000001))+$E$58*(1-(E61-MIN($E$60:$E$69))/MAX(MAX($E$60:$E$69)-MIN($E$60:$E$69),0.000001))+$F$58*(F61-MIN($F$60:$F$69))/MAX(MAX($F$60:$F$69)-MIN($F$60:$F$69),0.000001)+$G$58*(G61-MIN($G$60:$G$69))/MAX(MAX($G$60:$G$69)-MIN($G$60:$G$69),0.000001)+$H$58*(1-(H61-MIN($H$60:$H$69))/MAX(MAX($H$60:$H$69)-MIN($H$60:$H$69),0.000001))+$I$58*(I61-MIN($I$60:$I$69))/MAX(MAX($I$60:$I$69)-MIN($I$60:$I$69),0.000001)</f>
        <v>0.766575213766466</v>
      </c>
      <c r="K61" s="10" t="n">
        <f aca="false">RANK(J61,$J$60:$J$69)+COUNTIF($J$60:J61,J61)-1</f>
        <v>1</v>
      </c>
      <c r="L61" s="65" t="n">
        <f aca="false">INDEX(eng_CONTRIB,MATCH(sel_scen*1000+2*10+sel_dest,eng_key,0))</f>
        <v>-7281.04069526394</v>
      </c>
      <c r="M61" s="26" t="n">
        <f aca="false">INDEX(eng_CM,MATCH(sel_scen*1000+2*10+sel_dest,eng_key,0))</f>
        <v>-0.506990362659643</v>
      </c>
      <c r="N61" s="20" t="n">
        <f aca="false">INDEX(eng_avg_cpb,MATCH(sel_scen*1000+2*10+sel_dest,eng_key,0))</f>
        <v>0.293641847517159</v>
      </c>
      <c r="O61" s="8" t="str">
        <f aca="false">IF(AND(INDEX(eng_fits,MATCH(1*1000+2*10+sel_dest,eng_key,0)),INDEX(eng_fits,MATCH(2*1000+2*10+sel_dest,eng_key,0)),INDEX(eng_fits,MATCH(3*1000+2*10+sel_dest,eng_key,0))),"Yes","No")</f>
        <v>No</v>
      </c>
    </row>
    <row r="62" customFormat="false" ht="15" hidden="false" customHeight="false" outlineLevel="0" collapsed="false">
      <c r="A62" s="9" t="n">
        <v>3</v>
      </c>
      <c r="B62" s="9" t="s">
        <v>746</v>
      </c>
      <c r="C62" s="65" t="n">
        <f aca="false">(INDEX(eng_CONTRIB,MATCH(1*1000+3*10+sel_dest,eng_key,0))+INDEX(eng_CONTRIB,MATCH(2*1000+3*10+sel_dest,eng_key,0))+INDEX(eng_CONTRIB,MATCH(3*1000+3*10+sel_dest,eng_key,0)))/3*IF(AND(INDEX(eng_fits,MATCH(1*1000+3*10+sel_dest,eng_key,0)),INDEX(eng_fits,MATCH(2*1000+3*10+sel_dest,eng_key,0)),INDEX(eng_fits,MATCH(3*1000+3*10+sel_dest,eng_key,0))),1,0.5)</f>
        <v>-6617.0519011215</v>
      </c>
      <c r="D62" s="20" t="n">
        <f aca="false">INDEX(eng_avg_cpb,MATCH(sel_scen*1000+3*10+sel_dest,eng_key,0))</f>
        <v>0.354431002552403</v>
      </c>
      <c r="E62" s="65" t="n">
        <f aca="false">INDEX(eng_PEAK,MATCH(sel_scen*1000+3*10+sel_dest,eng_key,0))</f>
        <v>24675.9058047401</v>
      </c>
      <c r="F62" s="6" t="n">
        <v>3</v>
      </c>
      <c r="G62" s="26" t="n">
        <f aca="false">IF(INDEX(eng_avg_price,MATCH(sel_scen*1000+3*10+sel_dest,eng_key,0))&gt;0,(INDEX(eng_avg_price,MATCH(sel_scen*1000+3*10+sel_dest,eng_key,0))-INDEX(eng_avg_cpb,MATCH(sel_scen*1000+3*10+sel_dest,eng_key,0)))/INDEX(eng_avg_price,MATCH(sel_scen*1000+3*10+sel_dest,eng_key,0)),0)</f>
        <v>-0.458563796511945</v>
      </c>
      <c r="H62" s="26" t="n">
        <f aca="false">INDEX(eng_CM,MATCH(1*1000+3*10+sel_dest,eng_key,0))-INDEX(eng_CM,MATCH(3*1000+3*10+sel_dest,eng_key,0))</f>
        <v>2.29096304636835</v>
      </c>
      <c r="I62" s="6" t="n">
        <v>2</v>
      </c>
      <c r="J62" s="75" t="n">
        <f aca="false">$C$58*(C62-MIN($C$60:$C$69))/MAX(MAX($C$60:$C$69)-MIN($C$60:$C$69),0.000001)+$D$58*(1-(D62-MIN($D$60:$D$69))/MAX(MAX($D$60:$D$69)-MIN($D$60:$D$69),0.000001))+$E$58*(1-(E62-MIN($E$60:$E$69))/MAX(MAX($E$60:$E$69)-MIN($E$60:$E$69),0.000001))+$F$58*(F62-MIN($F$60:$F$69))/MAX(MAX($F$60:$F$69)-MIN($F$60:$F$69),0.000001)+$G$58*(G62-MIN($G$60:$G$69))/MAX(MAX($G$60:$G$69)-MIN($G$60:$G$69),0.000001)+$H$58*(1-(H62-MIN($H$60:$H$69))/MAX(MAX($H$60:$H$69)-MIN($H$60:$H$69),0.000001))+$I$58*(I62-MIN($I$60:$I$69))/MAX(MAX($I$60:$I$69)-MIN($I$60:$I$69),0.000001)</f>
        <v>0.491415814212863</v>
      </c>
      <c r="K62" s="10" t="n">
        <f aca="false">RANK(J62,$J$60:$J$69)+COUNTIF($J$60:J62,J62)-1</f>
        <v>8</v>
      </c>
      <c r="L62" s="65" t="n">
        <f aca="false">INDEX(eng_CONTRIB,MATCH(sel_scen*1000+3*10+sel_dest,eng_key,0))</f>
        <v>-10938.8614586191</v>
      </c>
      <c r="M62" s="26" t="n">
        <f aca="false">INDEX(eng_CM,MATCH(sel_scen*1000+3*10+sel_dest,eng_key,0))</f>
        <v>-0.76169019925906</v>
      </c>
      <c r="N62" s="20" t="n">
        <f aca="false">INDEX(eng_avg_cpb,MATCH(sel_scen*1000+3*10+sel_dest,eng_key,0))</f>
        <v>0.354431002552403</v>
      </c>
      <c r="O62" s="8" t="str">
        <f aca="false">IF(AND(INDEX(eng_fits,MATCH(1*1000+3*10+sel_dest,eng_key,0)),INDEX(eng_fits,MATCH(2*1000+3*10+sel_dest,eng_key,0)),INDEX(eng_fits,MATCH(3*1000+3*10+sel_dest,eng_key,0))),"Yes","No")</f>
        <v>No</v>
      </c>
    </row>
    <row r="63" customFormat="false" ht="15" hidden="false" customHeight="false" outlineLevel="0" collapsed="false">
      <c r="A63" s="9" t="n">
        <v>4</v>
      </c>
      <c r="B63" s="9" t="s">
        <v>747</v>
      </c>
      <c r="C63" s="65" t="n">
        <f aca="false">(INDEX(eng_CONTRIB,MATCH(1*1000+4*10+sel_dest,eng_key,0))+INDEX(eng_CONTRIB,MATCH(2*1000+4*10+sel_dest,eng_key,0))+INDEX(eng_CONTRIB,MATCH(3*1000+4*10+sel_dest,eng_key,0)))/3*IF(AND(INDEX(eng_fits,MATCH(1*1000+4*10+sel_dest,eng_key,0)),INDEX(eng_fits,MATCH(2*1000+4*10+sel_dest,eng_key,0)),INDEX(eng_fits,MATCH(3*1000+4*10+sel_dest,eng_key,0))),1,0.5)</f>
        <v>-7551.09341662187</v>
      </c>
      <c r="D63" s="20" t="n">
        <f aca="false">INDEX(eng_avg_cpb,MATCH(sel_scen*1000+4*10+sel_dest,eng_key,0))</f>
        <v>0.26663404657784</v>
      </c>
      <c r="E63" s="65" t="n">
        <f aca="false">INDEX(eng_PEAK,MATCH(sel_scen*1000+4*10+sel_dest,eng_key,0))</f>
        <v>24413.3663615701</v>
      </c>
      <c r="F63" s="6" t="n">
        <v>4</v>
      </c>
      <c r="G63" s="26" t="n">
        <f aca="false">IF(INDEX(eng_avg_price,MATCH(sel_scen*1000+4*10+sel_dest,eng_key,0))&gt;0,(INDEX(eng_avg_price,MATCH(sel_scen*1000+4*10+sel_dest,eng_key,0))-INDEX(eng_avg_cpb,MATCH(sel_scen*1000+4*10+sel_dest,eng_key,0)))/INDEX(eng_avg_price,MATCH(sel_scen*1000+4*10+sel_dest,eng_key,0)),0)</f>
        <v>-0.0972594509376113</v>
      </c>
      <c r="H63" s="26" t="n">
        <f aca="false">INDEX(eng_CM,MATCH(1*1000+4*10+sel_dest,eng_key,0))-INDEX(eng_CM,MATCH(3*1000+4*10+sel_dest,eng_key,0))</f>
        <v>1.82929344688786</v>
      </c>
      <c r="I63" s="6" t="n">
        <v>2</v>
      </c>
      <c r="J63" s="75" t="n">
        <f aca="false">$C$58*(C63-MIN($C$60:$C$69))/MAX(MAX($C$60:$C$69)-MIN($C$60:$C$69),0.000001)+$D$58*(1-(D63-MIN($D$60:$D$69))/MAX(MAX($D$60:$D$69)-MIN($D$60:$D$69),0.000001))+$E$58*(1-(E63-MIN($E$60:$E$69))/MAX(MAX($E$60:$E$69)-MIN($E$60:$E$69),0.000001))+$F$58*(F63-MIN($F$60:$F$69))/MAX(MAX($F$60:$F$69)-MIN($F$60:$F$69),0.000001)+$G$58*(G63-MIN($G$60:$G$69))/MAX(MAX($G$60:$G$69)-MIN($G$60:$G$69),0.000001)+$H$58*(1-(H63-MIN($H$60:$H$69))/MAX(MAX($H$60:$H$69)-MIN($H$60:$H$69),0.000001))+$I$58*(I63-MIN($I$60:$I$69))/MAX(MAX($I$60:$I$69)-MIN($I$60:$I$69),0.000001)</f>
        <v>0.577284776934779</v>
      </c>
      <c r="K63" s="10" t="n">
        <f aca="false">RANK(J63,$J$60:$J$69)+COUNTIF($J$60:J63,J63)-1</f>
        <v>4</v>
      </c>
      <c r="L63" s="65" t="n">
        <f aca="false">INDEX(eng_CONTRIB,MATCH(sel_scen*1000+4*10+sel_dest,eng_key,0))</f>
        <v>-6405.74659036083</v>
      </c>
      <c r="M63" s="26" t="n">
        <f aca="false">INDEX(eng_CM,MATCH(sel_scen*1000+4*10+sel_dest,eng_key,0))</f>
        <v>-0.345769187419486</v>
      </c>
      <c r="N63" s="20" t="n">
        <f aca="false">INDEX(eng_avg_cpb,MATCH(sel_scen*1000+4*10+sel_dest,eng_key,0))</f>
        <v>0.26663404657784</v>
      </c>
      <c r="O63" s="8" t="str">
        <f aca="false">IF(AND(INDEX(eng_fits,MATCH(1*1000+4*10+sel_dest,eng_key,0)),INDEX(eng_fits,MATCH(2*1000+4*10+sel_dest,eng_key,0)),INDEX(eng_fits,MATCH(3*1000+4*10+sel_dest,eng_key,0))),"Yes","No")</f>
        <v>Yes</v>
      </c>
    </row>
    <row r="64" customFormat="false" ht="15" hidden="false" customHeight="false" outlineLevel="0" collapsed="false">
      <c r="A64" s="9" t="n">
        <v>5</v>
      </c>
      <c r="B64" s="9" t="s">
        <v>749</v>
      </c>
      <c r="C64" s="65" t="n">
        <f aca="false">(INDEX(eng_CONTRIB,MATCH(1*1000+5*10+sel_dest,eng_key,0))+INDEX(eng_CONTRIB,MATCH(2*1000+5*10+sel_dest,eng_key,0))+INDEX(eng_CONTRIB,MATCH(3*1000+5*10+sel_dest,eng_key,0)))/3*IF(AND(INDEX(eng_fits,MATCH(1*1000+5*10+sel_dest,eng_key,0)),INDEX(eng_fits,MATCH(2*1000+5*10+sel_dest,eng_key,0)),INDEX(eng_fits,MATCH(3*1000+5*10+sel_dest,eng_key,0))),1,0.5)</f>
        <v>-9194.88510360838</v>
      </c>
      <c r="D64" s="20" t="n">
        <f aca="false">INDEX(eng_avg_cpb,MATCH(sel_scen*1000+5*10+sel_dest,eng_key,0))</f>
        <v>0.282500949459519</v>
      </c>
      <c r="E64" s="65" t="n">
        <f aca="false">INDEX(eng_PEAK,MATCH(sel_scen*1000+5*10+sel_dest,eng_key,0))</f>
        <v>25334.5002294686</v>
      </c>
      <c r="F64" s="6" t="n">
        <v>5</v>
      </c>
      <c r="G64" s="26" t="n">
        <f aca="false">IF(INDEX(eng_avg_price,MATCH(sel_scen*1000+5*10+sel_dest,eng_key,0))&gt;0,(INDEX(eng_avg_price,MATCH(sel_scen*1000+5*10+sel_dest,eng_key,0))-INDEX(eng_avg_cpb,MATCH(sel_scen*1000+5*10+sel_dest,eng_key,0)))/INDEX(eng_avg_price,MATCH(sel_scen*1000+5*10+sel_dest,eng_key,0)),0)</f>
        <v>-0.207269014784267</v>
      </c>
      <c r="H64" s="26" t="n">
        <f aca="false">INDEX(eng_CM,MATCH(1*1000+5*10+sel_dest,eng_key,0))-INDEX(eng_CM,MATCH(3*1000+5*10+sel_dest,eng_key,0))</f>
        <v>2.11670196498597</v>
      </c>
      <c r="I64" s="6" t="n">
        <v>2</v>
      </c>
      <c r="J64" s="75" t="n">
        <f aca="false">$C$58*(C64-MIN($C$60:$C$69))/MAX(MAX($C$60:$C$69)-MIN($C$60:$C$69),0.000001)+$D$58*(1-(D64-MIN($D$60:$D$69))/MAX(MAX($D$60:$D$69)-MIN($D$60:$D$69),0.000001))+$E$58*(1-(E64-MIN($E$60:$E$69))/MAX(MAX($E$60:$E$69)-MIN($E$60:$E$69),0.000001))+$F$58*(F64-MIN($F$60:$F$69))/MAX(MAX($F$60:$F$69)-MIN($F$60:$F$69),0.000001)+$G$58*(G64-MIN($G$60:$G$69))/MAX(MAX($G$60:$G$69)-MIN($G$60:$G$69),0.000001)+$H$58*(1-(H64-MIN($H$60:$H$69))/MAX(MAX($H$60:$H$69)-MIN($H$60:$H$69),0.000001))+$I$58*(I64-MIN($I$60:$I$69))/MAX(MAX($I$60:$I$69)-MIN($I$60:$I$69),0.000001)</f>
        <v>0.492783440890846</v>
      </c>
      <c r="K64" s="10" t="n">
        <f aca="false">RANK(J64,$J$60:$J$69)+COUNTIF($J$60:J64,J64)-1</f>
        <v>7</v>
      </c>
      <c r="L64" s="65" t="n">
        <f aca="false">INDEX(eng_CONTRIB,MATCH(sel_scen*1000+5*10+sel_dest,eng_key,0))</f>
        <v>-8196.69760281199</v>
      </c>
      <c r="M64" s="26" t="n">
        <f aca="false">INDEX(eng_CM,MATCH(sel_scen*1000+5*10+sel_dest,eng_key,0))</f>
        <v>-0.467921750390586</v>
      </c>
      <c r="N64" s="20" t="n">
        <f aca="false">INDEX(eng_avg_cpb,MATCH(sel_scen*1000+5*10+sel_dest,eng_key,0))</f>
        <v>0.282500949459519</v>
      </c>
      <c r="O64" s="8" t="str">
        <f aca="false">IF(AND(INDEX(eng_fits,MATCH(1*1000+5*10+sel_dest,eng_key,0)),INDEX(eng_fits,MATCH(2*1000+5*10+sel_dest,eng_key,0)),INDEX(eng_fits,MATCH(3*1000+5*10+sel_dest,eng_key,0))),"Yes","No")</f>
        <v>Yes</v>
      </c>
    </row>
    <row r="65" customFormat="false" ht="15" hidden="false" customHeight="false" outlineLevel="0" collapsed="false">
      <c r="A65" s="9" t="n">
        <v>6</v>
      </c>
      <c r="B65" s="9" t="s">
        <v>751</v>
      </c>
      <c r="C65" s="65" t="n">
        <f aca="false">(INDEX(eng_CONTRIB,MATCH(1*1000+6*10+sel_dest,eng_key,0))+INDEX(eng_CONTRIB,MATCH(2*1000+6*10+sel_dest,eng_key,0))+INDEX(eng_CONTRIB,MATCH(3*1000+6*10+sel_dest,eng_key,0)))/3*IF(AND(INDEX(eng_fits,MATCH(1*1000+6*10+sel_dest,eng_key,0)),INDEX(eng_fits,MATCH(2*1000+6*10+sel_dest,eng_key,0)),INDEX(eng_fits,MATCH(3*1000+6*10+sel_dest,eng_key,0))),1,0.5)</f>
        <v>-6839.63154017238</v>
      </c>
      <c r="D65" s="20" t="n">
        <f aca="false">INDEX(eng_avg_cpb,MATCH(sel_scen*1000+6*10+sel_dest,eng_key,0))</f>
        <v>0.286078967692703</v>
      </c>
      <c r="E65" s="65" t="n">
        <f aca="false">INDEX(eng_PEAK,MATCH(sel_scen*1000+6*10+sel_dest,eng_key,0))</f>
        <v>22738.4868761227</v>
      </c>
      <c r="F65" s="6" t="n">
        <v>5</v>
      </c>
      <c r="G65" s="26" t="n">
        <f aca="false">IF(INDEX(eng_avg_price,MATCH(sel_scen*1000+6*10+sel_dest,eng_key,0))&gt;0,(INDEX(eng_avg_price,MATCH(sel_scen*1000+6*10+sel_dest,eng_key,0))-INDEX(eng_avg_cpb,MATCH(sel_scen*1000+6*10+sel_dest,eng_key,0)))/INDEX(eng_avg_price,MATCH(sel_scen*1000+6*10+sel_dest,eng_key,0)),0)</f>
        <v>-0.0595517321951961</v>
      </c>
      <c r="H65" s="26" t="n">
        <f aca="false">INDEX(eng_CM,MATCH(1*1000+6*10+sel_dest,eng_key,0))-INDEX(eng_CM,MATCH(3*1000+6*10+sel_dest,eng_key,0))</f>
        <v>1.84586818721398</v>
      </c>
      <c r="I65" s="6" t="n">
        <v>2</v>
      </c>
      <c r="J65" s="75" t="n">
        <f aca="false">$C$58*(C65-MIN($C$60:$C$69))/MAX(MAX($C$60:$C$69)-MIN($C$60:$C$69),0.000001)+$D$58*(1-(D65-MIN($D$60:$D$69))/MAX(MAX($D$60:$D$69)-MIN($D$60:$D$69),0.000001))+$E$58*(1-(E65-MIN($E$60:$E$69))/MAX(MAX($E$60:$E$69)-MIN($E$60:$E$69),0.000001))+$F$58*(F65-MIN($F$60:$F$69))/MAX(MAX($F$60:$F$69)-MIN($F$60:$F$69),0.000001)+$G$58*(G65-MIN($G$60:$G$69))/MAX(MAX($G$60:$G$69)-MIN($G$60:$G$69),0.000001)+$H$58*(1-(H65-MIN($H$60:$H$69))/MAX(MAX($H$60:$H$69)-MIN($H$60:$H$69),0.000001))+$I$58*(I65-MIN($I$60:$I$69))/MAX(MAX($I$60:$I$69)-MIN($I$60:$I$69),0.000001)</f>
        <v>0.675553500145096</v>
      </c>
      <c r="K65" s="10" t="n">
        <f aca="false">RANK(J65,$J$60:$J$69)+COUNTIF($J$60:J65,J65)-1</f>
        <v>3</v>
      </c>
      <c r="L65" s="65" t="n">
        <f aca="false">INDEX(eng_CONTRIB,MATCH(sel_scen*1000+6*10+sel_dest,eng_key,0))</f>
        <v>-5581.94590966994</v>
      </c>
      <c r="M65" s="26" t="n">
        <f aca="false">INDEX(eng_CM,MATCH(sel_scen*1000+6*10+sel_dest,eng_key,0))</f>
        <v>-0.313967154885258</v>
      </c>
      <c r="N65" s="20" t="n">
        <f aca="false">INDEX(eng_avg_cpb,MATCH(sel_scen*1000+6*10+sel_dest,eng_key,0))</f>
        <v>0.286078967692703</v>
      </c>
      <c r="O65" s="8" t="str">
        <f aca="false">IF(AND(INDEX(eng_fits,MATCH(1*1000+6*10+sel_dest,eng_key,0)),INDEX(eng_fits,MATCH(2*1000+6*10+sel_dest,eng_key,0)),INDEX(eng_fits,MATCH(3*1000+6*10+sel_dest,eng_key,0))),"Yes","No")</f>
        <v>Yes</v>
      </c>
    </row>
    <row r="66" customFormat="false" ht="15" hidden="false" customHeight="false" outlineLevel="0" collapsed="false">
      <c r="A66" s="9" t="n">
        <v>7</v>
      </c>
      <c r="B66" s="9" t="s">
        <v>752</v>
      </c>
      <c r="C66" s="65" t="n">
        <f aca="false">(INDEX(eng_CONTRIB,MATCH(1*1000+7*10+sel_dest,eng_key,0))+INDEX(eng_CONTRIB,MATCH(2*1000+7*10+sel_dest,eng_key,0))+INDEX(eng_CONTRIB,MATCH(3*1000+7*10+sel_dest,eng_key,0)))/3*IF(AND(INDEX(eng_fits,MATCH(1*1000+7*10+sel_dest,eng_key,0)),INDEX(eng_fits,MATCH(2*1000+7*10+sel_dest,eng_key,0)),INDEX(eng_fits,MATCH(3*1000+7*10+sel_dest,eng_key,0))),1,0.5)</f>
        <v>-5837.75796310114</v>
      </c>
      <c r="D66" s="20" t="n">
        <f aca="false">INDEX(eng_avg_cpb,MATCH(sel_scen*1000+7*10+sel_dest,eng_key,0))</f>
        <v>0.222009383891501</v>
      </c>
      <c r="E66" s="65" t="n">
        <f aca="false">INDEX(eng_PEAK,MATCH(sel_scen*1000+7*10+sel_dest,eng_key,0))</f>
        <v>27715.0373530822</v>
      </c>
      <c r="F66" s="6" t="n">
        <v>5</v>
      </c>
      <c r="G66" s="26" t="n">
        <f aca="false">IF(INDEX(eng_avg_price,MATCH(sel_scen*1000+7*10+sel_dest,eng_key,0))&gt;0,(INDEX(eng_avg_price,MATCH(sel_scen*1000+7*10+sel_dest,eng_key,0))-INDEX(eng_avg_cpb,MATCH(sel_scen*1000+7*10+sel_dest,eng_key,0)))/INDEX(eng_avg_price,MATCH(sel_scen*1000+7*10+sel_dest,eng_key,0)),0)</f>
        <v>0.0132916271488823</v>
      </c>
      <c r="H66" s="26" t="n">
        <f aca="false">INDEX(eng_CM,MATCH(1*1000+7*10+sel_dest,eng_key,0))-INDEX(eng_CM,MATCH(3*1000+7*10+sel_dest,eng_key,0))</f>
        <v>1.43938125157942</v>
      </c>
      <c r="I66" s="6" t="n">
        <v>2</v>
      </c>
      <c r="J66" s="75" t="n">
        <f aca="false">$C$58*(C66-MIN($C$60:$C$69))/MAX(MAX($C$60:$C$69)-MIN($C$60:$C$69),0.000001)+$D$58*(1-(D66-MIN($D$60:$D$69))/MAX(MAX($D$60:$D$69)-MIN($D$60:$D$69),0.000001))+$E$58*(1-(E66-MIN($E$60:$E$69))/MAX(MAX($E$60:$E$69)-MIN($E$60:$E$69),0.000001))+$F$58*(F66-MIN($F$60:$F$69))/MAX(MAX($F$60:$F$69)-MIN($F$60:$F$69),0.000001)+$G$58*(G66-MIN($G$60:$G$69))/MAX(MAX($G$60:$G$69)-MIN($G$60:$G$69),0.000001)+$H$58*(1-(H66-MIN($H$60:$H$69))/MAX(MAX($H$60:$H$69)-MIN($H$60:$H$69),0.000001))+$I$58*(I66-MIN($I$60:$I$69))/MAX(MAX($I$60:$I$69)-MIN($I$60:$I$69),0.000001)</f>
        <v>0.760118273450232</v>
      </c>
      <c r="K66" s="10" t="n">
        <f aca="false">RANK(J66,$J$60:$J$69)+COUNTIF($J$60:J66,J66)-1</f>
        <v>2</v>
      </c>
      <c r="L66" s="65" t="n">
        <f aca="false">INDEX(eng_CONTRIB,MATCH(sel_scen*1000+7*10+sel_dest,eng_key,0))</f>
        <v>-4657.20752067569</v>
      </c>
      <c r="M66" s="26" t="n">
        <f aca="false">INDEX(eng_CM,MATCH(sel_scen*1000+7*10+sel_dest,eng_key,0))</f>
        <v>-0.197499142130949</v>
      </c>
      <c r="N66" s="20" t="n">
        <f aca="false">INDEX(eng_avg_cpb,MATCH(sel_scen*1000+7*10+sel_dest,eng_key,0))</f>
        <v>0.222009383891501</v>
      </c>
      <c r="O66" s="8" t="str">
        <f aca="false">IF(AND(INDEX(eng_fits,MATCH(1*1000+7*10+sel_dest,eng_key,0)),INDEX(eng_fits,MATCH(2*1000+7*10+sel_dest,eng_key,0)),INDEX(eng_fits,MATCH(3*1000+7*10+sel_dest,eng_key,0))),"Yes","No")</f>
        <v>Yes</v>
      </c>
    </row>
    <row r="67" customFormat="false" ht="15" hidden="false" customHeight="false" outlineLevel="0" collapsed="false">
      <c r="A67" s="9" t="n">
        <v>8</v>
      </c>
      <c r="B67" s="9" t="s">
        <v>753</v>
      </c>
      <c r="C67" s="65" t="n">
        <f aca="false">(INDEX(eng_CONTRIB,MATCH(1*1000+8*10+sel_dest,eng_key,0))+INDEX(eng_CONTRIB,MATCH(2*1000+8*10+sel_dest,eng_key,0))+INDEX(eng_CONTRIB,MATCH(3*1000+8*10+sel_dest,eng_key,0)))/3*IF(AND(INDEX(eng_fits,MATCH(1*1000+8*10+sel_dest,eng_key,0)),INDEX(eng_fits,MATCH(2*1000+8*10+sel_dest,eng_key,0)),INDEX(eng_fits,MATCH(3*1000+8*10+sel_dest,eng_key,0))),1,0.5)</f>
        <v>-7962.81647588856</v>
      </c>
      <c r="D67" s="20" t="n">
        <f aca="false">INDEX(eng_avg_cpb,MATCH(sel_scen*1000+8*10+sel_dest,eng_key,0))</f>
        <v>0.27910637240512</v>
      </c>
      <c r="E67" s="65" t="n">
        <f aca="false">INDEX(eng_PEAK,MATCH(sel_scen*1000+8*10+sel_dest,eng_key,0))</f>
        <v>22528.3687842304</v>
      </c>
      <c r="F67" s="6" t="n">
        <v>4</v>
      </c>
      <c r="G67" s="26" t="n">
        <f aca="false">IF(INDEX(eng_avg_price,MATCH(sel_scen*1000+8*10+sel_dest,eng_key,0))&gt;0,(INDEX(eng_avg_price,MATCH(sel_scen*1000+8*10+sel_dest,eng_key,0))-INDEX(eng_avg_cpb,MATCH(sel_scen*1000+8*10+sel_dest,eng_key,0)))/INDEX(eng_avg_price,MATCH(sel_scen*1000+8*10+sel_dest,eng_key,0)),0)</f>
        <v>-0.148585894671274</v>
      </c>
      <c r="H67" s="26" t="n">
        <f aca="false">INDEX(eng_CM,MATCH(1*1000+8*10+sel_dest,eng_key,0))-INDEX(eng_CM,MATCH(3*1000+8*10+sel_dest,eng_key,0))</f>
        <v>1.95390969194163</v>
      </c>
      <c r="I67" s="6" t="n">
        <v>2</v>
      </c>
      <c r="J67" s="75" t="n">
        <f aca="false">$C$58*(C67-MIN($C$60:$C$69))/MAX(MAX($C$60:$C$69)-MIN($C$60:$C$69),0.000001)+$D$58*(1-(D67-MIN($D$60:$D$69))/MAX(MAX($D$60:$D$69)-MIN($D$60:$D$69),0.000001))+$E$58*(1-(E67-MIN($E$60:$E$69))/MAX(MAX($E$60:$E$69)-MIN($E$60:$E$69),0.000001))+$F$58*(F67-MIN($F$60:$F$69))/MAX(MAX($F$60:$F$69)-MIN($F$60:$F$69),0.000001)+$G$58*(G67-MIN($G$60:$G$69))/MAX(MAX($G$60:$G$69)-MIN($G$60:$G$69),0.000001)+$H$58*(1-(H67-MIN($H$60:$H$69))/MAX(MAX($H$60:$H$69)-MIN($H$60:$H$69),0.000001))+$I$58*(I67-MIN($I$60:$I$69))/MAX(MAX($I$60:$I$69)-MIN($I$60:$I$69),0.000001)</f>
        <v>0.546523606257794</v>
      </c>
      <c r="K67" s="10" t="n">
        <f aca="false">RANK(J67,$J$60:$J$69)+COUNTIF($J$60:J67,J67)-1</f>
        <v>5</v>
      </c>
      <c r="L67" s="65" t="n">
        <f aca="false">INDEX(eng_CONTRIB,MATCH(sel_scen*1000+8*10+sel_dest,eng_key,0))</f>
        <v>-6839.9835592274</v>
      </c>
      <c r="M67" s="26" t="n">
        <f aca="false">INDEX(eng_CM,MATCH(sel_scen*1000+8*10+sel_dest,eng_key,0))</f>
        <v>-0.421485714787412</v>
      </c>
      <c r="N67" s="20" t="n">
        <f aca="false">INDEX(eng_avg_cpb,MATCH(sel_scen*1000+8*10+sel_dest,eng_key,0))</f>
        <v>0.27910637240512</v>
      </c>
      <c r="O67" s="8" t="str">
        <f aca="false">IF(AND(INDEX(eng_fits,MATCH(1*1000+8*10+sel_dest,eng_key,0)),INDEX(eng_fits,MATCH(2*1000+8*10+sel_dest,eng_key,0)),INDEX(eng_fits,MATCH(3*1000+8*10+sel_dest,eng_key,0))),"Yes","No")</f>
        <v>Yes</v>
      </c>
    </row>
    <row r="68" customFormat="false" ht="15" hidden="false" customHeight="false" outlineLevel="0" collapsed="false">
      <c r="A68" s="9" t="n">
        <v>9</v>
      </c>
      <c r="B68" s="9" t="s">
        <v>754</v>
      </c>
      <c r="C68" s="65" t="n">
        <f aca="false">(INDEX(eng_CONTRIB,MATCH(1*1000+9*10+sel_dest,eng_key,0))+INDEX(eng_CONTRIB,MATCH(2*1000+9*10+sel_dest,eng_key,0))+INDEX(eng_CONTRIB,MATCH(3*1000+9*10+sel_dest,eng_key,0)))/3*IF(AND(INDEX(eng_fits,MATCH(1*1000+9*10+sel_dest,eng_key,0)),INDEX(eng_fits,MATCH(2*1000+9*10+sel_dest,eng_key,0)),INDEX(eng_fits,MATCH(3*1000+9*10+sel_dest,eng_key,0))),1,0.5)</f>
        <v>-8696.32590056121</v>
      </c>
      <c r="D68" s="20" t="n">
        <f aca="false">INDEX(eng_avg_cpb,MATCH(sel_scen*1000+9*10+sel_dest,eng_key,0))</f>
        <v>0.367339007653495</v>
      </c>
      <c r="E68" s="65" t="n">
        <f aca="false">INDEX(eng_PEAK,MATCH(sel_scen*1000+9*10+sel_dest,eng_key,0))</f>
        <v>14657.5475202938</v>
      </c>
      <c r="F68" s="6" t="n">
        <v>4</v>
      </c>
      <c r="G68" s="26" t="n">
        <f aca="false">IF(INDEX(eng_avg_price,MATCH(sel_scen*1000+9*10+sel_dest,eng_key,0))&gt;0,(INDEX(eng_avg_price,MATCH(sel_scen*1000+9*10+sel_dest,eng_key,0))-INDEX(eng_avg_cpb,MATCH(sel_scen*1000+9*10+sel_dest,eng_key,0)))/INDEX(eng_avg_price,MATCH(sel_scen*1000+9*10+sel_dest,eng_key,0)),0)</f>
        <v>-0.511683159067878</v>
      </c>
      <c r="H68" s="26" t="n">
        <f aca="false">INDEX(eng_CM,MATCH(1*1000+9*10+sel_dest,eng_key,0))-INDEX(eng_CM,MATCH(3*1000+9*10+sel_dest,eng_key,0))</f>
        <v>3.17060956038307</v>
      </c>
      <c r="I68" s="6" t="n">
        <v>2</v>
      </c>
      <c r="J68" s="75" t="n">
        <f aca="false">$C$58*(C68-MIN($C$60:$C$69))/MAX(MAX($C$60:$C$69)-MIN($C$60:$C$69),0.000001)+$D$58*(1-(D68-MIN($D$60:$D$69))/MAX(MAX($D$60:$D$69)-MIN($D$60:$D$69),0.000001))+$E$58*(1-(E68-MIN($E$60:$E$69))/MAX(MAX($E$60:$E$69)-MIN($E$60:$E$69),0.000001))+$F$58*(F68-MIN($F$60:$F$69))/MAX(MAX($F$60:$F$69)-MIN($F$60:$F$69),0.000001)+$G$58*(G68-MIN($G$60:$G$69))/MAX(MAX($G$60:$G$69)-MIN($G$60:$G$69),0.000001)+$H$58*(1-(H68-MIN($H$60:$H$69))/MAX(MAX($H$60:$H$69)-MIN($H$60:$H$69),0.000001))+$I$58*(I68-MIN($I$60:$I$69))/MAX(MAX($I$60:$I$69)-MIN($I$60:$I$69),0.000001)</f>
        <v>0.429327478846524</v>
      </c>
      <c r="K68" s="10" t="n">
        <f aca="false">RANK(J68,$J$60:$J$69)+COUNTIF($J$60:J68,J68)-1</f>
        <v>9</v>
      </c>
      <c r="L68" s="65" t="n">
        <f aca="false">INDEX(eng_CONTRIB,MATCH(sel_scen*1000+9*10+sel_dest,eng_key,0))</f>
        <v>-7650.61037443079</v>
      </c>
      <c r="M68" s="26" t="n">
        <f aca="false">INDEX(eng_CM,MATCH(sel_scen*1000+9*10+sel_dest,eng_key,0))</f>
        <v>-1.00513977940857</v>
      </c>
      <c r="N68" s="20" t="n">
        <f aca="false">INDEX(eng_avg_cpb,MATCH(sel_scen*1000+9*10+sel_dest,eng_key,0))</f>
        <v>0.367339007653495</v>
      </c>
      <c r="O68" s="8" t="str">
        <f aca="false">IF(AND(INDEX(eng_fits,MATCH(1*1000+9*10+sel_dest,eng_key,0)),INDEX(eng_fits,MATCH(2*1000+9*10+sel_dest,eng_key,0)),INDEX(eng_fits,MATCH(3*1000+9*10+sel_dest,eng_key,0))),"Yes","No")</f>
        <v>Yes</v>
      </c>
    </row>
    <row r="69" customFormat="false" ht="15" hidden="false" customHeight="false" outlineLevel="0" collapsed="false">
      <c r="A69" s="9" t="n">
        <v>10</v>
      </c>
      <c r="B69" s="9" t="s">
        <v>755</v>
      </c>
      <c r="C69" s="65" t="n">
        <f aca="false">(INDEX(eng_CONTRIB,MATCH(1*1000+10*10+sel_dest,eng_key,0))+INDEX(eng_CONTRIB,MATCH(2*1000+10*10+sel_dest,eng_key,0))+INDEX(eng_CONTRIB,MATCH(3*1000+10*10+sel_dest,eng_key,0)))/3*IF(AND(INDEX(eng_fits,MATCH(1*1000+10*10+sel_dest,eng_key,0)),INDEX(eng_fits,MATCH(2*1000+10*10+sel_dest,eng_key,0)),INDEX(eng_fits,MATCH(3*1000+10*10+sel_dest,eng_key,0))),1,0.5)</f>
        <v>-7310.00953675842</v>
      </c>
      <c r="D69" s="20" t="n">
        <f aca="false">INDEX(eng_avg_cpb,MATCH(sel_scen*1000+10*10+sel_dest,eng_key,0))</f>
        <v>0.552817567454738</v>
      </c>
      <c r="E69" s="65" t="n">
        <f aca="false">INDEX(eng_PEAK,MATCH(sel_scen*1000+10*10+sel_dest,eng_key,0))</f>
        <v>8150.20095017445</v>
      </c>
      <c r="F69" s="6" t="n">
        <v>3</v>
      </c>
      <c r="G69" s="26" t="n">
        <f aca="false">IF(INDEX(eng_avg_price,MATCH(sel_scen*1000+10*10+sel_dest,eng_key,0))&gt;0,(INDEX(eng_avg_price,MATCH(sel_scen*1000+10*10+sel_dest,eng_key,0))-INDEX(eng_avg_cpb,MATCH(sel_scen*1000+10*10+sel_dest,eng_key,0)))/INDEX(eng_avg_price,MATCH(sel_scen*1000+10*10+sel_dest,eng_key,0)),0)</f>
        <v>-1.27412714408136</v>
      </c>
      <c r="H69" s="26" t="n">
        <f aca="false">INDEX(eng_CM,MATCH(1*1000+10*10+sel_dest,eng_key,0))-INDEX(eng_CM,MATCH(3*1000+10*10+sel_dest,eng_key,0))</f>
        <v>5.60571717316277</v>
      </c>
      <c r="I69" s="6" t="n">
        <v>1</v>
      </c>
      <c r="J69" s="75" t="n">
        <f aca="false">$C$58*(C69-MIN($C$60:$C$69))/MAX(MAX($C$60:$C$69)-MIN($C$60:$C$69),0.000001)+$D$58*(1-(D69-MIN($D$60:$D$69))/MAX(MAX($D$60:$D$69)-MIN($D$60:$D$69),0.000001))+$E$58*(1-(E69-MIN($E$60:$E$69))/MAX(MAX($E$60:$E$69)-MIN($E$60:$E$69),0.000001))+$F$58*(F69-MIN($F$60:$F$69))/MAX(MAX($F$60:$F$69)-MIN($F$60:$F$69),0.000001)+$G$58*(G69-MIN($G$60:$G$69))/MAX(MAX($G$60:$G$69)-MIN($G$60:$G$69),0.000001)+$H$58*(1-(H69-MIN($H$60:$H$69))/MAX(MAX($H$60:$H$69)-MIN($H$60:$H$69),0.000001))+$I$58*(I69-MIN($I$60:$I$69))/MAX(MAX($I$60:$I$69)-MIN($I$60:$I$69),0.000001)</f>
        <v>0.217971939458689</v>
      </c>
      <c r="K69" s="10" t="n">
        <f aca="false">RANK(J69,$J$60:$J$69)+COUNTIF($J$60:J69,J69)-1</f>
        <v>10</v>
      </c>
      <c r="L69" s="65" t="n">
        <f aca="false">INDEX(eng_CONTRIB,MATCH(sel_scen*1000+10*10+sel_dest,eng_key,0))</f>
        <v>-6380.22355771586</v>
      </c>
      <c r="M69" s="26" t="n">
        <f aca="false">INDEX(eng_CM,MATCH(sel_scen*1000+10*10+sel_dest,eng_key,0))</f>
        <v>-2.66460336605955</v>
      </c>
      <c r="N69" s="20" t="n">
        <f aca="false">INDEX(eng_avg_cpb,MATCH(sel_scen*1000+10*10+sel_dest,eng_key,0))</f>
        <v>0.552817567454738</v>
      </c>
      <c r="O69" s="8" t="str">
        <f aca="false">IF(AND(INDEX(eng_fits,MATCH(1*1000+10*10+sel_dest,eng_key,0)),INDEX(eng_fits,MATCH(2*1000+10*10+sel_dest,eng_key,0)),INDEX(eng_fits,MATCH(3*1000+10*10+sel_dest,eng_key,0))),"Yes","No")</f>
        <v>Yes</v>
      </c>
    </row>
    <row r="71" customFormat="false" ht="15" hidden="false" customHeight="true" outlineLevel="0" collapsed="false">
      <c r="B71" s="12" t="s">
        <v>1785</v>
      </c>
      <c r="C71" s="12"/>
      <c r="D71" s="12"/>
      <c r="E71" s="12"/>
      <c r="F71" s="12"/>
      <c r="G71" s="12"/>
      <c r="H71" s="12"/>
      <c r="I71" s="12"/>
      <c r="J71" s="12"/>
      <c r="K71" s="12"/>
      <c r="L71" s="12"/>
    </row>
  </sheetData>
  <mergeCells count="1">
    <mergeCell ref="B71:L71"/>
  </mergeCells>
  <conditionalFormatting sqref="C19:G28">
    <cfRule type="cellIs" priority="2" operator="lessThan" aboveAverage="0" equalAverage="0" bottom="0" percent="0" rank="0" text="" dxfId="1">
      <formula>0</formula>
    </cfRule>
    <cfRule type="cellIs" priority="3" operator="greaterThanOrEqual" aboveAverage="0" equalAverage="0" bottom="0" percent="0" rank="0" text="" dxfId="0">
      <formula>0</formula>
    </cfRule>
  </conditionalFormatting>
  <conditionalFormatting sqref="C32:G41">
    <cfRule type="cellIs" priority="4" operator="lessThan" aboveAverage="0" equalAverage="0" bottom="0" percent="0" rank="0" text="" dxfId="1">
      <formula>0</formula>
    </cfRule>
    <cfRule type="cellIs" priority="5" operator="greaterThan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G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3" min="3" style="0" width="10"/>
    <col collapsed="false" customWidth="true" hidden="false" outlineLevel="0" max="5" min="4" style="0" width="16"/>
    <col collapsed="false" customWidth="true" hidden="false" outlineLevel="0" max="6" min="6" style="0" width="18"/>
    <col collapsed="false" customWidth="true" hidden="false" outlineLevel="0" max="7" min="7" style="0" width="50"/>
  </cols>
  <sheetData>
    <row r="1" customFormat="false" ht="18.55" hidden="false" customHeight="false" outlineLevel="0" collapsed="false">
      <c r="A1" s="1" t="s">
        <v>1786</v>
      </c>
    </row>
    <row r="2" customFormat="false" ht="15" hidden="false" customHeight="false" outlineLevel="0" collapsed="false">
      <c r="A2" s="2" t="s">
        <v>1787</v>
      </c>
    </row>
    <row r="4" customFormat="false" ht="15" hidden="false" customHeight="false" outlineLevel="0" collapsed="false">
      <c r="A4" s="3" t="s">
        <v>1788</v>
      </c>
      <c r="B4" s="4"/>
      <c r="C4" s="4"/>
      <c r="D4" s="4"/>
      <c r="E4" s="4"/>
      <c r="F4" s="4"/>
      <c r="G4" s="4"/>
    </row>
    <row r="5" customFormat="false" ht="15" hidden="false" customHeight="false" outlineLevel="0" collapsed="false">
      <c r="A5" s="13" t="s">
        <v>356</v>
      </c>
      <c r="B5" s="13" t="s">
        <v>1789</v>
      </c>
      <c r="C5" s="13" t="s">
        <v>1790</v>
      </c>
      <c r="D5" s="13" t="s">
        <v>1791</v>
      </c>
      <c r="E5" s="13" t="s">
        <v>1792</v>
      </c>
      <c r="F5" s="13" t="s">
        <v>1793</v>
      </c>
      <c r="G5" s="13" t="s">
        <v>1794</v>
      </c>
    </row>
    <row r="6" customFormat="false" ht="30" hidden="false" customHeight="true" outlineLevel="0" collapsed="false">
      <c r="A6" s="9" t="n">
        <v>1</v>
      </c>
      <c r="B6" s="16" t="s">
        <v>1795</v>
      </c>
      <c r="C6" s="10" t="n">
        <f aca="false">0</f>
        <v>0</v>
      </c>
      <c r="D6" s="65" t="n">
        <f aca="false">INDEX(eng_out0,sel_row)</f>
        <v>8955.05980126879</v>
      </c>
      <c r="E6" s="65" t="n">
        <f aca="false">0</f>
        <v>0</v>
      </c>
      <c r="F6" s="65" t="n">
        <f aca="false">SUMPRODUCT(($C$6:$C$11&lt;=C6)*($D$6:$D$11-$E$6:$E$11))</f>
        <v>8955.05980126879</v>
      </c>
      <c r="G6" s="16" t="s">
        <v>1796</v>
      </c>
    </row>
    <row r="7" customFormat="false" ht="30" hidden="false" customHeight="true" outlineLevel="0" collapsed="false">
      <c r="A7" s="9" t="n">
        <v>2</v>
      </c>
      <c r="B7" s="16" t="s">
        <v>1797</v>
      </c>
      <c r="C7" s="10" t="n">
        <f aca="false">INDEX(eng_t1,sel_row)</f>
        <v>21</v>
      </c>
      <c r="D7" s="65" t="n">
        <f aca="false">INDEX(eng_out1,sel_row)</f>
        <v>11937.9769890175</v>
      </c>
      <c r="E7" s="65" t="n">
        <f aca="false">0</f>
        <v>0</v>
      </c>
      <c r="F7" s="65" t="n">
        <f aca="false">SUMPRODUCT(($C$6:$C$11&lt;=C7)*($D$6:$D$11-$E$6:$E$11))</f>
        <v>20893.0367902863</v>
      </c>
      <c r="G7" s="16" t="s">
        <v>1798</v>
      </c>
    </row>
    <row r="8" customFormat="false" ht="30" hidden="false" customHeight="true" outlineLevel="0" collapsed="false">
      <c r="A8" s="9" t="n">
        <v>3</v>
      </c>
      <c r="B8" s="16" t="s">
        <v>1799</v>
      </c>
      <c r="C8" s="10" t="n">
        <f aca="false">INDEX(eng_tref,sel_row)</f>
        <v>81</v>
      </c>
      <c r="D8" s="65" t="n">
        <f aca="false">0</f>
        <v>0</v>
      </c>
      <c r="E8" s="65" t="n">
        <f aca="false">INDEX(eng_vatref,sel_row)</f>
        <v>1585.45328452216</v>
      </c>
      <c r="F8" s="65" t="n">
        <f aca="false">SUMPRODUCT(($C$6:$C$11&lt;=C8)*($D$6:$D$11-$E$6:$E$11))</f>
        <v>22827.9130770479</v>
      </c>
      <c r="G8" s="16" t="s">
        <v>1800</v>
      </c>
    </row>
    <row r="9" customFormat="false" ht="30" hidden="false" customHeight="true" outlineLevel="0" collapsed="false">
      <c r="A9" s="9" t="n">
        <v>4</v>
      </c>
      <c r="B9" s="16" t="s">
        <v>1801</v>
      </c>
      <c r="C9" s="10" t="n">
        <f aca="false">INDEX(eng_t2,sel_row)</f>
        <v>51</v>
      </c>
      <c r="D9" s="65" t="n">
        <f aca="false">INDEX(eng_out2,sel_row)</f>
        <v>2010.32957128379</v>
      </c>
      <c r="E9" s="65" t="n">
        <f aca="false">0</f>
        <v>0</v>
      </c>
      <c r="F9" s="65" t="n">
        <f aca="false">SUMPRODUCT(($C$6:$C$11&lt;=C9)*($D$6:$D$11-$E$6:$E$11))</f>
        <v>22903.3663615701</v>
      </c>
      <c r="G9" s="16"/>
    </row>
    <row r="10" customFormat="false" ht="30" hidden="false" customHeight="true" outlineLevel="0" collapsed="false">
      <c r="A10" s="9" t="n">
        <v>5</v>
      </c>
      <c r="B10" s="16" t="s">
        <v>1802</v>
      </c>
      <c r="C10" s="10" t="n">
        <f aca="false">INDEX(eng_t3,sel_row)</f>
        <v>53</v>
      </c>
      <c r="D10" s="65" t="n">
        <f aca="false">INDEX(eng_out3,sel_row)</f>
        <v>1510</v>
      </c>
      <c r="E10" s="65" t="n">
        <f aca="false">0</f>
        <v>0</v>
      </c>
      <c r="F10" s="65" t="n">
        <f aca="false">SUMPRODUCT(($C$6:$C$11&lt;=C10)*($D$6:$D$11-$E$6:$E$11))</f>
        <v>24413.3663615701</v>
      </c>
      <c r="G10" s="16"/>
    </row>
    <row r="11" customFormat="false" ht="30" hidden="false" customHeight="true" outlineLevel="0" collapsed="false">
      <c r="A11" s="9" t="n">
        <v>6</v>
      </c>
      <c r="B11" s="16" t="s">
        <v>1803</v>
      </c>
      <c r="C11" s="10" t="n">
        <f aca="false">INDEX(eng_t4,sel_row)</f>
        <v>98</v>
      </c>
      <c r="D11" s="65" t="n">
        <f aca="false">0</f>
        <v>0</v>
      </c>
      <c r="E11" s="65" t="n">
        <f aca="false">INDEX(eng_REV,sel_row)</f>
        <v>18526.077</v>
      </c>
      <c r="F11" s="65" t="n">
        <f aca="false">SUMPRODUCT(($C$6:$C$11&lt;=C11)*($D$6:$D$11-$E$6:$E$11))</f>
        <v>4301.83607704791</v>
      </c>
      <c r="G11" s="16" t="s">
        <v>1804</v>
      </c>
    </row>
    <row r="13" customFormat="false" ht="15" hidden="false" customHeight="false" outlineLevel="0" collapsed="false">
      <c r="A13" s="3" t="s">
        <v>1805</v>
      </c>
      <c r="B13" s="4"/>
      <c r="C13" s="4"/>
      <c r="D13" s="4"/>
      <c r="E13" s="4"/>
      <c r="F13" s="4"/>
      <c r="G13" s="4"/>
    </row>
    <row r="14" customFormat="false" ht="15" hidden="false" customHeight="false" outlineLevel="0" collapsed="false">
      <c r="B14" s="9" t="s">
        <v>52</v>
      </c>
      <c r="D14" s="65" t="n">
        <f aca="false">INDEX(eng_out0,sel_row)</f>
        <v>8955.05980126879</v>
      </c>
    </row>
    <row r="15" customFormat="false" ht="15" hidden="false" customHeight="false" outlineLevel="0" collapsed="false">
      <c r="B15" s="9" t="s">
        <v>54</v>
      </c>
      <c r="D15" s="65" t="n">
        <f aca="false">INDEX(eng_out1,sel_row)</f>
        <v>11937.9769890175</v>
      </c>
    </row>
    <row r="16" customFormat="false" ht="15" hidden="false" customHeight="false" outlineLevel="0" collapsed="false">
      <c r="B16" s="9" t="s">
        <v>56</v>
      </c>
      <c r="D16" s="65" t="n">
        <f aca="false">INDEX(eng_out2,sel_row)</f>
        <v>2010.32957128379</v>
      </c>
    </row>
    <row r="17" customFormat="false" ht="15" hidden="false" customHeight="false" outlineLevel="0" collapsed="false">
      <c r="B17" s="9" t="s">
        <v>58</v>
      </c>
      <c r="D17" s="65" t="n">
        <f aca="false">INDEX(eng_out3,sel_row)</f>
        <v>1510</v>
      </c>
    </row>
    <row r="18" customFormat="false" ht="15" hidden="false" customHeight="false" outlineLevel="0" collapsed="false">
      <c r="B18" s="5" t="s">
        <v>1806</v>
      </c>
      <c r="D18" s="65" t="n">
        <f aca="false">INDEX(eng_CASH_TOTAL,sel_row)</f>
        <v>24413.3663615701</v>
      </c>
    </row>
    <row r="19" customFormat="false" ht="15" hidden="false" customHeight="false" outlineLevel="0" collapsed="false">
      <c r="B19" s="9" t="s">
        <v>1807</v>
      </c>
      <c r="D19" s="65" t="n">
        <f aca="false">INDEX(eng_vatref,sel_row)</f>
        <v>1585.45328452216</v>
      </c>
    </row>
    <row r="20" customFormat="false" ht="15" hidden="false" customHeight="false" outlineLevel="0" collapsed="false">
      <c r="B20" s="5" t="s">
        <v>1808</v>
      </c>
      <c r="D20" s="70" t="n">
        <f aca="false">INDEX(eng_PEAK,sel_row)</f>
        <v>24413.3663615701</v>
      </c>
    </row>
    <row r="21" customFormat="false" ht="15" hidden="false" customHeight="false" outlineLevel="0" collapsed="false">
      <c r="B21" s="9" t="s">
        <v>1809</v>
      </c>
      <c r="D21" s="65" t="n">
        <f aca="false">INDEX(eng_FIN,sel_row)</f>
        <v>529.398047312918</v>
      </c>
    </row>
    <row r="22" customFormat="false" ht="15" hidden="false" customHeight="false" outlineLevel="0" collapsed="false">
      <c r="B22" s="9" t="s">
        <v>1810</v>
      </c>
      <c r="D22" s="65" t="n">
        <f aca="false">INDEX(in_sel_setup,1,sel_scen)</f>
        <v>750</v>
      </c>
    </row>
    <row r="24" customFormat="false" ht="15" hidden="false" customHeight="false" outlineLevel="0" collapsed="false">
      <c r="A24" s="3" t="s">
        <v>1811</v>
      </c>
      <c r="B24" s="4"/>
      <c r="C24" s="4"/>
      <c r="D24" s="4"/>
      <c r="E24" s="4"/>
      <c r="F24" s="4"/>
      <c r="G24" s="4"/>
    </row>
    <row r="25" customFormat="false" ht="15" hidden="false" customHeight="false" outlineLevel="0" collapsed="false">
      <c r="A25" s="13"/>
      <c r="B25" s="13" t="s">
        <v>1812</v>
      </c>
      <c r="C25" s="13"/>
      <c r="D25" s="13" t="s">
        <v>1813</v>
      </c>
      <c r="E25" s="13" t="s">
        <v>1814</v>
      </c>
      <c r="F25" s="13" t="s">
        <v>1663</v>
      </c>
      <c r="G25" s="13" t="s">
        <v>114</v>
      </c>
    </row>
    <row r="26" customFormat="false" ht="15" hidden="false" customHeight="false" outlineLevel="0" collapsed="false">
      <c r="B26" s="9" t="s">
        <v>1815</v>
      </c>
      <c r="D26" s="65" t="n">
        <f aca="false">INDEX(eng_VAT_CASH,sel_row)</f>
        <v>1585.45328452216</v>
      </c>
      <c r="E26" s="65" t="n">
        <f aca="false">INDEX(eng_VAT_ECON,sel_row)</f>
        <v>0</v>
      </c>
      <c r="F26" s="65" t="n">
        <f aca="false">INDEX(eng_PEAK,sel_row)</f>
        <v>24413.3663615701</v>
      </c>
      <c r="G26" s="65" t="n">
        <f aca="false">INDEX(eng_CONTRIB,sel_row)</f>
        <v>-6405.74659036083</v>
      </c>
    </row>
    <row r="27" customFormat="false" ht="15" hidden="false" customHeight="false" outlineLevel="0" collapsed="false">
      <c r="B27" s="9" t="s">
        <v>1816</v>
      </c>
      <c r="D27" s="65" t="n">
        <f aca="false">INDEX(eng_VAT_CASH,MATCH(900017,eng_key,0))</f>
        <v>0</v>
      </c>
      <c r="E27" s="65" t="n">
        <f aca="false">INDEX(eng_VAT_ECON,MATCH(900017,eng_key,0))</f>
        <v>0</v>
      </c>
      <c r="F27" s="65" t="n">
        <f aca="false">INDEX(eng_PEAK,MATCH(900017,eng_key,0))</f>
        <v>22827.9130770479</v>
      </c>
      <c r="G27" s="65" t="n">
        <f aca="false">INDEX(eng_CONTRIB,MATCH(900017,eng_key,0))</f>
        <v>-6375.12345157759</v>
      </c>
    </row>
    <row r="28" customFormat="false" ht="15" hidden="false" customHeight="false" outlineLevel="0" collapsed="false">
      <c r="B28" s="9" t="s">
        <v>1817</v>
      </c>
      <c r="D28" s="65" t="n">
        <f aca="false">INDEX(eng_VAT_CASH,MATCH(900018,eng_key,0))</f>
        <v>1585.45328452216</v>
      </c>
      <c r="E28" s="65" t="n">
        <f aca="false">INDEX(eng_VAT_ECON,MATCH(900018,eng_key,0))</f>
        <v>1585.45328452216</v>
      </c>
      <c r="F28" s="65" t="n">
        <f aca="false">INDEX(eng_PEAK,MATCH(900018,eng_key,0))</f>
        <v>24629.7685015498</v>
      </c>
      <c r="G28" s="65" t="n">
        <f aca="false">INDEX(eng_CONTRIB,MATCH(900018,eng_key,0))</f>
        <v>-8217.77286593557</v>
      </c>
    </row>
    <row r="30" customFormat="false" ht="30" hidden="false" customHeight="true" outlineLevel="0" collapsed="false">
      <c r="B30" s="16" t="s">
        <v>1818</v>
      </c>
      <c r="C30" s="16"/>
      <c r="D30" s="16"/>
      <c r="E30" s="16"/>
      <c r="F30" s="16"/>
      <c r="G30" s="16"/>
    </row>
  </sheetData>
  <mergeCells count="1">
    <mergeCell ref="B30:G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Q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8"/>
    <col collapsed="false" customWidth="true" hidden="false" outlineLevel="0" max="3" min="3" style="0" width="14"/>
    <col collapsed="false" customWidth="true" hidden="false" outlineLevel="0" max="4" min="4" style="0" width="22"/>
    <col collapsed="false" customWidth="true" hidden="false" outlineLevel="0" max="5" min="5" style="0" width="12"/>
    <col collapsed="false" customWidth="true" hidden="false" outlineLevel="0" max="6" min="6" style="0" width="7"/>
    <col collapsed="false" customWidth="true" hidden="false" outlineLevel="0" max="7" min="7" style="0" width="11"/>
    <col collapsed="false" customWidth="true" hidden="false" outlineLevel="0" max="8" min="8" style="0" width="24"/>
    <col collapsed="false" customWidth="true" hidden="false" outlineLevel="0" max="9" min="9" style="0" width="10"/>
    <col collapsed="false" customWidth="true" hidden="false" outlineLevel="0" max="10" min="10" style="0" width="16"/>
    <col collapsed="false" customWidth="true" hidden="false" outlineLevel="0" max="11" min="11" style="0" width="10"/>
    <col collapsed="false" customWidth="true" hidden="false" outlineLevel="0" max="12" min="12" style="0" width="22"/>
    <col collapsed="false" customWidth="true" hidden="false" outlineLevel="0" max="13" min="13" style="0" width="14"/>
    <col collapsed="false" customWidth="true" hidden="false" outlineLevel="0" max="14" min="14" style="0" width="12"/>
    <col collapsed="false" customWidth="true" hidden="false" outlineLevel="0" max="15" min="15" style="0" width="7"/>
    <col collapsed="false" customWidth="true" hidden="false" outlineLevel="0" max="16" min="16" style="0" width="8"/>
    <col collapsed="false" customWidth="true" hidden="false" outlineLevel="0" max="17" min="17" style="0" width="50"/>
  </cols>
  <sheetData>
    <row r="1" customFormat="false" ht="18.55" hidden="false" customHeight="false" outlineLevel="0" collapsed="false">
      <c r="A1" s="1" t="s">
        <v>1819</v>
      </c>
    </row>
    <row r="2" customFormat="false" ht="15" hidden="false" customHeight="false" outlineLevel="0" collapsed="false">
      <c r="A2" s="2" t="s">
        <v>1820</v>
      </c>
    </row>
    <row r="4" customFormat="false" ht="15" hidden="false" customHeight="false" outlineLevel="0" collapsed="false">
      <c r="A4" s="3" t="s">
        <v>1821</v>
      </c>
      <c r="B4" s="4"/>
      <c r="C4" s="4"/>
      <c r="D4" s="4"/>
      <c r="E4" s="4"/>
      <c r="F4" s="4"/>
      <c r="G4" s="4"/>
      <c r="H4" s="4"/>
      <c r="I4" s="4"/>
      <c r="J4" s="4"/>
      <c r="K4" s="4"/>
      <c r="L4" s="4"/>
      <c r="M4" s="4"/>
      <c r="N4" s="4"/>
      <c r="O4" s="4"/>
      <c r="P4" s="4"/>
      <c r="Q4" s="4"/>
    </row>
    <row r="5" customFormat="false" ht="23.85" hidden="false" customHeight="false" outlineLevel="0" collapsed="false">
      <c r="A5" s="13" t="s">
        <v>1359</v>
      </c>
      <c r="B5" s="13" t="s">
        <v>1822</v>
      </c>
      <c r="C5" s="13" t="s">
        <v>1823</v>
      </c>
      <c r="D5" s="13" t="s">
        <v>1824</v>
      </c>
      <c r="E5" s="13" t="s">
        <v>1825</v>
      </c>
      <c r="F5" s="13" t="s">
        <v>474</v>
      </c>
      <c r="G5" s="13" t="s">
        <v>1826</v>
      </c>
      <c r="H5" s="13" t="s">
        <v>1827</v>
      </c>
      <c r="I5" s="13" t="s">
        <v>1828</v>
      </c>
      <c r="J5" s="13" t="s">
        <v>1829</v>
      </c>
      <c r="K5" s="13" t="s">
        <v>1830</v>
      </c>
      <c r="L5" s="13" t="s">
        <v>1831</v>
      </c>
      <c r="M5" s="13" t="s">
        <v>1832</v>
      </c>
      <c r="N5" s="13" t="s">
        <v>1833</v>
      </c>
      <c r="O5" s="13" t="s">
        <v>1834</v>
      </c>
      <c r="P5" s="13" t="s">
        <v>523</v>
      </c>
      <c r="Q5" s="13" t="s">
        <v>1835</v>
      </c>
    </row>
    <row r="6" customFormat="false" ht="42" hidden="false" customHeight="true" outlineLevel="0" collapsed="false">
      <c r="A6" s="16" t="s">
        <v>1836</v>
      </c>
      <c r="B6" s="16" t="s">
        <v>1837</v>
      </c>
      <c r="C6" s="16" t="s">
        <v>1838</v>
      </c>
      <c r="D6" s="16" t="s">
        <v>1839</v>
      </c>
      <c r="E6" s="16" t="s">
        <v>1840</v>
      </c>
      <c r="F6" s="16" t="n">
        <v>50</v>
      </c>
      <c r="G6" s="16" t="s">
        <v>1841</v>
      </c>
      <c r="H6" s="16" t="s">
        <v>1842</v>
      </c>
      <c r="I6" s="76" t="n">
        <v>0.3</v>
      </c>
      <c r="J6" s="16" t="s">
        <v>1843</v>
      </c>
      <c r="K6" s="16" t="s">
        <v>1314</v>
      </c>
      <c r="L6" s="16" t="s">
        <v>1844</v>
      </c>
      <c r="M6" s="16" t="s">
        <v>1845</v>
      </c>
      <c r="N6" s="16" t="s">
        <v>1846</v>
      </c>
      <c r="O6" s="16" t="n">
        <v>5</v>
      </c>
      <c r="P6" s="16" t="s">
        <v>1847</v>
      </c>
      <c r="Q6" s="16" t="s">
        <v>1848</v>
      </c>
    </row>
    <row r="7" customFormat="false" ht="42" hidden="false" customHeight="true" outlineLevel="0" collapsed="false">
      <c r="A7" s="16" t="s">
        <v>1836</v>
      </c>
      <c r="B7" s="16" t="s">
        <v>1849</v>
      </c>
      <c r="C7" s="16" t="s">
        <v>1838</v>
      </c>
      <c r="D7" s="16" t="s">
        <v>1850</v>
      </c>
      <c r="E7" s="16" t="s">
        <v>1840</v>
      </c>
      <c r="F7" s="16" t="n">
        <v>50</v>
      </c>
      <c r="G7" s="16" t="s">
        <v>1841</v>
      </c>
      <c r="H7" s="16" t="s">
        <v>1851</v>
      </c>
      <c r="I7" s="76" t="n">
        <v>0.3</v>
      </c>
      <c r="J7" s="16" t="s">
        <v>1843</v>
      </c>
      <c r="K7" s="16" t="s">
        <v>1314</v>
      </c>
      <c r="L7" s="16" t="s">
        <v>1852</v>
      </c>
      <c r="M7" s="16" t="s">
        <v>1853</v>
      </c>
      <c r="N7" s="16" t="s">
        <v>1846</v>
      </c>
      <c r="O7" s="16" t="n">
        <v>3</v>
      </c>
      <c r="P7" s="16" t="s">
        <v>1854</v>
      </c>
      <c r="Q7" s="16" t="s">
        <v>1855</v>
      </c>
    </row>
    <row r="8" customFormat="false" ht="42" hidden="false" customHeight="true" outlineLevel="0" collapsed="false">
      <c r="A8" s="16" t="s">
        <v>1836</v>
      </c>
      <c r="B8" s="16" t="s">
        <v>1856</v>
      </c>
      <c r="C8" s="16" t="s">
        <v>1857</v>
      </c>
      <c r="D8" s="16" t="s">
        <v>1858</v>
      </c>
      <c r="E8" s="16" t="s">
        <v>1840</v>
      </c>
      <c r="F8" s="16" t="n">
        <v>50</v>
      </c>
      <c r="G8" s="16" t="s">
        <v>1841</v>
      </c>
      <c r="H8" s="16" t="s">
        <v>1859</v>
      </c>
      <c r="I8" s="76" t="n">
        <v>0.39</v>
      </c>
      <c r="J8" s="16" t="s">
        <v>1843</v>
      </c>
      <c r="K8" s="16" t="s">
        <v>1314</v>
      </c>
      <c r="L8" s="16" t="s">
        <v>1860</v>
      </c>
      <c r="M8" s="16" t="s">
        <v>1853</v>
      </c>
      <c r="N8" s="16" t="s">
        <v>1846</v>
      </c>
      <c r="O8" s="16" t="n">
        <v>3</v>
      </c>
      <c r="P8" s="16" t="s">
        <v>1861</v>
      </c>
      <c r="Q8" s="16" t="s">
        <v>1862</v>
      </c>
    </row>
    <row r="9" customFormat="false" ht="42" hidden="false" customHeight="true" outlineLevel="0" collapsed="false">
      <c r="A9" s="16" t="s">
        <v>1836</v>
      </c>
      <c r="B9" s="16" t="s">
        <v>1863</v>
      </c>
      <c r="C9" s="16" t="s">
        <v>1857</v>
      </c>
      <c r="D9" s="16" t="s">
        <v>1864</v>
      </c>
      <c r="E9" s="16" t="s">
        <v>409</v>
      </c>
      <c r="F9" s="16" t="n">
        <v>50</v>
      </c>
      <c r="G9" s="16" t="s">
        <v>1841</v>
      </c>
      <c r="H9" s="16" t="s">
        <v>1865</v>
      </c>
      <c r="I9" s="76" t="n">
        <v>0.38</v>
      </c>
      <c r="J9" s="16" t="s">
        <v>1866</v>
      </c>
      <c r="K9" s="16" t="s">
        <v>1314</v>
      </c>
      <c r="L9" s="16" t="s">
        <v>1860</v>
      </c>
      <c r="M9" s="16" t="s">
        <v>489</v>
      </c>
      <c r="N9" s="16" t="s">
        <v>1846</v>
      </c>
      <c r="O9" s="16" t="n">
        <v>3</v>
      </c>
      <c r="P9" s="16" t="s">
        <v>1867</v>
      </c>
      <c r="Q9" s="16" t="s">
        <v>1868</v>
      </c>
    </row>
    <row r="10" customFormat="false" ht="42" hidden="false" customHeight="true" outlineLevel="0" collapsed="false">
      <c r="A10" s="16" t="s">
        <v>1836</v>
      </c>
      <c r="B10" s="16" t="s">
        <v>1869</v>
      </c>
      <c r="C10" s="16" t="s">
        <v>1870</v>
      </c>
      <c r="D10" s="16" t="s">
        <v>1871</v>
      </c>
      <c r="E10" s="16" t="s">
        <v>1840</v>
      </c>
      <c r="F10" s="16" t="n">
        <v>50</v>
      </c>
      <c r="G10" s="16" t="s">
        <v>1841</v>
      </c>
      <c r="H10" s="16" t="s">
        <v>1872</v>
      </c>
      <c r="I10" s="76" t="n">
        <v>0.45</v>
      </c>
      <c r="J10" s="16" t="s">
        <v>1866</v>
      </c>
      <c r="K10" s="16" t="s">
        <v>1314</v>
      </c>
      <c r="L10" s="16" t="s">
        <v>1860</v>
      </c>
      <c r="M10" s="16" t="s">
        <v>489</v>
      </c>
      <c r="N10" s="16" t="s">
        <v>1846</v>
      </c>
      <c r="O10" s="16" t="n">
        <v>3</v>
      </c>
      <c r="P10" s="16" t="s">
        <v>1867</v>
      </c>
      <c r="Q10" s="16" t="s">
        <v>1868</v>
      </c>
    </row>
    <row r="11" customFormat="false" ht="42" hidden="false" customHeight="true" outlineLevel="0" collapsed="false">
      <c r="A11" s="16" t="s">
        <v>1873</v>
      </c>
      <c r="B11" s="16" t="s">
        <v>1874</v>
      </c>
      <c r="C11" s="16" t="s">
        <v>1857</v>
      </c>
      <c r="D11" s="16" t="s">
        <v>1875</v>
      </c>
      <c r="E11" s="16" t="s">
        <v>409</v>
      </c>
      <c r="F11" s="16" t="n">
        <v>50</v>
      </c>
      <c r="G11" s="16" t="s">
        <v>1841</v>
      </c>
      <c r="H11" s="16" t="s">
        <v>1876</v>
      </c>
      <c r="I11" s="76" t="n">
        <v>1.02</v>
      </c>
      <c r="J11" s="16" t="s">
        <v>1877</v>
      </c>
      <c r="K11" s="16" t="s">
        <v>1314</v>
      </c>
      <c r="L11" s="16" t="s">
        <v>1878</v>
      </c>
      <c r="M11" s="16" t="s">
        <v>1853</v>
      </c>
      <c r="N11" s="16" t="s">
        <v>1879</v>
      </c>
      <c r="O11" s="16" t="n">
        <v>2</v>
      </c>
      <c r="P11" s="16" t="s">
        <v>1880</v>
      </c>
      <c r="Q11" s="16" t="s">
        <v>1881</v>
      </c>
    </row>
    <row r="12" customFormat="false" ht="42" hidden="false" customHeight="true" outlineLevel="0" collapsed="false">
      <c r="A12" s="16" t="s">
        <v>1873</v>
      </c>
      <c r="B12" s="16" t="s">
        <v>1882</v>
      </c>
      <c r="C12" s="16" t="s">
        <v>1838</v>
      </c>
      <c r="D12" s="16" t="s">
        <v>1883</v>
      </c>
      <c r="E12" s="16" t="s">
        <v>409</v>
      </c>
      <c r="F12" s="16" t="n">
        <v>50</v>
      </c>
      <c r="G12" s="16" t="s">
        <v>1841</v>
      </c>
      <c r="H12" s="16" t="s">
        <v>1884</v>
      </c>
      <c r="I12" s="76" t="n">
        <v>0.78</v>
      </c>
      <c r="J12" s="16" t="s">
        <v>1877</v>
      </c>
      <c r="K12" s="16" t="s">
        <v>1314</v>
      </c>
      <c r="L12" s="16" t="s">
        <v>1878</v>
      </c>
      <c r="M12" s="16" t="s">
        <v>1853</v>
      </c>
      <c r="N12" s="16" t="s">
        <v>1879</v>
      </c>
      <c r="O12" s="16" t="n">
        <v>2</v>
      </c>
      <c r="P12" s="16" t="s">
        <v>1880</v>
      </c>
      <c r="Q12" s="16" t="s">
        <v>1885</v>
      </c>
    </row>
    <row r="13" customFormat="false" ht="42" hidden="false" customHeight="true" outlineLevel="0" collapsed="false">
      <c r="A13" s="16" t="s">
        <v>1886</v>
      </c>
      <c r="B13" s="16" t="s">
        <v>1887</v>
      </c>
      <c r="C13" s="16" t="s">
        <v>1888</v>
      </c>
      <c r="D13" s="16" t="s">
        <v>1889</v>
      </c>
      <c r="E13" s="16" t="s">
        <v>1890</v>
      </c>
      <c r="F13" s="16" t="n">
        <v>50</v>
      </c>
      <c r="G13" s="16" t="s">
        <v>1891</v>
      </c>
      <c r="H13" s="16" t="s">
        <v>1892</v>
      </c>
      <c r="I13" s="76" t="n">
        <v>0.465</v>
      </c>
      <c r="J13" s="16" t="s">
        <v>1893</v>
      </c>
      <c r="K13" s="16" t="s">
        <v>1314</v>
      </c>
      <c r="L13" s="16" t="s">
        <v>1894</v>
      </c>
      <c r="M13" s="16" t="s">
        <v>1895</v>
      </c>
      <c r="N13" s="16" t="s">
        <v>1896</v>
      </c>
      <c r="O13" s="16" t="n">
        <v>3</v>
      </c>
      <c r="P13" s="16" t="s">
        <v>1897</v>
      </c>
      <c r="Q13" s="16" t="s">
        <v>1898</v>
      </c>
    </row>
    <row r="14" customFormat="false" ht="42" hidden="false" customHeight="true" outlineLevel="0" collapsed="false">
      <c r="A14" s="16" t="s">
        <v>1899</v>
      </c>
      <c r="B14" s="16" t="s">
        <v>1900</v>
      </c>
      <c r="C14" s="16" t="s">
        <v>1901</v>
      </c>
      <c r="D14" s="16" t="s">
        <v>1902</v>
      </c>
      <c r="E14" s="16" t="s">
        <v>409</v>
      </c>
      <c r="F14" s="16" t="n">
        <v>50</v>
      </c>
      <c r="G14" s="16" t="s">
        <v>1891</v>
      </c>
      <c r="H14" s="16" t="s">
        <v>1903</v>
      </c>
      <c r="I14" s="76" t="n">
        <v>0.483</v>
      </c>
      <c r="J14" s="16" t="s">
        <v>1904</v>
      </c>
      <c r="K14" s="16" t="s">
        <v>1314</v>
      </c>
      <c r="L14" s="16" t="s">
        <v>1894</v>
      </c>
      <c r="M14" s="16" t="s">
        <v>1905</v>
      </c>
      <c r="N14" s="16" t="s">
        <v>1906</v>
      </c>
      <c r="O14" s="16" t="n">
        <v>3</v>
      </c>
      <c r="P14" s="16" t="s">
        <v>1897</v>
      </c>
      <c r="Q14" s="16" t="s">
        <v>1907</v>
      </c>
    </row>
    <row r="15" customFormat="false" ht="42" hidden="false" customHeight="true" outlineLevel="0" collapsed="false">
      <c r="A15" s="16" t="s">
        <v>1908</v>
      </c>
      <c r="B15" s="16" t="s">
        <v>1909</v>
      </c>
      <c r="C15" s="16" t="s">
        <v>1910</v>
      </c>
      <c r="D15" s="16" t="s">
        <v>1911</v>
      </c>
      <c r="E15" s="16" t="s">
        <v>409</v>
      </c>
      <c r="F15" s="16" t="n">
        <v>50</v>
      </c>
      <c r="G15" s="16" t="s">
        <v>1912</v>
      </c>
      <c r="H15" s="16" t="s">
        <v>1913</v>
      </c>
      <c r="I15" s="16" t="s">
        <v>489</v>
      </c>
      <c r="J15" s="16" t="s">
        <v>1914</v>
      </c>
      <c r="K15" s="16" t="s">
        <v>489</v>
      </c>
      <c r="L15" s="16" t="s">
        <v>1915</v>
      </c>
      <c r="M15" s="16" t="s">
        <v>489</v>
      </c>
      <c r="N15" s="16" t="s">
        <v>1846</v>
      </c>
      <c r="O15" s="16" t="n">
        <v>4</v>
      </c>
      <c r="P15" s="16" t="s">
        <v>1916</v>
      </c>
      <c r="Q15" s="16" t="s">
        <v>1917</v>
      </c>
    </row>
    <row r="16" customFormat="false" ht="42" hidden="false" customHeight="true" outlineLevel="0" collapsed="false">
      <c r="A16" s="16" t="s">
        <v>1918</v>
      </c>
      <c r="B16" s="16" t="s">
        <v>1919</v>
      </c>
      <c r="C16" s="16" t="s">
        <v>1920</v>
      </c>
      <c r="D16" s="16" t="s">
        <v>1921</v>
      </c>
      <c r="E16" s="16" t="s">
        <v>409</v>
      </c>
      <c r="F16" s="16" t="n">
        <v>50</v>
      </c>
      <c r="G16" s="16" t="s">
        <v>1922</v>
      </c>
      <c r="H16" s="16" t="s">
        <v>1923</v>
      </c>
      <c r="I16" s="16" t="s">
        <v>489</v>
      </c>
      <c r="J16" s="16" t="s">
        <v>489</v>
      </c>
      <c r="K16" s="16" t="s">
        <v>489</v>
      </c>
      <c r="L16" s="16" t="s">
        <v>1924</v>
      </c>
      <c r="M16" s="16" t="s">
        <v>489</v>
      </c>
      <c r="N16" s="16" t="s">
        <v>1846</v>
      </c>
      <c r="O16" s="16" t="n">
        <v>3</v>
      </c>
      <c r="P16" s="16" t="s">
        <v>439</v>
      </c>
      <c r="Q16" s="16" t="s">
        <v>1925</v>
      </c>
    </row>
    <row r="17" customFormat="false" ht="42" hidden="false" customHeight="true" outlineLevel="0" collapsed="false">
      <c r="A17" s="16" t="s">
        <v>1926</v>
      </c>
      <c r="B17" s="16" t="s">
        <v>1927</v>
      </c>
      <c r="C17" s="16" t="s">
        <v>1901</v>
      </c>
      <c r="D17" s="16" t="s">
        <v>1928</v>
      </c>
      <c r="E17" s="16" t="s">
        <v>1929</v>
      </c>
      <c r="F17" s="16" t="n">
        <v>50</v>
      </c>
      <c r="G17" s="16" t="s">
        <v>1930</v>
      </c>
      <c r="H17" s="16" t="s">
        <v>1931</v>
      </c>
      <c r="I17" s="76" t="n">
        <v>0.197</v>
      </c>
      <c r="J17" s="16" t="s">
        <v>1932</v>
      </c>
      <c r="K17" s="16" t="s">
        <v>489</v>
      </c>
      <c r="L17" s="16" t="s">
        <v>1933</v>
      </c>
      <c r="M17" s="16" t="s">
        <v>489</v>
      </c>
      <c r="N17" s="16" t="s">
        <v>1934</v>
      </c>
      <c r="O17" s="16" t="n">
        <v>2</v>
      </c>
      <c r="P17" s="16" t="s">
        <v>1935</v>
      </c>
      <c r="Q17" s="16" t="s">
        <v>1936</v>
      </c>
    </row>
    <row r="18" customFormat="false" ht="42" hidden="false" customHeight="true" outlineLevel="0" collapsed="false">
      <c r="A18" s="16" t="s">
        <v>1937</v>
      </c>
      <c r="B18" s="16" t="s">
        <v>1938</v>
      </c>
      <c r="C18" s="16" t="s">
        <v>1939</v>
      </c>
      <c r="D18" s="16" t="s">
        <v>1939</v>
      </c>
      <c r="E18" s="16" t="s">
        <v>1939</v>
      </c>
      <c r="F18" s="16" t="s">
        <v>489</v>
      </c>
      <c r="G18" s="16" t="s">
        <v>622</v>
      </c>
      <c r="H18" s="16" t="s">
        <v>1940</v>
      </c>
      <c r="I18" s="16" t="s">
        <v>489</v>
      </c>
      <c r="J18" s="16" t="s">
        <v>1941</v>
      </c>
      <c r="K18" s="16" t="s">
        <v>489</v>
      </c>
      <c r="L18" s="16" t="s">
        <v>1942</v>
      </c>
      <c r="M18" s="16" t="s">
        <v>489</v>
      </c>
      <c r="N18" s="16" t="s">
        <v>1943</v>
      </c>
      <c r="O18" s="16" t="n">
        <v>3</v>
      </c>
      <c r="P18" s="16" t="s">
        <v>1944</v>
      </c>
      <c r="Q18" s="16" t="s">
        <v>1945</v>
      </c>
    </row>
    <row r="20" customFormat="false" ht="15" hidden="false" customHeight="false" outlineLevel="0" collapsed="false">
      <c r="A20" s="3" t="s">
        <v>1946</v>
      </c>
      <c r="B20" s="4"/>
      <c r="C20" s="4"/>
      <c r="D20" s="4"/>
      <c r="E20" s="4"/>
      <c r="F20" s="4"/>
      <c r="G20" s="4"/>
      <c r="H20" s="4"/>
      <c r="I20" s="4"/>
      <c r="J20" s="4"/>
    </row>
    <row r="21" customFormat="false" ht="35.05" hidden="false" customHeight="false" outlineLevel="0" collapsed="false">
      <c r="A21" s="13" t="s">
        <v>279</v>
      </c>
      <c r="B21" s="13" t="s">
        <v>280</v>
      </c>
      <c r="C21" s="13" t="s">
        <v>18</v>
      </c>
      <c r="D21" s="13" t="s">
        <v>103</v>
      </c>
      <c r="E21" s="13" t="s">
        <v>104</v>
      </c>
      <c r="F21" s="13" t="s">
        <v>105</v>
      </c>
      <c r="G21" s="13" t="s">
        <v>281</v>
      </c>
      <c r="H21" s="13" t="s">
        <v>282</v>
      </c>
      <c r="I21" s="13" t="s">
        <v>283</v>
      </c>
      <c r="J21" s="13" t="s">
        <v>284</v>
      </c>
    </row>
    <row r="22" customFormat="false" ht="35.05" hidden="false" customHeight="false" outlineLevel="0" collapsed="false">
      <c r="A22" s="9" t="s">
        <v>1947</v>
      </c>
      <c r="B22" s="16" t="s">
        <v>1948</v>
      </c>
      <c r="C22" s="9" t="s">
        <v>27</v>
      </c>
      <c r="D22" s="62" t="n">
        <v>0.42</v>
      </c>
      <c r="E22" s="62" t="n">
        <v>0.39</v>
      </c>
      <c r="F22" s="62" t="n">
        <v>0.38</v>
      </c>
      <c r="G22" s="22" t="n">
        <f aca="false">INDEX(D22:F22,1,sel_scen)</f>
        <v>0.39</v>
      </c>
      <c r="H22" s="9" t="s">
        <v>820</v>
      </c>
      <c r="I22" s="16" t="s">
        <v>1949</v>
      </c>
      <c r="J22" s="16" t="s">
        <v>1950</v>
      </c>
    </row>
    <row r="23" customFormat="false" ht="35.05" hidden="false" customHeight="false" outlineLevel="0" collapsed="false">
      <c r="A23" s="9" t="s">
        <v>1951</v>
      </c>
      <c r="B23" s="16" t="s">
        <v>1952</v>
      </c>
      <c r="C23" s="9" t="s">
        <v>27</v>
      </c>
      <c r="D23" s="62" t="n">
        <v>0.46</v>
      </c>
      <c r="E23" s="62" t="n">
        <v>0.45</v>
      </c>
      <c r="F23" s="62" t="n">
        <v>0.45</v>
      </c>
      <c r="G23" s="22" t="n">
        <f aca="false">INDEX(D23:F23,1,sel_scen)</f>
        <v>0.45</v>
      </c>
      <c r="H23" s="9" t="s">
        <v>820</v>
      </c>
      <c r="I23" s="16" t="s">
        <v>1867</v>
      </c>
      <c r="J23" s="16" t="s">
        <v>1953</v>
      </c>
    </row>
    <row r="24" customFormat="false" ht="35.05" hidden="false" customHeight="false" outlineLevel="0" collapsed="false">
      <c r="A24" s="9" t="s">
        <v>1954</v>
      </c>
      <c r="B24" s="16" t="s">
        <v>1955</v>
      </c>
      <c r="C24" s="9" t="s">
        <v>27</v>
      </c>
      <c r="D24" s="62" t="n">
        <v>0.32</v>
      </c>
      <c r="E24" s="62" t="n">
        <v>0.3</v>
      </c>
      <c r="F24" s="62" t="n">
        <v>0.3</v>
      </c>
      <c r="G24" s="22" t="n">
        <f aca="false">INDEX(D24:F24,1,sel_scen)</f>
        <v>0.3</v>
      </c>
      <c r="H24" s="9" t="s">
        <v>820</v>
      </c>
      <c r="I24" s="16" t="s">
        <v>1847</v>
      </c>
      <c r="J24" s="16" t="s">
        <v>1956</v>
      </c>
    </row>
    <row r="25" customFormat="false" ht="57.45" hidden="false" customHeight="false" outlineLevel="0" collapsed="false">
      <c r="A25" s="9" t="s">
        <v>1957</v>
      </c>
      <c r="B25" s="16" t="s">
        <v>1958</v>
      </c>
      <c r="C25" s="9" t="s">
        <v>41</v>
      </c>
      <c r="D25" s="46" t="n">
        <v>0.15</v>
      </c>
      <c r="E25" s="46" t="n">
        <v>0.2</v>
      </c>
      <c r="F25" s="46" t="n">
        <v>0.25</v>
      </c>
      <c r="G25" s="47" t="n">
        <f aca="false">INDEX(D25:F25,1,sel_scen)</f>
        <v>0.2</v>
      </c>
      <c r="H25" s="9" t="s">
        <v>1959</v>
      </c>
      <c r="I25" s="16" t="s">
        <v>1960</v>
      </c>
      <c r="J25" s="16" t="s">
        <v>1961</v>
      </c>
    </row>
    <row r="26" customFormat="false" ht="46.25" hidden="false" customHeight="false" outlineLevel="0" collapsed="false">
      <c r="A26" s="9" t="s">
        <v>1962</v>
      </c>
      <c r="B26" s="16" t="s">
        <v>1963</v>
      </c>
      <c r="C26" s="9" t="s">
        <v>41</v>
      </c>
      <c r="D26" s="46" t="n">
        <v>0.2</v>
      </c>
      <c r="E26" s="46" t="n">
        <v>0.25</v>
      </c>
      <c r="F26" s="46" t="n">
        <v>0.3</v>
      </c>
      <c r="G26" s="47" t="n">
        <f aca="false">INDEX(D26:F26,1,sel_scen)</f>
        <v>0.25</v>
      </c>
      <c r="H26" s="9" t="s">
        <v>287</v>
      </c>
      <c r="I26" s="16" t="s">
        <v>1964</v>
      </c>
      <c r="J26" s="16" t="s">
        <v>1965</v>
      </c>
    </row>
    <row r="28" customFormat="false" ht="15" hidden="false" customHeight="false" outlineLevel="0" collapsed="false">
      <c r="A28" s="3" t="s">
        <v>1966</v>
      </c>
      <c r="B28" s="4"/>
      <c r="C28" s="4"/>
      <c r="D28" s="4"/>
      <c r="E28" s="4"/>
      <c r="F28" s="4"/>
      <c r="G28" s="4"/>
      <c r="H28" s="4"/>
      <c r="I28" s="4"/>
      <c r="J28" s="4"/>
    </row>
    <row r="29" customFormat="false" ht="15" hidden="false" customHeight="false" outlineLevel="0" collapsed="false">
      <c r="A29" s="13" t="s">
        <v>180</v>
      </c>
      <c r="B29" s="13" t="s">
        <v>1967</v>
      </c>
      <c r="C29" s="13"/>
      <c r="D29" s="13" t="s">
        <v>103</v>
      </c>
      <c r="E29" s="13" t="s">
        <v>104</v>
      </c>
      <c r="F29" s="13" t="s">
        <v>105</v>
      </c>
      <c r="G29" s="13" t="s">
        <v>584</v>
      </c>
      <c r="H29" s="13"/>
      <c r="I29" s="13"/>
      <c r="J29" s="13" t="s">
        <v>19</v>
      </c>
    </row>
    <row r="30" customFormat="false" ht="15" hidden="false" customHeight="false" outlineLevel="0" collapsed="false">
      <c r="A30" s="5" t="s">
        <v>15</v>
      </c>
      <c r="B30" s="9" t="str">
        <f aca="false">sku_flute_3464</f>
        <v>B</v>
      </c>
      <c r="D30" s="20" t="n">
        <f aca="false">INDEX(in_mkt_listing_3464,1,1)*(1-IF(sku_flute_3464="B",INDEX(in_mkt_eflute_disc,1,1),0))*(1-INDEX(in_mkt_dist_margin,1,1))</f>
        <v>0.2856</v>
      </c>
      <c r="E30" s="20" t="n">
        <f aca="false">INDEX(in_mkt_listing_3464,1,2)*(1-IF(sku_flute_3464="B",INDEX(in_mkt_eflute_disc,1,2),0))*(1-INDEX(in_mkt_dist_margin,1,2))</f>
        <v>0.234</v>
      </c>
      <c r="F30" s="20" t="n">
        <f aca="false">INDEX(in_mkt_listing_3464,1,3)*(1-IF(sku_flute_3464="B",INDEX(in_mkt_eflute_disc,1,3),0))*(1-INDEX(in_mkt_dist_margin,1,3))</f>
        <v>0.1995</v>
      </c>
      <c r="G30" s="68" t="n">
        <f aca="false">INDEX(D30:F30,1,sel_scen)</f>
        <v>0.234</v>
      </c>
    </row>
    <row r="31" customFormat="false" ht="15" hidden="false" customHeight="false" outlineLevel="0" collapsed="false">
      <c r="A31" s="5" t="s">
        <v>16</v>
      </c>
      <c r="B31" s="9" t="str">
        <f aca="false">sku_flute_3463</f>
        <v>B</v>
      </c>
      <c r="D31" s="20" t="n">
        <f aca="false">INDEX(in_mkt_listing_3463,1,1)*(1-IF(sku_flute_3463="B",INDEX(in_mkt_eflute_disc,1,1),0))*(1-INDEX(in_mkt_dist_margin,1,1))</f>
        <v>0.3128</v>
      </c>
      <c r="E31" s="20" t="n">
        <f aca="false">INDEX(in_mkt_listing_3463,1,2)*(1-IF(sku_flute_3463="B",INDEX(in_mkt_eflute_disc,1,2),0))*(1-INDEX(in_mkt_dist_margin,1,2))</f>
        <v>0.27</v>
      </c>
      <c r="F31" s="20" t="n">
        <f aca="false">INDEX(in_mkt_listing_3463,1,3)*(1-IF(sku_flute_3463="B",INDEX(in_mkt_eflute_disc,1,3),0))*(1-INDEX(in_mkt_dist_margin,1,3))</f>
        <v>0.23625</v>
      </c>
      <c r="G31" s="68" t="n">
        <f aca="false">INDEX(D31:F31,1,sel_scen)</f>
        <v>0.27</v>
      </c>
    </row>
    <row r="32" customFormat="false" ht="15" hidden="false" customHeight="false" outlineLevel="0" collapsed="false">
      <c r="A32" s="5" t="s">
        <v>17</v>
      </c>
      <c r="B32" s="9" t="str">
        <f aca="false">sku_flute_3460</f>
        <v>E</v>
      </c>
      <c r="D32" s="20" t="n">
        <f aca="false">INDEX(in_mkt_listing_3460,1,1)*(1-IF(sku_flute_3460="B",INDEX(in_mkt_eflute_disc,1,1),0))*(1-INDEX(in_mkt_dist_margin,1,1))</f>
        <v>0.256</v>
      </c>
      <c r="E32" s="20" t="n">
        <f aca="false">INDEX(in_mkt_listing_3460,1,2)*(1-IF(sku_flute_3460="B",INDEX(in_mkt_eflute_disc,1,2),0))*(1-INDEX(in_mkt_dist_margin,1,2))</f>
        <v>0.225</v>
      </c>
      <c r="F32" s="20" t="n">
        <f aca="false">INDEX(in_mkt_listing_3460,1,3)*(1-IF(sku_flute_3460="B",INDEX(in_mkt_eflute_disc,1,3),0))*(1-INDEX(in_mkt_dist_margin,1,3))</f>
        <v>0.21</v>
      </c>
      <c r="G32" s="68" t="n">
        <f aca="false">INDEX(D32:F32,1,sel_scen)</f>
        <v>0.225</v>
      </c>
    </row>
    <row r="34" customFormat="false" ht="15" hidden="false" customHeight="false" outlineLevel="0" collapsed="false">
      <c r="A34" s="3" t="s">
        <v>1968</v>
      </c>
      <c r="B34" s="4"/>
      <c r="C34" s="4"/>
      <c r="D34" s="4"/>
      <c r="E34" s="4"/>
      <c r="F34" s="4"/>
      <c r="G34" s="4"/>
      <c r="H34" s="4"/>
      <c r="I34" s="4"/>
      <c r="J34" s="4"/>
    </row>
    <row r="35" customFormat="false" ht="15" hidden="false" customHeight="false" outlineLevel="0" collapsed="false">
      <c r="A35" s="13" t="s">
        <v>583</v>
      </c>
      <c r="B35" s="13"/>
      <c r="C35" s="13"/>
      <c r="D35" s="13" t="s">
        <v>15</v>
      </c>
      <c r="E35" s="13" t="s">
        <v>16</v>
      </c>
      <c r="F35" s="13" t="s">
        <v>17</v>
      </c>
      <c r="G35" s="13"/>
      <c r="H35" s="13"/>
      <c r="I35" s="13"/>
      <c r="J35" s="13" t="s">
        <v>19</v>
      </c>
    </row>
    <row r="36" customFormat="false" ht="46.25" hidden="false" customHeight="false" outlineLevel="0" collapsed="false">
      <c r="A36" s="9" t="s">
        <v>1969</v>
      </c>
      <c r="D36" s="77" t="n">
        <v>0.739177489177489</v>
      </c>
      <c r="J36" s="16" t="s">
        <v>1970</v>
      </c>
    </row>
    <row r="37" customFormat="false" ht="68.65" hidden="false" customHeight="false" outlineLevel="0" collapsed="false">
      <c r="A37" s="9" t="s">
        <v>1971</v>
      </c>
      <c r="D37" s="20" t="n">
        <f aca="false">mkt_ldp_lb*INDEX(lg_kpu_3464,sel_scen)/0.45359237</f>
        <v>0.278794722623652</v>
      </c>
      <c r="E37" s="20" t="n">
        <f aca="false">mkt_ldp_lb*INDEX(lg_kpu_3463,sel_scen)/0.45359237</f>
        <v>0.340849716666391</v>
      </c>
      <c r="F37" s="20" t="n">
        <f aca="false">mkt_ldp_lb*INDEX(lg_kpu_3460,sel_scen)/0.45359237</f>
        <v>0.22303653162939</v>
      </c>
      <c r="J37" s="16" t="s">
        <v>1972</v>
      </c>
    </row>
    <row r="38" customFormat="false" ht="35.05" hidden="false" customHeight="false" outlineLevel="0" collapsed="false">
      <c r="A38" s="9" t="s">
        <v>1973</v>
      </c>
      <c r="D38" s="55" t="n">
        <f aca="false">(INDEX(eng_COGS,sel_row)-INDEX(eng_DELIV,sel_row)-INDEX(eng_UNLOAD,sel_row))/(INDEX(eng_kg,sel_row)/0.45359237)</f>
        <v>0.639789778923171</v>
      </c>
      <c r="J38" s="16" t="s">
        <v>1974</v>
      </c>
    </row>
    <row r="40" customFormat="false" ht="15" hidden="false" customHeight="false" outlineLevel="0" collapsed="false">
      <c r="A40" s="3" t="s">
        <v>1975</v>
      </c>
      <c r="B40" s="4"/>
      <c r="C40" s="4"/>
      <c r="D40" s="4"/>
      <c r="E40" s="4"/>
      <c r="F40" s="4"/>
      <c r="G40" s="4"/>
      <c r="H40" s="4"/>
      <c r="I40" s="4"/>
      <c r="J40" s="4"/>
    </row>
    <row r="41" customFormat="false" ht="30" hidden="false" customHeight="true" outlineLevel="0" collapsed="false">
      <c r="A41" s="16" t="s">
        <v>1976</v>
      </c>
      <c r="B41" s="16"/>
      <c r="C41" s="16"/>
      <c r="D41" s="16"/>
      <c r="E41" s="16"/>
      <c r="F41" s="16"/>
      <c r="G41" s="16"/>
      <c r="H41" s="16"/>
      <c r="I41" s="16"/>
      <c r="J41" s="16"/>
      <c r="K41" s="16"/>
      <c r="L41" s="16"/>
      <c r="M41" s="16"/>
      <c r="N41" s="16"/>
      <c r="O41" s="16"/>
      <c r="P41" s="16"/>
      <c r="Q41" s="16"/>
    </row>
    <row r="42" customFormat="false" ht="30" hidden="false" customHeight="true" outlineLevel="0" collapsed="false">
      <c r="A42" s="16" t="s">
        <v>1977</v>
      </c>
      <c r="B42" s="16"/>
      <c r="C42" s="16"/>
      <c r="D42" s="16"/>
      <c r="E42" s="16"/>
      <c r="F42" s="16"/>
      <c r="G42" s="16"/>
      <c r="H42" s="16"/>
      <c r="I42" s="16"/>
      <c r="J42" s="16"/>
      <c r="K42" s="16"/>
      <c r="L42" s="16"/>
      <c r="M42" s="16"/>
      <c r="N42" s="16"/>
      <c r="O42" s="16"/>
      <c r="P42" s="16"/>
      <c r="Q42" s="16"/>
    </row>
    <row r="43" customFormat="false" ht="30" hidden="false" customHeight="true" outlineLevel="0" collapsed="false">
      <c r="A43" s="16" t="s">
        <v>1978</v>
      </c>
      <c r="B43" s="16"/>
      <c r="C43" s="16"/>
      <c r="D43" s="16"/>
      <c r="E43" s="16"/>
      <c r="F43" s="16"/>
      <c r="G43" s="16"/>
      <c r="H43" s="16"/>
      <c r="I43" s="16"/>
      <c r="J43" s="16"/>
      <c r="K43" s="16"/>
      <c r="L43" s="16"/>
      <c r="M43" s="16"/>
      <c r="N43" s="16"/>
      <c r="O43" s="16"/>
      <c r="P43" s="16"/>
      <c r="Q43" s="16"/>
    </row>
    <row r="44" customFormat="false" ht="30" hidden="false" customHeight="true" outlineLevel="0" collapsed="false">
      <c r="A44" s="16" t="s">
        <v>1979</v>
      </c>
      <c r="B44" s="16"/>
      <c r="C44" s="16"/>
      <c r="D44" s="16"/>
      <c r="E44" s="16"/>
      <c r="F44" s="16"/>
      <c r="G44" s="16"/>
      <c r="H44" s="16"/>
      <c r="I44" s="16"/>
      <c r="J44" s="16"/>
      <c r="K44" s="16"/>
      <c r="L44" s="16"/>
      <c r="M44" s="16"/>
      <c r="N44" s="16"/>
      <c r="O44" s="16"/>
      <c r="P44" s="16"/>
      <c r="Q44" s="16"/>
    </row>
  </sheetData>
  <mergeCells count="4">
    <mergeCell ref="A41:Q41"/>
    <mergeCell ref="A42:Q42"/>
    <mergeCell ref="A43:Q43"/>
    <mergeCell ref="A44:Q44"/>
  </mergeCells>
  <conditionalFormatting sqref="H22:H26">
    <cfRule type="expression" priority="2" aboveAverage="0" equalAverage="0" bottom="0" percent="0" rank="0" text="" dxfId="0">
      <formula>LEFT(H22,8)="VERIFIED"</formula>
    </cfRule>
    <cfRule type="expression" priority="3" aboveAverage="0" equalAverage="0" bottom="0" percent="0" rank="0" text="" dxfId="2">
      <formula>OR(H22="ESTIMATED",H22="CALCULATED")</formula>
    </cfRule>
    <cfRule type="expression" priority="4" aboveAverage="0" equalAverage="0" bottom="0" percent="0" rank="0" text="" dxfId="1">
      <formula>OR(H22="ASSUMED",H22="UNRESOLVED",H22="UNVERIFIED")</formula>
    </cfRule>
  </conditionalFormatting>
  <dataValidations count="1">
    <dataValidation allowBlank="true" error="Value outside the allowed range" errorStyle="stop" operator="between" showDropDown="false" showErrorMessage="false" showInputMessage="false" sqref="D22:F26" type="decimal">
      <formula1>-1000000000000</formula1>
      <formula2>1000000000000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8"/>
    <col collapsed="false" customWidth="true" hidden="false" outlineLevel="0" max="3" min="3" style="0" width="14"/>
    <col collapsed="false" customWidth="true" hidden="false" outlineLevel="0" max="4" min="4" style="0" width="10"/>
    <col collapsed="false" customWidth="true" hidden="false" outlineLevel="0" max="5" min="5" style="0" width="9"/>
    <col collapsed="false" customWidth="true" hidden="false" outlineLevel="0" max="6" min="6" style="0" width="8"/>
    <col collapsed="false" customWidth="true" hidden="false" outlineLevel="0" max="7" min="7" style="0" width="70"/>
    <col collapsed="false" customWidth="true" hidden="false" outlineLevel="0" max="8" min="8" style="0" width="20"/>
    <col collapsed="false" customWidth="true" hidden="false" outlineLevel="0" max="9" min="9" style="0" width="22"/>
  </cols>
  <sheetData>
    <row r="1" customFormat="false" ht="18.55" hidden="false" customHeight="false" outlineLevel="0" collapsed="false">
      <c r="A1" s="1" t="s">
        <v>1980</v>
      </c>
    </row>
    <row r="2" customFormat="false" ht="15" hidden="false" customHeight="false" outlineLevel="0" collapsed="false">
      <c r="A2" s="2" t="s">
        <v>1981</v>
      </c>
    </row>
    <row r="4" customFormat="false" ht="15" hidden="false" customHeight="false" outlineLevel="0" collapsed="false">
      <c r="A4" s="13" t="s">
        <v>279</v>
      </c>
      <c r="B4" s="13" t="s">
        <v>1982</v>
      </c>
      <c r="C4" s="13" t="s">
        <v>1346</v>
      </c>
      <c r="D4" s="13" t="s">
        <v>1983</v>
      </c>
      <c r="E4" s="13" t="s">
        <v>1984</v>
      </c>
      <c r="F4" s="13" t="s">
        <v>1780</v>
      </c>
      <c r="G4" s="13" t="s">
        <v>1985</v>
      </c>
      <c r="H4" s="13" t="s">
        <v>1986</v>
      </c>
      <c r="I4" s="13" t="s">
        <v>264</v>
      </c>
    </row>
    <row r="5" customFormat="false" ht="30" hidden="false" customHeight="true" outlineLevel="0" collapsed="false">
      <c r="A5" s="9" t="s">
        <v>1987</v>
      </c>
      <c r="B5" s="16" t="s">
        <v>1988</v>
      </c>
      <c r="C5" s="9" t="s">
        <v>1989</v>
      </c>
      <c r="D5" s="6" t="n">
        <v>5</v>
      </c>
      <c r="E5" s="6" t="n">
        <v>5</v>
      </c>
      <c r="F5" s="58" t="n">
        <f aca="false">D5*E5</f>
        <v>25</v>
      </c>
      <c r="G5" s="16" t="s">
        <v>1990</v>
      </c>
      <c r="H5" s="9" t="s">
        <v>1098</v>
      </c>
      <c r="I5" s="16" t="s">
        <v>1991</v>
      </c>
    </row>
    <row r="6" customFormat="false" ht="30" hidden="false" customHeight="true" outlineLevel="0" collapsed="false">
      <c r="A6" s="9" t="s">
        <v>1992</v>
      </c>
      <c r="B6" s="16" t="s">
        <v>1993</v>
      </c>
      <c r="C6" s="9" t="s">
        <v>1994</v>
      </c>
      <c r="D6" s="6" t="n">
        <v>3</v>
      </c>
      <c r="E6" s="6" t="n">
        <v>3</v>
      </c>
      <c r="F6" s="58" t="n">
        <f aca="false">D6*E6</f>
        <v>9</v>
      </c>
      <c r="G6" s="16" t="s">
        <v>1995</v>
      </c>
      <c r="H6" s="9" t="s">
        <v>1996</v>
      </c>
      <c r="I6" s="16" t="s">
        <v>1997</v>
      </c>
    </row>
    <row r="7" customFormat="false" ht="30" hidden="false" customHeight="true" outlineLevel="0" collapsed="false">
      <c r="A7" s="9" t="s">
        <v>1998</v>
      </c>
      <c r="B7" s="16" t="s">
        <v>1999</v>
      </c>
      <c r="C7" s="9" t="s">
        <v>2000</v>
      </c>
      <c r="D7" s="6" t="n">
        <v>2</v>
      </c>
      <c r="E7" s="6" t="n">
        <v>4</v>
      </c>
      <c r="F7" s="58" t="n">
        <f aca="false">D7*E7</f>
        <v>8</v>
      </c>
      <c r="G7" s="16" t="s">
        <v>2001</v>
      </c>
      <c r="H7" s="9" t="s">
        <v>2002</v>
      </c>
      <c r="I7" s="16" t="s">
        <v>2003</v>
      </c>
    </row>
    <row r="8" customFormat="false" ht="30" hidden="false" customHeight="true" outlineLevel="0" collapsed="false">
      <c r="A8" s="9" t="s">
        <v>2004</v>
      </c>
      <c r="B8" s="16" t="s">
        <v>2005</v>
      </c>
      <c r="C8" s="9" t="s">
        <v>2006</v>
      </c>
      <c r="D8" s="6" t="n">
        <v>2</v>
      </c>
      <c r="E8" s="6" t="n">
        <v>5</v>
      </c>
      <c r="F8" s="58" t="n">
        <f aca="false">D8*E8</f>
        <v>10</v>
      </c>
      <c r="G8" s="16" t="s">
        <v>2007</v>
      </c>
      <c r="H8" s="9" t="s">
        <v>1098</v>
      </c>
      <c r="I8" s="16" t="s">
        <v>2008</v>
      </c>
    </row>
    <row r="9" customFormat="false" ht="30" hidden="false" customHeight="true" outlineLevel="0" collapsed="false">
      <c r="A9" s="9" t="s">
        <v>2009</v>
      </c>
      <c r="B9" s="16" t="s">
        <v>2010</v>
      </c>
      <c r="C9" s="9" t="s">
        <v>2011</v>
      </c>
      <c r="D9" s="6" t="n">
        <v>4</v>
      </c>
      <c r="E9" s="6" t="n">
        <v>3</v>
      </c>
      <c r="F9" s="58" t="n">
        <f aca="false">D9*E9</f>
        <v>12</v>
      </c>
      <c r="G9" s="16" t="s">
        <v>2012</v>
      </c>
      <c r="H9" s="9" t="s">
        <v>1098</v>
      </c>
      <c r="I9" s="16" t="s">
        <v>1997</v>
      </c>
    </row>
    <row r="10" customFormat="false" ht="30" hidden="false" customHeight="true" outlineLevel="0" collapsed="false">
      <c r="A10" s="9" t="s">
        <v>2013</v>
      </c>
      <c r="B10" s="16" t="s">
        <v>2014</v>
      </c>
      <c r="C10" s="9" t="s">
        <v>1822</v>
      </c>
      <c r="D10" s="6" t="n">
        <v>3</v>
      </c>
      <c r="E10" s="6" t="n">
        <v>5</v>
      </c>
      <c r="F10" s="58" t="n">
        <f aca="false">D10*E10</f>
        <v>15</v>
      </c>
      <c r="G10" s="16" t="s">
        <v>2015</v>
      </c>
      <c r="H10" s="9" t="s">
        <v>2016</v>
      </c>
      <c r="I10" s="16" t="s">
        <v>2008</v>
      </c>
    </row>
    <row r="11" customFormat="false" ht="30" hidden="false" customHeight="true" outlineLevel="0" collapsed="false">
      <c r="A11" s="9" t="s">
        <v>2017</v>
      </c>
      <c r="B11" s="16" t="s">
        <v>2018</v>
      </c>
      <c r="C11" s="9" t="s">
        <v>2019</v>
      </c>
      <c r="D11" s="6" t="n">
        <v>2</v>
      </c>
      <c r="E11" s="6" t="n">
        <v>5</v>
      </c>
      <c r="F11" s="58" t="n">
        <f aca="false">D11*E11</f>
        <v>10</v>
      </c>
      <c r="G11" s="16" t="s">
        <v>2020</v>
      </c>
      <c r="H11" s="9" t="s">
        <v>365</v>
      </c>
      <c r="I11" s="16" t="s">
        <v>2008</v>
      </c>
    </row>
    <row r="12" customFormat="false" ht="30" hidden="false" customHeight="true" outlineLevel="0" collapsed="false">
      <c r="A12" s="9" t="s">
        <v>2021</v>
      </c>
      <c r="B12" s="16" t="s">
        <v>2022</v>
      </c>
      <c r="C12" s="9" t="s">
        <v>2019</v>
      </c>
      <c r="D12" s="6" t="n">
        <v>3</v>
      </c>
      <c r="E12" s="6" t="n">
        <v>4</v>
      </c>
      <c r="F12" s="58" t="n">
        <f aca="false">D12*E12</f>
        <v>12</v>
      </c>
      <c r="G12" s="16" t="s">
        <v>2023</v>
      </c>
      <c r="H12" s="9" t="s">
        <v>365</v>
      </c>
      <c r="I12" s="16" t="s">
        <v>1997</v>
      </c>
    </row>
    <row r="13" customFormat="false" ht="30" hidden="false" customHeight="true" outlineLevel="0" collapsed="false">
      <c r="A13" s="9" t="s">
        <v>2024</v>
      </c>
      <c r="B13" s="16" t="s">
        <v>2025</v>
      </c>
      <c r="C13" s="9" t="s">
        <v>1384</v>
      </c>
      <c r="D13" s="6" t="n">
        <v>4</v>
      </c>
      <c r="E13" s="6" t="n">
        <v>3</v>
      </c>
      <c r="F13" s="58" t="n">
        <f aca="false">D13*E13</f>
        <v>12</v>
      </c>
      <c r="G13" s="16" t="s">
        <v>2026</v>
      </c>
      <c r="H13" s="9" t="s">
        <v>2027</v>
      </c>
      <c r="I13" s="16" t="s">
        <v>1997</v>
      </c>
    </row>
    <row r="14" customFormat="false" ht="30" hidden="false" customHeight="true" outlineLevel="0" collapsed="false">
      <c r="A14" s="9" t="s">
        <v>2028</v>
      </c>
      <c r="B14" s="16" t="s">
        <v>2029</v>
      </c>
      <c r="C14" s="9" t="s">
        <v>1368</v>
      </c>
      <c r="D14" s="6" t="n">
        <v>3</v>
      </c>
      <c r="E14" s="6" t="n">
        <v>2</v>
      </c>
      <c r="F14" s="58" t="n">
        <f aca="false">D14*E14</f>
        <v>6</v>
      </c>
      <c r="G14" s="16" t="s">
        <v>2030</v>
      </c>
      <c r="H14" s="9" t="s">
        <v>2031</v>
      </c>
      <c r="I14" s="16" t="s">
        <v>1997</v>
      </c>
    </row>
    <row r="15" customFormat="false" ht="30" hidden="false" customHeight="true" outlineLevel="0" collapsed="false">
      <c r="A15" s="9" t="s">
        <v>2032</v>
      </c>
      <c r="B15" s="16" t="s">
        <v>2033</v>
      </c>
      <c r="C15" s="9" t="s">
        <v>2034</v>
      </c>
      <c r="D15" s="6" t="n">
        <v>3</v>
      </c>
      <c r="E15" s="6" t="n">
        <v>3</v>
      </c>
      <c r="F15" s="58" t="n">
        <f aca="false">D15*E15</f>
        <v>9</v>
      </c>
      <c r="G15" s="16" t="s">
        <v>2035</v>
      </c>
      <c r="H15" s="9" t="s">
        <v>2036</v>
      </c>
      <c r="I15" s="16" t="s">
        <v>1997</v>
      </c>
    </row>
    <row r="16" customFormat="false" ht="30" hidden="false" customHeight="true" outlineLevel="0" collapsed="false">
      <c r="A16" s="9" t="s">
        <v>2037</v>
      </c>
      <c r="B16" s="16" t="s">
        <v>2038</v>
      </c>
      <c r="C16" s="9" t="s">
        <v>2039</v>
      </c>
      <c r="D16" s="6" t="n">
        <v>2</v>
      </c>
      <c r="E16" s="6" t="n">
        <v>2</v>
      </c>
      <c r="F16" s="58" t="n">
        <f aca="false">D16*E16</f>
        <v>4</v>
      </c>
      <c r="G16" s="16" t="s">
        <v>2040</v>
      </c>
      <c r="H16" s="9" t="s">
        <v>1098</v>
      </c>
      <c r="I16" s="16" t="s">
        <v>2003</v>
      </c>
    </row>
    <row r="17" customFormat="false" ht="30" hidden="false" customHeight="true" outlineLevel="0" collapsed="false">
      <c r="A17" s="9" t="s">
        <v>2041</v>
      </c>
      <c r="B17" s="16" t="s">
        <v>2042</v>
      </c>
      <c r="C17" s="9" t="s">
        <v>2043</v>
      </c>
      <c r="D17" s="6" t="n">
        <v>3</v>
      </c>
      <c r="E17" s="6" t="n">
        <v>2</v>
      </c>
      <c r="F17" s="58" t="n">
        <f aca="false">D17*E17</f>
        <v>6</v>
      </c>
      <c r="G17" s="16" t="s">
        <v>2044</v>
      </c>
      <c r="H17" s="9" t="s">
        <v>2027</v>
      </c>
      <c r="I17" s="16" t="s">
        <v>1997</v>
      </c>
    </row>
    <row r="18" customFormat="false" ht="30" hidden="false" customHeight="true" outlineLevel="0" collapsed="false">
      <c r="A18" s="9" t="s">
        <v>2045</v>
      </c>
      <c r="B18" s="16" t="s">
        <v>2046</v>
      </c>
      <c r="C18" s="9" t="s">
        <v>2047</v>
      </c>
      <c r="D18" s="6" t="n">
        <v>2</v>
      </c>
      <c r="E18" s="6" t="n">
        <v>3</v>
      </c>
      <c r="F18" s="58" t="n">
        <f aca="false">D18*E18</f>
        <v>6</v>
      </c>
      <c r="G18" s="16" t="s">
        <v>2048</v>
      </c>
      <c r="H18" s="9" t="s">
        <v>2027</v>
      </c>
      <c r="I18" s="16" t="s">
        <v>1997</v>
      </c>
    </row>
    <row r="19" customFormat="false" ht="30" hidden="false" customHeight="true" outlineLevel="0" collapsed="false">
      <c r="A19" s="9" t="s">
        <v>2049</v>
      </c>
      <c r="B19" s="16" t="s">
        <v>2050</v>
      </c>
      <c r="C19" s="9" t="s">
        <v>1522</v>
      </c>
      <c r="D19" s="6" t="n">
        <v>3</v>
      </c>
      <c r="E19" s="6" t="n">
        <v>2</v>
      </c>
      <c r="F19" s="58" t="n">
        <f aca="false">D19*E19</f>
        <v>6</v>
      </c>
      <c r="G19" s="16" t="s">
        <v>2051</v>
      </c>
      <c r="H19" s="9" t="s">
        <v>1098</v>
      </c>
      <c r="I19" s="16" t="s">
        <v>1997</v>
      </c>
    </row>
    <row r="20" customFormat="false" ht="30" hidden="false" customHeight="true" outlineLevel="0" collapsed="false">
      <c r="A20" s="9" t="s">
        <v>2052</v>
      </c>
      <c r="B20" s="16" t="s">
        <v>2053</v>
      </c>
      <c r="C20" s="9" t="s">
        <v>1522</v>
      </c>
      <c r="D20" s="6" t="n">
        <v>3</v>
      </c>
      <c r="E20" s="6" t="n">
        <v>2</v>
      </c>
      <c r="F20" s="58" t="n">
        <f aca="false">D20*E20</f>
        <v>6</v>
      </c>
      <c r="G20" s="16" t="s">
        <v>2054</v>
      </c>
      <c r="H20" s="9" t="s">
        <v>2055</v>
      </c>
      <c r="I20" s="16" t="s">
        <v>1997</v>
      </c>
    </row>
    <row r="21" customFormat="false" ht="30" hidden="false" customHeight="true" outlineLevel="0" collapsed="false">
      <c r="A21" s="9" t="s">
        <v>2056</v>
      </c>
      <c r="B21" s="16" t="s">
        <v>2057</v>
      </c>
      <c r="C21" s="9" t="s">
        <v>1488</v>
      </c>
      <c r="D21" s="6" t="n">
        <v>3</v>
      </c>
      <c r="E21" s="6" t="n">
        <v>2</v>
      </c>
      <c r="F21" s="58" t="n">
        <f aca="false">D21*E21</f>
        <v>6</v>
      </c>
      <c r="G21" s="16" t="s">
        <v>2058</v>
      </c>
      <c r="H21" s="9" t="s">
        <v>2059</v>
      </c>
      <c r="I21" s="16" t="s">
        <v>1997</v>
      </c>
    </row>
    <row r="22" customFormat="false" ht="30" hidden="false" customHeight="true" outlineLevel="0" collapsed="false">
      <c r="A22" s="9" t="s">
        <v>2060</v>
      </c>
      <c r="B22" s="16" t="s">
        <v>2061</v>
      </c>
      <c r="C22" s="9" t="s">
        <v>1488</v>
      </c>
      <c r="D22" s="6" t="n">
        <v>2</v>
      </c>
      <c r="E22" s="6" t="n">
        <v>3</v>
      </c>
      <c r="F22" s="58" t="n">
        <f aca="false">D22*E22</f>
        <v>6</v>
      </c>
      <c r="G22" s="16" t="s">
        <v>2062</v>
      </c>
      <c r="H22" s="9" t="s">
        <v>2063</v>
      </c>
      <c r="I22" s="16" t="s">
        <v>1997</v>
      </c>
    </row>
    <row r="23" customFormat="false" ht="30" hidden="false" customHeight="true" outlineLevel="0" collapsed="false">
      <c r="A23" s="9" t="s">
        <v>2064</v>
      </c>
      <c r="B23" s="16" t="s">
        <v>2065</v>
      </c>
      <c r="C23" s="9" t="s">
        <v>1488</v>
      </c>
      <c r="D23" s="6" t="n">
        <v>2</v>
      </c>
      <c r="E23" s="6" t="n">
        <v>4</v>
      </c>
      <c r="F23" s="58" t="n">
        <f aca="false">D23*E23</f>
        <v>8</v>
      </c>
      <c r="G23" s="16" t="s">
        <v>2066</v>
      </c>
      <c r="H23" s="9" t="s">
        <v>2067</v>
      </c>
      <c r="I23" s="16" t="s">
        <v>1997</v>
      </c>
    </row>
    <row r="24" customFormat="false" ht="30" hidden="false" customHeight="true" outlineLevel="0" collapsed="false">
      <c r="A24" s="9" t="s">
        <v>2068</v>
      </c>
      <c r="B24" s="16" t="s">
        <v>2069</v>
      </c>
      <c r="C24" s="9" t="s">
        <v>2070</v>
      </c>
      <c r="D24" s="6" t="n">
        <v>2</v>
      </c>
      <c r="E24" s="6" t="n">
        <v>4</v>
      </c>
      <c r="F24" s="58" t="n">
        <f aca="false">D24*E24</f>
        <v>8</v>
      </c>
      <c r="G24" s="16" t="s">
        <v>2071</v>
      </c>
      <c r="H24" s="9" t="s">
        <v>1098</v>
      </c>
      <c r="I24" s="16" t="s">
        <v>1997</v>
      </c>
    </row>
    <row r="25" customFormat="false" ht="30" hidden="false" customHeight="true" outlineLevel="0" collapsed="false">
      <c r="A25" s="9" t="s">
        <v>2072</v>
      </c>
      <c r="B25" s="16" t="s">
        <v>2073</v>
      </c>
      <c r="C25" s="9" t="s">
        <v>2047</v>
      </c>
      <c r="D25" s="6" t="n">
        <v>3</v>
      </c>
      <c r="E25" s="6" t="n">
        <v>3</v>
      </c>
      <c r="F25" s="58" t="n">
        <f aca="false">D25*E25</f>
        <v>9</v>
      </c>
      <c r="G25" s="16" t="s">
        <v>2074</v>
      </c>
      <c r="H25" s="9" t="s">
        <v>2075</v>
      </c>
      <c r="I25" s="16" t="s">
        <v>1997</v>
      </c>
    </row>
    <row r="26" customFormat="false" ht="30" hidden="false" customHeight="true" outlineLevel="0" collapsed="false">
      <c r="A26" s="9" t="s">
        <v>2076</v>
      </c>
      <c r="B26" s="16" t="s">
        <v>2077</v>
      </c>
      <c r="C26" s="9" t="s">
        <v>2078</v>
      </c>
      <c r="D26" s="6" t="n">
        <v>3</v>
      </c>
      <c r="E26" s="6" t="n">
        <v>3</v>
      </c>
      <c r="F26" s="58" t="n">
        <f aca="false">D26*E26</f>
        <v>9</v>
      </c>
      <c r="G26" s="16" t="s">
        <v>2079</v>
      </c>
      <c r="H26" s="9" t="s">
        <v>1098</v>
      </c>
      <c r="I26" s="16" t="s">
        <v>1997</v>
      </c>
    </row>
    <row r="27" customFormat="false" ht="30" hidden="false" customHeight="true" outlineLevel="0" collapsed="false">
      <c r="A27" s="9" t="s">
        <v>2080</v>
      </c>
      <c r="B27" s="16" t="s">
        <v>2081</v>
      </c>
      <c r="C27" s="9" t="s">
        <v>1488</v>
      </c>
      <c r="D27" s="6" t="n">
        <v>2</v>
      </c>
      <c r="E27" s="6" t="n">
        <v>2</v>
      </c>
      <c r="F27" s="58" t="n">
        <f aca="false">D27*E27</f>
        <v>4</v>
      </c>
      <c r="G27" s="16" t="s">
        <v>2082</v>
      </c>
      <c r="H27" s="9" t="s">
        <v>2083</v>
      </c>
      <c r="I27" s="16" t="s">
        <v>1997</v>
      </c>
    </row>
    <row r="28" customFormat="false" ht="30" hidden="false" customHeight="true" outlineLevel="0" collapsed="false">
      <c r="A28" s="9" t="s">
        <v>2084</v>
      </c>
      <c r="B28" s="16" t="s">
        <v>2085</v>
      </c>
      <c r="C28" s="9" t="s">
        <v>2086</v>
      </c>
      <c r="D28" s="6" t="n">
        <v>3</v>
      </c>
      <c r="E28" s="6" t="n">
        <v>2</v>
      </c>
      <c r="F28" s="58" t="n">
        <f aca="false">D28*E28</f>
        <v>6</v>
      </c>
      <c r="G28" s="16" t="s">
        <v>2087</v>
      </c>
      <c r="H28" s="9" t="s">
        <v>2088</v>
      </c>
      <c r="I28" s="16" t="s">
        <v>1997</v>
      </c>
    </row>
  </sheetData>
  <conditionalFormatting sqref="F5:F28">
    <cfRule type="cellIs" priority="2" operator="greaterThanOrEqual" aboveAverage="0" equalAverage="0" bottom="0" percent="0" rank="0" text="" dxfId="1">
      <formula>15</formula>
    </cfRule>
    <cfRule type="cellIs" priority="3" operator="between" aboveAverage="0" equalAverage="0" bottom="0" percent="0" rank="0" text="" dxfId="2">
      <formula>8</formula>
      <formula>14</formula>
    </cfRule>
    <cfRule type="cellIs" priority="4" operator="lessThan" aboveAverage="0" equalAverage="0" bottom="0" percent="0" rank="0" text="" dxfId="0">
      <formula>8</formula>
    </cfRule>
  </conditionalFormatting>
  <dataValidations count="1">
    <dataValidation allowBlank="false" error="Choose a value from the list" errorStyle="stop" errorTitle="Invalid entry" operator="between" showDropDown="false" showErrorMessage="false" showInputMessage="false" sqref="D5:E28"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L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56"/>
    <col collapsed="false" customWidth="true" hidden="false" outlineLevel="0" max="7" min="4" style="0" width="12"/>
    <col collapsed="false" customWidth="true" hidden="false" outlineLevel="0" max="8" min="8" style="0" width="20"/>
    <col collapsed="false" customWidth="true" hidden="false" outlineLevel="0" max="9" min="9" style="0" width="18"/>
    <col collapsed="false" customWidth="true" hidden="false" outlineLevel="0" max="10" min="10" style="0" width="10"/>
    <col collapsed="false" customWidth="true" hidden="false" outlineLevel="0" max="11" min="11" style="0" width="30"/>
    <col collapsed="false" customWidth="true" hidden="false" outlineLevel="0" max="12" min="12" style="0" width="60"/>
  </cols>
  <sheetData>
    <row r="1" customFormat="false" ht="18.55" hidden="false" customHeight="false" outlineLevel="0" collapsed="false">
      <c r="A1" s="1" t="s">
        <v>2089</v>
      </c>
    </row>
    <row r="2" customFormat="false" ht="15" hidden="false" customHeight="false" outlineLevel="0" collapsed="false">
      <c r="A2" s="2" t="s">
        <v>2090</v>
      </c>
    </row>
    <row r="4" customFormat="false" ht="15" hidden="false" customHeight="false" outlineLevel="0" collapsed="false">
      <c r="A4" s="13" t="s">
        <v>2091</v>
      </c>
      <c r="B4" s="13" t="s">
        <v>621</v>
      </c>
      <c r="C4" s="13" t="s">
        <v>280</v>
      </c>
      <c r="D4" s="13" t="s">
        <v>18</v>
      </c>
      <c r="E4" s="13" t="s">
        <v>103</v>
      </c>
      <c r="F4" s="13" t="s">
        <v>104</v>
      </c>
      <c r="G4" s="13" t="s">
        <v>105</v>
      </c>
      <c r="H4" s="13" t="s">
        <v>282</v>
      </c>
      <c r="I4" s="13" t="s">
        <v>635</v>
      </c>
      <c r="J4" s="13" t="s">
        <v>1984</v>
      </c>
      <c r="K4" s="13" t="s">
        <v>2092</v>
      </c>
      <c r="L4" s="13" t="s">
        <v>284</v>
      </c>
    </row>
    <row r="5" customFormat="false" ht="23.85" hidden="false" customHeight="false" outlineLevel="0" collapsed="false">
      <c r="A5" s="9" t="s">
        <v>2043</v>
      </c>
      <c r="B5" s="9" t="s">
        <v>2093</v>
      </c>
      <c r="C5" s="16" t="s">
        <v>437</v>
      </c>
      <c r="D5" s="9" t="s">
        <v>438</v>
      </c>
      <c r="E5" s="24" t="n">
        <f aca="false">INDEX(in_eng_k_len,1,1)</f>
        <v>4.5</v>
      </c>
      <c r="F5" s="24" t="n">
        <f aca="false">INDEX(in_eng_k_len,1,2)</f>
        <v>4.5</v>
      </c>
      <c r="G5" s="24" t="n">
        <f aca="false">INDEX(in_eng_k_len,1,3)</f>
        <v>4.5</v>
      </c>
      <c r="H5" s="9" t="s">
        <v>303</v>
      </c>
      <c r="I5" s="16" t="s">
        <v>439</v>
      </c>
      <c r="J5" s="9" t="s">
        <v>1101</v>
      </c>
      <c r="K5" s="8" t="str">
        <f aca="false">IF(AND(J5="High",OR(H5="ASSUMED",H5="ESTIMATED",H5="UNRESOLVED")),"⚠ decision-relevant, unverified","")</f>
        <v/>
      </c>
      <c r="L5" s="16" t="s">
        <v>440</v>
      </c>
    </row>
    <row r="6" customFormat="false" ht="15" hidden="false" customHeight="false" outlineLevel="0" collapsed="false">
      <c r="A6" s="9" t="s">
        <v>2043</v>
      </c>
      <c r="B6" s="9" t="s">
        <v>2094</v>
      </c>
      <c r="C6" s="16" t="s">
        <v>442</v>
      </c>
      <c r="D6" s="9" t="s">
        <v>443</v>
      </c>
      <c r="E6" s="49" t="n">
        <f aca="false">INDEX(in_eng_w_allow,1,1)</f>
        <v>13</v>
      </c>
      <c r="F6" s="49" t="n">
        <f aca="false">INDEX(in_eng_w_allow,1,2)</f>
        <v>13</v>
      </c>
      <c r="G6" s="49" t="n">
        <f aca="false">INDEX(in_eng_w_allow,1,3)</f>
        <v>13</v>
      </c>
      <c r="H6" s="9" t="s">
        <v>303</v>
      </c>
      <c r="I6" s="16" t="s">
        <v>439</v>
      </c>
      <c r="J6" s="9" t="s">
        <v>1115</v>
      </c>
      <c r="K6" s="8" t="str">
        <f aca="false">IF(AND(J6="High",OR(H6="ASSUMED",H6="ESTIMATED",H6="UNRESOLVED")),"⚠ decision-relevant, unverified","")</f>
        <v/>
      </c>
      <c r="L6" s="16" t="s">
        <v>444</v>
      </c>
    </row>
    <row r="7" customFormat="false" ht="15" hidden="false" customHeight="false" outlineLevel="0" collapsed="false">
      <c r="A7" s="9" t="s">
        <v>2043</v>
      </c>
      <c r="B7" s="9" t="s">
        <v>2095</v>
      </c>
      <c r="C7" s="16" t="s">
        <v>446</v>
      </c>
      <c r="D7" s="9" t="s">
        <v>447</v>
      </c>
      <c r="E7" s="24" t="n">
        <f aca="false">INDEX(in_eng_net_area,1,1)</f>
        <v>0.92</v>
      </c>
      <c r="F7" s="24" t="n">
        <f aca="false">INDEX(in_eng_net_area,1,2)</f>
        <v>0.92</v>
      </c>
      <c r="G7" s="24" t="n">
        <f aca="false">INDEX(in_eng_net_area,1,3)</f>
        <v>0.92</v>
      </c>
      <c r="H7" s="9" t="s">
        <v>287</v>
      </c>
      <c r="I7" s="16"/>
      <c r="J7" s="9" t="s">
        <v>1115</v>
      </c>
      <c r="K7" s="8" t="str">
        <f aca="false">IF(AND(J7="High",OR(H7="ASSUMED",H7="ESTIMATED",H7="UNRESOLVED")),"⚠ decision-relevant, unverified","")</f>
        <v/>
      </c>
      <c r="L7" s="16" t="s">
        <v>448</v>
      </c>
    </row>
    <row r="8" customFormat="false" ht="23.85" hidden="false" customHeight="false" outlineLevel="0" collapsed="false">
      <c r="A8" s="9" t="s">
        <v>2043</v>
      </c>
      <c r="B8" s="9" t="s">
        <v>2096</v>
      </c>
      <c r="C8" s="16" t="s">
        <v>450</v>
      </c>
      <c r="D8" s="9" t="s">
        <v>451</v>
      </c>
      <c r="E8" s="49" t="n">
        <f aca="false">INDEX(in_eng_grammage,1,1)</f>
        <v>400</v>
      </c>
      <c r="F8" s="49" t="n">
        <f aca="false">INDEX(in_eng_grammage,1,2)</f>
        <v>420</v>
      </c>
      <c r="G8" s="49" t="n">
        <f aca="false">INDEX(in_eng_grammage,1,3)</f>
        <v>480</v>
      </c>
      <c r="H8" s="9" t="s">
        <v>303</v>
      </c>
      <c r="I8" s="16" t="s">
        <v>452</v>
      </c>
      <c r="J8" s="9" t="s">
        <v>1115</v>
      </c>
      <c r="K8" s="8" t="str">
        <f aca="false">IF(AND(J8="High",OR(H8="ASSUMED",H8="ESTIMATED",H8="UNRESOLVED")),"⚠ decision-relevant, unverified","")</f>
        <v/>
      </c>
      <c r="L8" s="16" t="s">
        <v>453</v>
      </c>
    </row>
    <row r="9" customFormat="false" ht="23.85" hidden="false" customHeight="false" outlineLevel="0" collapsed="false">
      <c r="A9" s="9" t="s">
        <v>2043</v>
      </c>
      <c r="B9" s="9" t="s">
        <v>2097</v>
      </c>
      <c r="C9" s="16" t="s">
        <v>455</v>
      </c>
      <c r="D9" s="9" t="s">
        <v>443</v>
      </c>
      <c r="E9" s="49" t="n">
        <f aca="false">INDEX(in_eng_pitch,1,1)</f>
        <v>1.5</v>
      </c>
      <c r="F9" s="49" t="n">
        <f aca="false">INDEX(in_eng_pitch,1,2)</f>
        <v>1.6</v>
      </c>
      <c r="G9" s="49" t="n">
        <f aca="false">INDEX(in_eng_pitch,1,3)</f>
        <v>1.8</v>
      </c>
      <c r="H9" s="9" t="s">
        <v>303</v>
      </c>
      <c r="I9" s="16" t="s">
        <v>456</v>
      </c>
      <c r="J9" s="9" t="s">
        <v>1101</v>
      </c>
      <c r="K9" s="8" t="str">
        <f aca="false">IF(AND(J9="High",OR(H9="ASSUMED",H9="ESTIMATED",H9="UNRESOLVED")),"⚠ decision-relevant, unverified","")</f>
        <v/>
      </c>
      <c r="L9" s="16" t="s">
        <v>457</v>
      </c>
    </row>
    <row r="10" customFormat="false" ht="15" hidden="false" customHeight="false" outlineLevel="0" collapsed="false">
      <c r="A10" s="9" t="s">
        <v>2043</v>
      </c>
      <c r="B10" s="9" t="s">
        <v>2098</v>
      </c>
      <c r="C10" s="16" t="s">
        <v>459</v>
      </c>
      <c r="D10" s="9" t="s">
        <v>460</v>
      </c>
      <c r="E10" s="49" t="n">
        <f aca="false">INDEX(in_eng_per_bundle,1,1)</f>
        <v>50</v>
      </c>
      <c r="F10" s="49" t="n">
        <f aca="false">INDEX(in_eng_per_bundle,1,2)</f>
        <v>50</v>
      </c>
      <c r="G10" s="49" t="n">
        <f aca="false">INDEX(in_eng_per_bundle,1,3)</f>
        <v>50</v>
      </c>
      <c r="H10" s="9" t="s">
        <v>287</v>
      </c>
      <c r="I10" s="16" t="s">
        <v>461</v>
      </c>
      <c r="J10" s="9" t="s">
        <v>1115</v>
      </c>
      <c r="K10" s="8" t="str">
        <f aca="false">IF(AND(J10="High",OR(H10="ASSUMED",H10="ESTIMATED",H10="UNRESOLVED")),"⚠ decision-relevant, unverified","")</f>
        <v/>
      </c>
      <c r="L10" s="16" t="s">
        <v>462</v>
      </c>
    </row>
    <row r="11" customFormat="false" ht="15" hidden="false" customHeight="false" outlineLevel="0" collapsed="false">
      <c r="A11" s="9" t="s">
        <v>2043</v>
      </c>
      <c r="B11" s="9" t="s">
        <v>2099</v>
      </c>
      <c r="C11" s="16" t="s">
        <v>464</v>
      </c>
      <c r="D11" s="9" t="s">
        <v>443</v>
      </c>
      <c r="E11" s="49" t="n">
        <f aca="false">INDEX(in_eng_wrap_mm,1,1)</f>
        <v>5</v>
      </c>
      <c r="F11" s="49" t="n">
        <f aca="false">INDEX(in_eng_wrap_mm,1,2)</f>
        <v>5</v>
      </c>
      <c r="G11" s="49" t="n">
        <f aca="false">INDEX(in_eng_wrap_mm,1,3)</f>
        <v>5</v>
      </c>
      <c r="H11" s="9" t="s">
        <v>287</v>
      </c>
      <c r="I11" s="16"/>
      <c r="J11" s="9" t="s">
        <v>1115</v>
      </c>
      <c r="K11" s="8" t="str">
        <f aca="false">IF(AND(J11="High",OR(H11="ASSUMED",H11="ESTIMATED",H11="UNRESOLVED")),"⚠ decision-relevant, unverified","")</f>
        <v/>
      </c>
      <c r="L11" s="16"/>
    </row>
    <row r="12" customFormat="false" ht="15" hidden="false" customHeight="false" outlineLevel="0" collapsed="false">
      <c r="A12" s="9" t="s">
        <v>2043</v>
      </c>
      <c r="B12" s="9" t="s">
        <v>2100</v>
      </c>
      <c r="C12" s="16" t="s">
        <v>466</v>
      </c>
      <c r="D12" s="9" t="s">
        <v>467</v>
      </c>
      <c r="E12" s="49" t="n">
        <f aca="false">INDEX(in_eng_wrap_kg,1,1)</f>
        <v>0.1</v>
      </c>
      <c r="F12" s="49" t="n">
        <f aca="false">INDEX(in_eng_wrap_kg,1,2)</f>
        <v>0.1</v>
      </c>
      <c r="G12" s="49" t="n">
        <f aca="false">INDEX(in_eng_wrap_kg,1,3)</f>
        <v>0.1</v>
      </c>
      <c r="H12" s="9" t="s">
        <v>287</v>
      </c>
      <c r="I12" s="16"/>
      <c r="J12" s="9" t="s">
        <v>1115</v>
      </c>
      <c r="K12" s="8" t="str">
        <f aca="false">IF(AND(J12="High",OR(H12="ASSUMED",H12="ESTIMATED",H12="UNRESOLVED")),"⚠ decision-relevant, unverified","")</f>
        <v/>
      </c>
      <c r="L12" s="16"/>
    </row>
    <row r="13" customFormat="false" ht="15" hidden="false" customHeight="false" outlineLevel="0" collapsed="false">
      <c r="A13" s="9" t="s">
        <v>622</v>
      </c>
      <c r="B13" s="9" t="s">
        <v>2101</v>
      </c>
      <c r="C13" s="16" t="s">
        <v>650</v>
      </c>
      <c r="D13" s="9" t="s">
        <v>443</v>
      </c>
      <c r="E13" s="49" t="n">
        <f aca="false">INDEX(in_use_len_ded,1,1)</f>
        <v>100</v>
      </c>
      <c r="F13" s="49" t="n">
        <f aca="false">INDEX(in_use_len_ded,1,2)</f>
        <v>100</v>
      </c>
      <c r="G13" s="49" t="n">
        <f aca="false">INDEX(in_use_len_ded,1,3)</f>
        <v>100</v>
      </c>
      <c r="H13" s="9" t="s">
        <v>287</v>
      </c>
      <c r="I13" s="16"/>
      <c r="J13" s="9" t="s">
        <v>1115</v>
      </c>
      <c r="K13" s="8" t="str">
        <f aca="false">IF(AND(J13="High",OR(H13="ASSUMED",H13="ESTIMATED",H13="UNRESOLVED")),"⚠ decision-relevant, unverified","")</f>
        <v/>
      </c>
      <c r="L13" s="16"/>
    </row>
    <row r="14" customFormat="false" ht="15" hidden="false" customHeight="false" outlineLevel="0" collapsed="false">
      <c r="A14" s="9" t="s">
        <v>622</v>
      </c>
      <c r="B14" s="9" t="s">
        <v>2102</v>
      </c>
      <c r="C14" s="16" t="s">
        <v>652</v>
      </c>
      <c r="D14" s="9" t="s">
        <v>443</v>
      </c>
      <c r="E14" s="49" t="n">
        <f aca="false">INDEX(in_use_wid_ded,1,1)</f>
        <v>20</v>
      </c>
      <c r="F14" s="49" t="n">
        <f aca="false">INDEX(in_use_wid_ded,1,2)</f>
        <v>20</v>
      </c>
      <c r="G14" s="49" t="n">
        <f aca="false">INDEX(in_use_wid_ded,1,3)</f>
        <v>20</v>
      </c>
      <c r="H14" s="9" t="s">
        <v>287</v>
      </c>
      <c r="I14" s="16"/>
      <c r="J14" s="9" t="s">
        <v>1115</v>
      </c>
      <c r="K14" s="8" t="str">
        <f aca="false">IF(AND(J14="High",OR(H14="ASSUMED",H14="ESTIMATED",H14="UNRESOLVED")),"⚠ decision-relevant, unverified","")</f>
        <v/>
      </c>
      <c r="L14" s="16"/>
    </row>
    <row r="15" customFormat="false" ht="15" hidden="false" customHeight="false" outlineLevel="0" collapsed="false">
      <c r="A15" s="9" t="s">
        <v>622</v>
      </c>
      <c r="B15" s="9" t="s">
        <v>2103</v>
      </c>
      <c r="C15" s="16" t="s">
        <v>654</v>
      </c>
      <c r="D15" s="9" t="s">
        <v>443</v>
      </c>
      <c r="E15" s="49" t="n">
        <f aca="false">INDEX(in_use_hgt_ded,1,1)</f>
        <v>90</v>
      </c>
      <c r="F15" s="49" t="n">
        <f aca="false">INDEX(in_use_hgt_ded,1,2)</f>
        <v>90</v>
      </c>
      <c r="G15" s="49" t="n">
        <f aca="false">INDEX(in_use_hgt_ded,1,3)</f>
        <v>90</v>
      </c>
      <c r="H15" s="9" t="s">
        <v>287</v>
      </c>
      <c r="I15" s="16"/>
      <c r="J15" s="9" t="s">
        <v>1115</v>
      </c>
      <c r="K15" s="8" t="str">
        <f aca="false">IF(AND(J15="High",OR(H15="ASSUMED",H15="ESTIMATED",H15="UNRESOLVED")),"⚠ decision-relevant, unverified","")</f>
        <v/>
      </c>
      <c r="L15" s="16" t="s">
        <v>655</v>
      </c>
    </row>
    <row r="16" customFormat="false" ht="15" hidden="false" customHeight="false" outlineLevel="0" collapsed="false">
      <c r="A16" s="9" t="s">
        <v>622</v>
      </c>
      <c r="B16" s="9" t="s">
        <v>2104</v>
      </c>
      <c r="C16" s="16" t="s">
        <v>657</v>
      </c>
      <c r="D16" s="9" t="s">
        <v>447</v>
      </c>
      <c r="E16" s="24" t="n">
        <f aca="false">INDEX(in_use_efficiency,1,1)</f>
        <v>0.97</v>
      </c>
      <c r="F16" s="24" t="n">
        <f aca="false">INDEX(in_use_efficiency,1,2)</f>
        <v>0.95</v>
      </c>
      <c r="G16" s="24" t="n">
        <f aca="false">INDEX(in_use_efficiency,1,3)</f>
        <v>0.9</v>
      </c>
      <c r="H16" s="9" t="s">
        <v>287</v>
      </c>
      <c r="I16" s="16"/>
      <c r="J16" s="9" t="s">
        <v>1101</v>
      </c>
      <c r="K16" s="8" t="str">
        <f aca="false">IF(AND(J16="High",OR(H16="ASSUMED",H16="ESTIMATED",H16="UNRESOLVED")),"⚠ decision-relevant, unverified","")</f>
        <v/>
      </c>
      <c r="L16" s="16" t="s">
        <v>658</v>
      </c>
    </row>
    <row r="17" customFormat="false" ht="23.85" hidden="false" customHeight="false" outlineLevel="0" collapsed="false">
      <c r="A17" s="9" t="s">
        <v>2039</v>
      </c>
      <c r="B17" s="9" t="s">
        <v>2105</v>
      </c>
      <c r="C17" s="16" t="s">
        <v>574</v>
      </c>
      <c r="D17" s="9" t="s">
        <v>575</v>
      </c>
      <c r="E17" s="45" t="n">
        <f aca="false">INDEX(in_fx_cbe,1,1)</f>
        <v>54.6</v>
      </c>
      <c r="F17" s="45" t="n">
        <f aca="false">INDEX(in_fx_cbe,1,2)</f>
        <v>53.04</v>
      </c>
      <c r="G17" s="45" t="n">
        <f aca="false">INDEX(in_fx_cbe,1,3)</f>
        <v>49</v>
      </c>
      <c r="H17" s="9" t="s">
        <v>576</v>
      </c>
      <c r="I17" s="16" t="s">
        <v>577</v>
      </c>
      <c r="J17" s="9" t="s">
        <v>1101</v>
      </c>
      <c r="K17" s="8" t="str">
        <f aca="false">IF(AND(J17="High",OR(H17="ASSUMED",H17="ESTIMATED",H17="UNRESOLVED")),"⚠ decision-relevant, unverified","")</f>
        <v/>
      </c>
      <c r="L17" s="16" t="s">
        <v>578</v>
      </c>
    </row>
    <row r="18" customFormat="false" ht="15" hidden="false" customHeight="false" outlineLevel="0" collapsed="false">
      <c r="A18" s="9" t="s">
        <v>2039</v>
      </c>
      <c r="B18" s="9" t="s">
        <v>2106</v>
      </c>
      <c r="C18" s="16" t="s">
        <v>580</v>
      </c>
      <c r="D18" s="9" t="s">
        <v>41</v>
      </c>
      <c r="E18" s="47" t="n">
        <f aca="false">INDEX(in_fx_spread,1,1)</f>
        <v>0</v>
      </c>
      <c r="F18" s="47" t="n">
        <f aca="false">INDEX(in_fx_spread,1,2)</f>
        <v>0.005</v>
      </c>
      <c r="G18" s="47" t="n">
        <f aca="false">INDEX(in_fx_spread,1,3)</f>
        <v>0.015</v>
      </c>
      <c r="H18" s="9" t="s">
        <v>287</v>
      </c>
      <c r="I18" s="16"/>
      <c r="J18" s="9" t="s">
        <v>1115</v>
      </c>
      <c r="K18" s="8" t="str">
        <f aca="false">IF(AND(J18="High",OR(H18="ASSUMED",H18="ESTIMATED",H18="UNRESOLVED")),"⚠ decision-relevant, unverified","")</f>
        <v/>
      </c>
      <c r="L18" s="16" t="s">
        <v>581</v>
      </c>
    </row>
    <row r="19" customFormat="false" ht="23.85" hidden="false" customHeight="false" outlineLevel="0" collapsed="false">
      <c r="A19" s="9" t="s">
        <v>1359</v>
      </c>
      <c r="B19" s="9" t="s">
        <v>2107</v>
      </c>
      <c r="C19" s="16" t="s">
        <v>286</v>
      </c>
      <c r="D19" s="9" t="s">
        <v>41</v>
      </c>
      <c r="E19" s="47" t="n">
        <f aca="false">INDEX(in_sup_requote,1,1)</f>
        <v>-0.05</v>
      </c>
      <c r="F19" s="47" t="n">
        <f aca="false">INDEX(in_sup_requote,1,2)</f>
        <v>0</v>
      </c>
      <c r="G19" s="47" t="n">
        <f aca="false">INDEX(in_sup_requote,1,3)</f>
        <v>0.1</v>
      </c>
      <c r="H19" s="9" t="s">
        <v>287</v>
      </c>
      <c r="I19" s="16" t="s">
        <v>288</v>
      </c>
      <c r="J19" s="9" t="s">
        <v>1108</v>
      </c>
      <c r="K19" s="8" t="str">
        <f aca="false">IF(AND(J19="High",OR(H19="ASSUMED",H19="ESTIMATED",H19="UNRESOLVED")),"⚠ decision-relevant, unverified","")</f>
        <v>⚠ decision-relevant, unverified</v>
      </c>
      <c r="L19" s="16" t="s">
        <v>289</v>
      </c>
    </row>
    <row r="20" customFormat="false" ht="15" hidden="false" customHeight="false" outlineLevel="0" collapsed="false">
      <c r="A20" s="9" t="s">
        <v>1359</v>
      </c>
      <c r="B20" s="9" t="s">
        <v>2108</v>
      </c>
      <c r="C20" s="16" t="s">
        <v>291</v>
      </c>
      <c r="D20" s="9" t="s">
        <v>41</v>
      </c>
      <c r="E20" s="47" t="n">
        <f aca="false">INDEX(in_sup_vat_rate,1,1)</f>
        <v>0.14</v>
      </c>
      <c r="F20" s="47" t="n">
        <f aca="false">INDEX(in_sup_vat_rate,1,2)</f>
        <v>0.14</v>
      </c>
      <c r="G20" s="47" t="n">
        <f aca="false">INDEX(in_sup_vat_rate,1,3)</f>
        <v>0.14</v>
      </c>
      <c r="H20" s="9" t="s">
        <v>292</v>
      </c>
      <c r="I20" s="16" t="s">
        <v>293</v>
      </c>
      <c r="J20" s="9" t="s">
        <v>1115</v>
      </c>
      <c r="K20" s="8" t="str">
        <f aca="false">IF(AND(J20="High",OR(H20="ASSUMED",H20="ESTIMATED",H20="UNRESOLVED")),"⚠ decision-relevant, unverified","")</f>
        <v/>
      </c>
      <c r="L20" s="16"/>
    </row>
    <row r="21" customFormat="false" ht="23.85" hidden="false" customHeight="false" outlineLevel="0" collapsed="false">
      <c r="A21" s="9" t="s">
        <v>1359</v>
      </c>
      <c r="B21" s="9" t="s">
        <v>2109</v>
      </c>
      <c r="C21" s="16" t="s">
        <v>295</v>
      </c>
      <c r="D21" s="9" t="s">
        <v>296</v>
      </c>
      <c r="E21" s="10" t="n">
        <f aca="false">INDEX(in_sup_vat_mode,1,1)</f>
        <v>1</v>
      </c>
      <c r="F21" s="10" t="n">
        <f aca="false">INDEX(in_sup_vat_mode,1,2)</f>
        <v>2</v>
      </c>
      <c r="G21" s="10" t="n">
        <f aca="false">INDEX(in_sup_vat_mode,1,3)</f>
        <v>3</v>
      </c>
      <c r="H21" s="9" t="s">
        <v>297</v>
      </c>
      <c r="I21" s="16" t="s">
        <v>298</v>
      </c>
      <c r="J21" s="9" t="s">
        <v>1101</v>
      </c>
      <c r="K21" s="8" t="str">
        <f aca="false">IF(AND(J21="High",OR(H21="ASSUMED",H21="ESTIMATED",H21="UNRESOLVED")),"⚠ decision-relevant, unverified","")</f>
        <v/>
      </c>
      <c r="L21" s="16" t="s">
        <v>299</v>
      </c>
    </row>
    <row r="22" customFormat="false" ht="23.85" hidden="false" customHeight="false" outlineLevel="0" collapsed="false">
      <c r="A22" s="9" t="s">
        <v>1359</v>
      </c>
      <c r="B22" s="9" t="s">
        <v>2110</v>
      </c>
      <c r="C22" s="16" t="s">
        <v>301</v>
      </c>
      <c r="D22" s="9" t="s">
        <v>302</v>
      </c>
      <c r="E22" s="49" t="n">
        <f aca="false">INDEX(in_sup_vat_lag,1,1)</f>
        <v>30</v>
      </c>
      <c r="F22" s="49" t="n">
        <f aca="false">INDEX(in_sup_vat_lag,1,2)</f>
        <v>60</v>
      </c>
      <c r="G22" s="49" t="n">
        <f aca="false">INDEX(in_sup_vat_lag,1,3)</f>
        <v>180</v>
      </c>
      <c r="H22" s="9" t="s">
        <v>303</v>
      </c>
      <c r="I22" s="16" t="s">
        <v>304</v>
      </c>
      <c r="J22" s="9" t="s">
        <v>1115</v>
      </c>
      <c r="K22" s="8" t="str">
        <f aca="false">IF(AND(J22="High",OR(H22="ASSUMED",H22="ESTIMATED",H22="UNRESOLVED")),"⚠ decision-relevant, unverified","")</f>
        <v/>
      </c>
      <c r="L22" s="16" t="s">
        <v>305</v>
      </c>
    </row>
    <row r="23" customFormat="false" ht="15" hidden="false" customHeight="false" outlineLevel="0" collapsed="false">
      <c r="A23" s="9" t="s">
        <v>1359</v>
      </c>
      <c r="B23" s="9" t="s">
        <v>2111</v>
      </c>
      <c r="C23" s="16" t="s">
        <v>307</v>
      </c>
      <c r="D23" s="9" t="s">
        <v>41</v>
      </c>
      <c r="E23" s="47" t="n">
        <f aca="false">INDEX(in_sup_advance,1,1)</f>
        <v>0.5</v>
      </c>
      <c r="F23" s="47" t="n">
        <f aca="false">INDEX(in_sup_advance,1,2)</f>
        <v>0.5</v>
      </c>
      <c r="G23" s="47" t="n">
        <f aca="false">INDEX(in_sup_advance,1,3)</f>
        <v>0.5</v>
      </c>
      <c r="H23" s="9" t="s">
        <v>292</v>
      </c>
      <c r="I23" s="16" t="s">
        <v>308</v>
      </c>
      <c r="J23" s="9" t="s">
        <v>1115</v>
      </c>
      <c r="K23" s="8" t="str">
        <f aca="false">IF(AND(J23="High",OR(H23="ASSUMED",H23="ESTIMATED",H23="UNRESOLVED")),"⚠ decision-relevant, unverified","")</f>
        <v/>
      </c>
      <c r="L23" s="16" t="s">
        <v>309</v>
      </c>
    </row>
    <row r="24" customFormat="false" ht="15" hidden="false" customHeight="false" outlineLevel="0" collapsed="false">
      <c r="A24" s="9" t="s">
        <v>1359</v>
      </c>
      <c r="B24" s="9" t="s">
        <v>2112</v>
      </c>
      <c r="C24" s="16" t="s">
        <v>311</v>
      </c>
      <c r="D24" s="9" t="s">
        <v>230</v>
      </c>
      <c r="E24" s="15" t="n">
        <f aca="false">INDEX(in_sup_tooling_egp,1,1)</f>
        <v>0</v>
      </c>
      <c r="F24" s="15" t="n">
        <f aca="false">INDEX(in_sup_tooling_egp,1,2)</f>
        <v>0</v>
      </c>
      <c r="G24" s="15" t="n">
        <f aca="false">INDEX(in_sup_tooling_egp,1,3)</f>
        <v>25000</v>
      </c>
      <c r="H24" s="9" t="s">
        <v>287</v>
      </c>
      <c r="I24" s="16"/>
      <c r="J24" s="9" t="s">
        <v>1115</v>
      </c>
      <c r="K24" s="8" t="str">
        <f aca="false">IF(AND(J24="High",OR(H24="ASSUMED",H24="ESTIMATED",H24="UNRESOLVED")),"⚠ decision-relevant, unverified","")</f>
        <v/>
      </c>
      <c r="L24" s="16" t="s">
        <v>312</v>
      </c>
    </row>
    <row r="25" customFormat="false" ht="15" hidden="false" customHeight="false" outlineLevel="0" collapsed="false">
      <c r="A25" s="9" t="s">
        <v>1359</v>
      </c>
      <c r="B25" s="9" t="s">
        <v>2113</v>
      </c>
      <c r="C25" s="16" t="s">
        <v>314</v>
      </c>
      <c r="D25" s="9" t="s">
        <v>302</v>
      </c>
      <c r="E25" s="49" t="n">
        <f aca="false">INDEX(in_sup_lead_days,1,1)</f>
        <v>14</v>
      </c>
      <c r="F25" s="49" t="n">
        <f aca="false">INDEX(in_sup_lead_days,1,2)</f>
        <v>21</v>
      </c>
      <c r="G25" s="49" t="n">
        <f aca="false">INDEX(in_sup_lead_days,1,3)</f>
        <v>35</v>
      </c>
      <c r="H25" s="9" t="s">
        <v>287</v>
      </c>
      <c r="I25" s="16"/>
      <c r="J25" s="9" t="s">
        <v>1115</v>
      </c>
      <c r="K25" s="8" t="str">
        <f aca="false">IF(AND(J25="High",OR(H25="ASSUMED",H25="ESTIMATED",H25="UNRESOLVED")),"⚠ decision-relevant, unverified","")</f>
        <v/>
      </c>
      <c r="L25" s="16" t="s">
        <v>315</v>
      </c>
    </row>
    <row r="26" customFormat="false" ht="15" hidden="false" customHeight="false" outlineLevel="0" collapsed="false">
      <c r="A26" s="9" t="s">
        <v>1384</v>
      </c>
      <c r="B26" s="9" t="s">
        <v>2114</v>
      </c>
      <c r="C26" s="16" t="s">
        <v>802</v>
      </c>
      <c r="D26" s="9" t="s">
        <v>803</v>
      </c>
      <c r="E26" s="15" t="n">
        <f aca="false">INDEX(in_ori_truck_20,1,1)</f>
        <v>8500</v>
      </c>
      <c r="F26" s="15" t="n">
        <f aca="false">INDEX(in_ori_truck_20,1,2)</f>
        <v>10500</v>
      </c>
      <c r="G26" s="15" t="n">
        <f aca="false">INDEX(in_ori_truck_20,1,3)</f>
        <v>13500</v>
      </c>
      <c r="H26" s="9" t="s">
        <v>303</v>
      </c>
      <c r="I26" s="16" t="s">
        <v>804</v>
      </c>
      <c r="J26" s="9" t="s">
        <v>1115</v>
      </c>
      <c r="K26" s="8" t="str">
        <f aca="false">IF(AND(J26="High",OR(H26="ASSUMED",H26="ESTIMATED",H26="UNRESOLVED")),"⚠ decision-relevant, unverified","")</f>
        <v/>
      </c>
      <c r="L26" s="16" t="s">
        <v>805</v>
      </c>
    </row>
    <row r="27" customFormat="false" ht="23.85" hidden="false" customHeight="false" outlineLevel="0" collapsed="false">
      <c r="A27" s="9" t="s">
        <v>1384</v>
      </c>
      <c r="B27" s="9" t="s">
        <v>2115</v>
      </c>
      <c r="C27" s="16" t="s">
        <v>807</v>
      </c>
      <c r="D27" s="9" t="s">
        <v>803</v>
      </c>
      <c r="E27" s="15" t="n">
        <f aca="false">INDEX(in_ori_truck_40,1,1)</f>
        <v>11000</v>
      </c>
      <c r="F27" s="15" t="n">
        <f aca="false">INDEX(in_ori_truck_40,1,2)</f>
        <v>14000</v>
      </c>
      <c r="G27" s="15" t="n">
        <f aca="false">INDEX(in_ori_truck_40,1,3)</f>
        <v>18000</v>
      </c>
      <c r="H27" s="9" t="s">
        <v>303</v>
      </c>
      <c r="I27" s="16" t="s">
        <v>804</v>
      </c>
      <c r="J27" s="9" t="s">
        <v>1115</v>
      </c>
      <c r="K27" s="8" t="str">
        <f aca="false">IF(AND(J27="High",OR(H27="ASSUMED",H27="ESTIMATED",H27="UNRESOLVED")),"⚠ decision-relevant, unverified","")</f>
        <v/>
      </c>
      <c r="L27" s="16" t="s">
        <v>808</v>
      </c>
    </row>
    <row r="28" customFormat="false" ht="15" hidden="false" customHeight="false" outlineLevel="0" collapsed="false">
      <c r="A28" s="9" t="s">
        <v>1384</v>
      </c>
      <c r="B28" s="9" t="s">
        <v>1422</v>
      </c>
      <c r="C28" s="16" t="s">
        <v>810</v>
      </c>
      <c r="D28" s="9" t="s">
        <v>811</v>
      </c>
      <c r="E28" s="15" t="n">
        <f aca="false">INDEX(in_ori_clearance,1,1)</f>
        <v>4000</v>
      </c>
      <c r="F28" s="15" t="n">
        <f aca="false">INDEX(in_ori_clearance,1,2)</f>
        <v>6000</v>
      </c>
      <c r="G28" s="15" t="n">
        <f aca="false">INDEX(in_ori_clearance,1,3)</f>
        <v>9000</v>
      </c>
      <c r="H28" s="9" t="s">
        <v>287</v>
      </c>
      <c r="I28" s="16" t="s">
        <v>812</v>
      </c>
      <c r="J28" s="9" t="s">
        <v>1115</v>
      </c>
      <c r="K28" s="8" t="str">
        <f aca="false">IF(AND(J28="High",OR(H28="ASSUMED",H28="ESTIMATED",H28="UNRESOLVED")),"⚠ decision-relevant, unverified","")</f>
        <v/>
      </c>
      <c r="L28" s="16" t="s">
        <v>813</v>
      </c>
    </row>
    <row r="29" customFormat="false" ht="15" hidden="false" customHeight="false" outlineLevel="0" collapsed="false">
      <c r="A29" s="9" t="s">
        <v>1384</v>
      </c>
      <c r="B29" s="9" t="s">
        <v>1425</v>
      </c>
      <c r="C29" s="16" t="s">
        <v>815</v>
      </c>
      <c r="D29" s="9" t="s">
        <v>811</v>
      </c>
      <c r="E29" s="15" t="n">
        <f aca="false">INDEX(in_ori_coo,1,1)</f>
        <v>0</v>
      </c>
      <c r="F29" s="15" t="n">
        <f aca="false">INDEX(in_ori_coo,1,2)</f>
        <v>1000</v>
      </c>
      <c r="G29" s="15" t="n">
        <f aca="false">INDEX(in_ori_coo,1,3)</f>
        <v>2000</v>
      </c>
      <c r="H29" s="9" t="s">
        <v>287</v>
      </c>
      <c r="I29" s="16"/>
      <c r="J29" s="9" t="s">
        <v>1115</v>
      </c>
      <c r="K29" s="8" t="str">
        <f aca="false">IF(AND(J29="High",OR(H29="ASSUMED",H29="ESTIMATED",H29="UNRESOLVED")),"⚠ decision-relevant, unverified","")</f>
        <v/>
      </c>
      <c r="L29" s="16" t="s">
        <v>816</v>
      </c>
    </row>
    <row r="30" customFormat="false" ht="15" hidden="false" customHeight="false" outlineLevel="0" collapsed="false">
      <c r="A30" s="9" t="s">
        <v>1384</v>
      </c>
      <c r="B30" s="9" t="s">
        <v>1394</v>
      </c>
      <c r="C30" s="16" t="s">
        <v>818</v>
      </c>
      <c r="D30" s="9" t="s">
        <v>819</v>
      </c>
      <c r="E30" s="22" t="n">
        <f aca="false">INDEX(in_ori_terminal,1,1)</f>
        <v>45</v>
      </c>
      <c r="F30" s="22" t="n">
        <f aca="false">INDEX(in_ori_terminal,1,2)</f>
        <v>65</v>
      </c>
      <c r="G30" s="22" t="n">
        <f aca="false">INDEX(in_ori_terminal,1,3)</f>
        <v>80</v>
      </c>
      <c r="H30" s="9" t="s">
        <v>820</v>
      </c>
      <c r="I30" s="16" t="s">
        <v>821</v>
      </c>
      <c r="J30" s="9" t="s">
        <v>1115</v>
      </c>
      <c r="K30" s="8" t="str">
        <f aca="false">IF(AND(J30="High",OR(H30="ASSUMED",H30="ESTIMATED",H30="UNRESOLVED")),"⚠ decision-relevant, unverified","")</f>
        <v/>
      </c>
      <c r="L30" s="16" t="s">
        <v>822</v>
      </c>
    </row>
    <row r="31" customFormat="false" ht="15" hidden="false" customHeight="false" outlineLevel="0" collapsed="false">
      <c r="A31" s="9" t="s">
        <v>1384</v>
      </c>
      <c r="B31" s="9" t="s">
        <v>2116</v>
      </c>
      <c r="C31" s="16" t="s">
        <v>824</v>
      </c>
      <c r="D31" s="9" t="s">
        <v>819</v>
      </c>
      <c r="E31" s="22" t="n">
        <f aca="false">INDEX(in_ori_othc_20,1,1)</f>
        <v>130</v>
      </c>
      <c r="F31" s="22" t="n">
        <f aca="false">INDEX(in_ori_othc_20,1,2)</f>
        <v>140</v>
      </c>
      <c r="G31" s="22" t="n">
        <f aca="false">INDEX(in_ori_othc_20,1,3)</f>
        <v>150</v>
      </c>
      <c r="H31" s="9" t="s">
        <v>820</v>
      </c>
      <c r="I31" s="16" t="s">
        <v>825</v>
      </c>
      <c r="J31" s="9" t="s">
        <v>1115</v>
      </c>
      <c r="K31" s="8" t="str">
        <f aca="false">IF(AND(J31="High",OR(H31="ASSUMED",H31="ESTIMATED",H31="UNRESOLVED")),"⚠ decision-relevant, unverified","")</f>
        <v/>
      </c>
      <c r="L31" s="16" t="s">
        <v>826</v>
      </c>
    </row>
    <row r="32" customFormat="false" ht="15" hidden="false" customHeight="false" outlineLevel="0" collapsed="false">
      <c r="A32" s="9" t="s">
        <v>1384</v>
      </c>
      <c r="B32" s="9" t="s">
        <v>2117</v>
      </c>
      <c r="C32" s="16" t="s">
        <v>828</v>
      </c>
      <c r="D32" s="9" t="s">
        <v>819</v>
      </c>
      <c r="E32" s="22" t="n">
        <f aca="false">INDEX(in_ori_othc_40,1,1)</f>
        <v>201</v>
      </c>
      <c r="F32" s="22" t="n">
        <f aca="false">INDEX(in_ori_othc_40,1,2)</f>
        <v>210</v>
      </c>
      <c r="G32" s="22" t="n">
        <f aca="false">INDEX(in_ori_othc_40,1,3)</f>
        <v>220</v>
      </c>
      <c r="H32" s="9" t="s">
        <v>820</v>
      </c>
      <c r="I32" s="16" t="s">
        <v>825</v>
      </c>
      <c r="J32" s="9" t="s">
        <v>1115</v>
      </c>
      <c r="K32" s="8" t="str">
        <f aca="false">IF(AND(J32="High",OR(H32="ASSUMED",H32="ESTIMATED",H32="UNRESOLVED")),"⚠ decision-relevant, unverified","")</f>
        <v/>
      </c>
      <c r="L32" s="16"/>
    </row>
    <row r="33" customFormat="false" ht="23.85" hidden="false" customHeight="false" outlineLevel="0" collapsed="false">
      <c r="A33" s="9" t="s">
        <v>1384</v>
      </c>
      <c r="B33" s="9" t="s">
        <v>2118</v>
      </c>
      <c r="C33" s="16" t="s">
        <v>830</v>
      </c>
      <c r="D33" s="9" t="s">
        <v>831</v>
      </c>
      <c r="E33" s="10" t="n">
        <f aca="false">INDEX(in_ori_othc_in_freight,1,1)</f>
        <v>0</v>
      </c>
      <c r="F33" s="10" t="n">
        <f aca="false">INDEX(in_ori_othc_in_freight,1,2)</f>
        <v>0</v>
      </c>
      <c r="G33" s="10" t="n">
        <f aca="false">INDEX(in_ori_othc_in_freight,1,3)</f>
        <v>0</v>
      </c>
      <c r="H33" s="9" t="s">
        <v>287</v>
      </c>
      <c r="I33" s="16" t="s">
        <v>832</v>
      </c>
      <c r="J33" s="9" t="s">
        <v>1115</v>
      </c>
      <c r="K33" s="8" t="str">
        <f aca="false">IF(AND(J33="High",OR(H33="ASSUMED",H33="ESTIMATED",H33="UNRESOLVED")),"⚠ decision-relevant, unverified","")</f>
        <v/>
      </c>
      <c r="L33" s="16" t="s">
        <v>833</v>
      </c>
    </row>
    <row r="34" customFormat="false" ht="15" hidden="false" customHeight="false" outlineLevel="0" collapsed="false">
      <c r="A34" s="9" t="s">
        <v>1384</v>
      </c>
      <c r="B34" s="9" t="s">
        <v>1401</v>
      </c>
      <c r="C34" s="16" t="s">
        <v>835</v>
      </c>
      <c r="D34" s="9" t="s">
        <v>819</v>
      </c>
      <c r="E34" s="22" t="n">
        <f aca="false">INDEX(in_ori_seal,1,1)</f>
        <v>10</v>
      </c>
      <c r="F34" s="22" t="n">
        <f aca="false">INDEX(in_ori_seal,1,2)</f>
        <v>15</v>
      </c>
      <c r="G34" s="22" t="n">
        <f aca="false">INDEX(in_ori_seal,1,3)</f>
        <v>20</v>
      </c>
      <c r="H34" s="9" t="s">
        <v>287</v>
      </c>
      <c r="I34" s="16"/>
      <c r="J34" s="9" t="s">
        <v>1115</v>
      </c>
      <c r="K34" s="8" t="str">
        <f aca="false">IF(AND(J34="High",OR(H34="ASSUMED",H34="ESTIMATED",H34="UNRESOLVED")),"⚠ decision-relevant, unverified","")</f>
        <v/>
      </c>
      <c r="L34" s="16"/>
    </row>
    <row r="35" customFormat="false" ht="15" hidden="false" customHeight="false" outlineLevel="0" collapsed="false">
      <c r="A35" s="9" t="s">
        <v>1384</v>
      </c>
      <c r="B35" s="9" t="s">
        <v>1429</v>
      </c>
      <c r="C35" s="16" t="s">
        <v>837</v>
      </c>
      <c r="D35" s="9" t="s">
        <v>838</v>
      </c>
      <c r="E35" s="22" t="n">
        <f aca="false">INDEX(in_ori_bl_fee,1,1)</f>
        <v>50</v>
      </c>
      <c r="F35" s="22" t="n">
        <f aca="false">INDEX(in_ori_bl_fee,1,2)</f>
        <v>75</v>
      </c>
      <c r="G35" s="22" t="n">
        <f aca="false">INDEX(in_ori_bl_fee,1,3)</f>
        <v>100</v>
      </c>
      <c r="H35" s="9" t="s">
        <v>287</v>
      </c>
      <c r="I35" s="16" t="s">
        <v>825</v>
      </c>
      <c r="J35" s="9" t="s">
        <v>1115</v>
      </c>
      <c r="K35" s="8" t="str">
        <f aca="false">IF(AND(J35="High",OR(H35="ASSUMED",H35="ESTIMATED",H35="UNRESOLVED")),"⚠ decision-relevant, unverified","")</f>
        <v/>
      </c>
      <c r="L35" s="16" t="s">
        <v>839</v>
      </c>
    </row>
    <row r="36" customFormat="false" ht="15" hidden="false" customHeight="false" outlineLevel="0" collapsed="false">
      <c r="A36" s="9" t="s">
        <v>1384</v>
      </c>
      <c r="B36" s="9" t="s">
        <v>1433</v>
      </c>
      <c r="C36" s="16" t="s">
        <v>841</v>
      </c>
      <c r="D36" s="9" t="s">
        <v>838</v>
      </c>
      <c r="E36" s="22" t="n">
        <f aca="false">INDEX(in_ori_fwd_fee,1,1)</f>
        <v>75</v>
      </c>
      <c r="F36" s="22" t="n">
        <f aca="false">INDEX(in_ori_fwd_fee,1,2)</f>
        <v>100</v>
      </c>
      <c r="G36" s="22" t="n">
        <f aca="false">INDEX(in_ori_fwd_fee,1,3)</f>
        <v>150</v>
      </c>
      <c r="H36" s="9" t="s">
        <v>287</v>
      </c>
      <c r="I36" s="16"/>
      <c r="J36" s="9" t="s">
        <v>1115</v>
      </c>
      <c r="K36" s="8" t="str">
        <f aca="false">IF(AND(J36="High",OR(H36="ASSUMED",H36="ESTIMATED",H36="UNRESOLVED")),"⚠ decision-relevant, unverified","")</f>
        <v/>
      </c>
      <c r="L36" s="16"/>
    </row>
    <row r="37" customFormat="false" ht="15" hidden="false" customHeight="false" outlineLevel="0" collapsed="false">
      <c r="A37" s="9" t="s">
        <v>1384</v>
      </c>
      <c r="B37" s="9" t="s">
        <v>1404</v>
      </c>
      <c r="C37" s="16" t="s">
        <v>843</v>
      </c>
      <c r="D37" s="9" t="s">
        <v>819</v>
      </c>
      <c r="E37" s="22" t="n">
        <f aca="false">INDEX(in_ori_inspection,1,1)</f>
        <v>0</v>
      </c>
      <c r="F37" s="22" t="n">
        <f aca="false">INDEX(in_ori_inspection,1,2)</f>
        <v>0</v>
      </c>
      <c r="G37" s="22" t="n">
        <f aca="false">INDEX(in_ori_inspection,1,3)</f>
        <v>64</v>
      </c>
      <c r="H37" s="9" t="s">
        <v>820</v>
      </c>
      <c r="I37" s="16" t="s">
        <v>821</v>
      </c>
      <c r="J37" s="9" t="s">
        <v>1115</v>
      </c>
      <c r="K37" s="8" t="str">
        <f aca="false">IF(AND(J37="High",OR(H37="ASSUMED",H37="ESTIMATED",H37="UNRESOLVED")),"⚠ decision-relevant, unverified","")</f>
        <v/>
      </c>
      <c r="L37" s="16"/>
    </row>
    <row r="38" customFormat="false" ht="15" hidden="false" customHeight="false" outlineLevel="0" collapsed="false">
      <c r="A38" s="9" t="s">
        <v>1384</v>
      </c>
      <c r="B38" s="9" t="s">
        <v>2119</v>
      </c>
      <c r="C38" s="16" t="s">
        <v>845</v>
      </c>
      <c r="D38" s="9" t="s">
        <v>302</v>
      </c>
      <c r="E38" s="49" t="n">
        <f aca="false">INDEX(in_ori_dd_days,1,1)</f>
        <v>0</v>
      </c>
      <c r="F38" s="49" t="n">
        <f aca="false">INDEX(in_ori_dd_days,1,2)</f>
        <v>0</v>
      </c>
      <c r="G38" s="49" t="n">
        <f aca="false">INDEX(in_ori_dd_days,1,3)</f>
        <v>3</v>
      </c>
      <c r="H38" s="9" t="s">
        <v>287</v>
      </c>
      <c r="I38" s="16" t="s">
        <v>846</v>
      </c>
      <c r="J38" s="9" t="s">
        <v>1115</v>
      </c>
      <c r="K38" s="8" t="str">
        <f aca="false">IF(AND(J38="High",OR(H38="ASSUMED",H38="ESTIMATED",H38="UNRESOLVED")),"⚠ decision-relevant, unverified","")</f>
        <v/>
      </c>
      <c r="L38" s="16"/>
    </row>
    <row r="39" customFormat="false" ht="15" hidden="false" customHeight="false" outlineLevel="0" collapsed="false">
      <c r="A39" s="9" t="s">
        <v>1384</v>
      </c>
      <c r="B39" s="9" t="s">
        <v>2120</v>
      </c>
      <c r="C39" s="16" t="s">
        <v>848</v>
      </c>
      <c r="D39" s="9" t="s">
        <v>849</v>
      </c>
      <c r="E39" s="22" t="n">
        <f aca="false">INDEX(in_ori_dd_20,1,1)</f>
        <v>14</v>
      </c>
      <c r="F39" s="22" t="n">
        <f aca="false">INDEX(in_ori_dd_20,1,2)</f>
        <v>14</v>
      </c>
      <c r="G39" s="22" t="n">
        <f aca="false">INDEX(in_ori_dd_20,1,3)</f>
        <v>14</v>
      </c>
      <c r="H39" s="9" t="s">
        <v>820</v>
      </c>
      <c r="I39" s="16" t="s">
        <v>846</v>
      </c>
      <c r="J39" s="9" t="s">
        <v>1115</v>
      </c>
      <c r="K39" s="8" t="str">
        <f aca="false">IF(AND(J39="High",OR(H39="ASSUMED",H39="ESTIMATED",H39="UNRESOLVED")),"⚠ decision-relevant, unverified","")</f>
        <v/>
      </c>
      <c r="L39" s="16" t="s">
        <v>850</v>
      </c>
    </row>
    <row r="40" customFormat="false" ht="15" hidden="false" customHeight="false" outlineLevel="0" collapsed="false">
      <c r="A40" s="9" t="s">
        <v>1384</v>
      </c>
      <c r="B40" s="9" t="s">
        <v>2121</v>
      </c>
      <c r="C40" s="16" t="s">
        <v>852</v>
      </c>
      <c r="D40" s="9" t="s">
        <v>849</v>
      </c>
      <c r="E40" s="22" t="n">
        <f aca="false">INDEX(in_ori_dd_40,1,1)</f>
        <v>28</v>
      </c>
      <c r="F40" s="22" t="n">
        <f aca="false">INDEX(in_ori_dd_40,1,2)</f>
        <v>28</v>
      </c>
      <c r="G40" s="22" t="n">
        <f aca="false">INDEX(in_ori_dd_40,1,3)</f>
        <v>28</v>
      </c>
      <c r="H40" s="9" t="s">
        <v>820</v>
      </c>
      <c r="I40" s="16" t="s">
        <v>846</v>
      </c>
      <c r="J40" s="9" t="s">
        <v>1115</v>
      </c>
      <c r="K40" s="8" t="str">
        <f aca="false">IF(AND(J40="High",OR(H40="ASSUMED",H40="ESTIMATED",H40="UNRESOLVED")),"⚠ decision-relevant, unverified","")</f>
        <v/>
      </c>
      <c r="L40" s="16"/>
    </row>
    <row r="41" customFormat="false" ht="15" hidden="false" customHeight="false" outlineLevel="0" collapsed="false">
      <c r="A41" s="9" t="s">
        <v>1384</v>
      </c>
      <c r="B41" s="9" t="s">
        <v>1412</v>
      </c>
      <c r="C41" s="16" t="s">
        <v>854</v>
      </c>
      <c r="D41" s="9" t="s">
        <v>803</v>
      </c>
      <c r="E41" s="15" t="n">
        <f aca="false">INDEX(in_ori_loading_egp,1,1)</f>
        <v>0</v>
      </c>
      <c r="F41" s="15" t="n">
        <f aca="false">INDEX(in_ori_loading_egp,1,2)</f>
        <v>0</v>
      </c>
      <c r="G41" s="15" t="n">
        <f aca="false">INDEX(in_ori_loading_egp,1,3)</f>
        <v>2000</v>
      </c>
      <c r="H41" s="9" t="s">
        <v>287</v>
      </c>
      <c r="I41" s="16" t="s">
        <v>855</v>
      </c>
      <c r="J41" s="9" t="s">
        <v>1115</v>
      </c>
      <c r="K41" s="8" t="str">
        <f aca="false">IF(AND(J41="High",OR(H41="ASSUMED",H41="ESTIMATED",H41="UNRESOLVED")),"⚠ decision-relevant, unverified","")</f>
        <v/>
      </c>
      <c r="L41" s="16" t="s">
        <v>856</v>
      </c>
    </row>
    <row r="42" customFormat="false" ht="15" hidden="false" customHeight="false" outlineLevel="0" collapsed="false">
      <c r="A42" s="9" t="s">
        <v>1384</v>
      </c>
      <c r="B42" s="9" t="s">
        <v>1437</v>
      </c>
      <c r="C42" s="16" t="s">
        <v>858</v>
      </c>
      <c r="D42" s="9" t="s">
        <v>838</v>
      </c>
      <c r="E42" s="22" t="n">
        <f aca="false">INDEX(in_ori_qc,1,1)</f>
        <v>0</v>
      </c>
      <c r="F42" s="22" t="n">
        <f aca="false">INDEX(in_ori_qc,1,2)</f>
        <v>350</v>
      </c>
      <c r="G42" s="22" t="n">
        <f aca="false">INDEX(in_ori_qc,1,3)</f>
        <v>450</v>
      </c>
      <c r="H42" s="9" t="s">
        <v>287</v>
      </c>
      <c r="I42" s="16"/>
      <c r="J42" s="9" t="s">
        <v>1115</v>
      </c>
      <c r="K42" s="8" t="str">
        <f aca="false">IF(AND(J42="High",OR(H42="ASSUMED",H42="ESTIMATED",H42="UNRESOLVED")),"⚠ decision-relevant, unverified","")</f>
        <v/>
      </c>
      <c r="L42" s="16"/>
    </row>
    <row r="43" customFormat="false" ht="15" hidden="false" customHeight="false" outlineLevel="0" collapsed="false">
      <c r="A43" s="9" t="s">
        <v>1384</v>
      </c>
      <c r="B43" s="9" t="s">
        <v>2122</v>
      </c>
      <c r="C43" s="16" t="s">
        <v>860</v>
      </c>
      <c r="D43" s="9" t="s">
        <v>861</v>
      </c>
      <c r="E43" s="49" t="n">
        <f aca="false">INDEX(in_ori_wires,1,1)</f>
        <v>4</v>
      </c>
      <c r="F43" s="49" t="n">
        <f aca="false">INDEX(in_ori_wires,1,2)</f>
        <v>4</v>
      </c>
      <c r="G43" s="49" t="n">
        <f aca="false">INDEX(in_ori_wires,1,3)</f>
        <v>4</v>
      </c>
      <c r="H43" s="9" t="s">
        <v>287</v>
      </c>
      <c r="I43" s="16"/>
      <c r="J43" s="9" t="s">
        <v>1115</v>
      </c>
      <c r="K43" s="8" t="str">
        <f aca="false">IF(AND(J43="High",OR(H43="ASSUMED",H43="ESTIMATED",H43="UNRESOLVED")),"⚠ decision-relevant, unverified","")</f>
        <v/>
      </c>
      <c r="L43" s="16" t="s">
        <v>862</v>
      </c>
    </row>
    <row r="44" customFormat="false" ht="15" hidden="false" customHeight="false" outlineLevel="0" collapsed="false">
      <c r="A44" s="9" t="s">
        <v>1384</v>
      </c>
      <c r="B44" s="9" t="s">
        <v>2123</v>
      </c>
      <c r="C44" s="16" t="s">
        <v>864</v>
      </c>
      <c r="D44" s="9" t="s">
        <v>865</v>
      </c>
      <c r="E44" s="22" t="n">
        <f aca="false">INDEX(in_ori_wire_fee,1,1)</f>
        <v>25</v>
      </c>
      <c r="F44" s="22" t="n">
        <f aca="false">INDEX(in_ori_wire_fee,1,2)</f>
        <v>40</v>
      </c>
      <c r="G44" s="22" t="n">
        <f aca="false">INDEX(in_ori_wire_fee,1,3)</f>
        <v>60</v>
      </c>
      <c r="H44" s="9" t="s">
        <v>287</v>
      </c>
      <c r="I44" s="16"/>
      <c r="J44" s="9" t="s">
        <v>1115</v>
      </c>
      <c r="K44" s="8" t="str">
        <f aca="false">IF(AND(J44="High",OR(H44="ASSUMED",H44="ESTIMATED",H44="UNRESOLVED")),"⚠ decision-relevant, unverified","")</f>
        <v/>
      </c>
      <c r="L44" s="16"/>
    </row>
    <row r="45" customFormat="false" ht="15" hidden="false" customHeight="false" outlineLevel="0" collapsed="false">
      <c r="A45" s="9" t="s">
        <v>1384</v>
      </c>
      <c r="B45" s="9" t="s">
        <v>2124</v>
      </c>
      <c r="C45" s="16" t="s">
        <v>867</v>
      </c>
      <c r="D45" s="9" t="s">
        <v>811</v>
      </c>
      <c r="E45" s="15" t="n">
        <f aca="false">INDEX(in_ori_lcl_truck,1,1)</f>
        <v>5000</v>
      </c>
      <c r="F45" s="15" t="n">
        <f aca="false">INDEX(in_ori_lcl_truck,1,2)</f>
        <v>7000</v>
      </c>
      <c r="G45" s="15" t="n">
        <f aca="false">INDEX(in_ori_lcl_truck,1,3)</f>
        <v>9000</v>
      </c>
      <c r="H45" s="9" t="s">
        <v>287</v>
      </c>
      <c r="I45" s="16"/>
      <c r="J45" s="9" t="s">
        <v>1115</v>
      </c>
      <c r="K45" s="8" t="str">
        <f aca="false">IF(AND(J45="High",OR(H45="ASSUMED",H45="ESTIMATED",H45="UNRESOLVED")),"⚠ decision-relevant, unverified","")</f>
        <v/>
      </c>
      <c r="L45" s="16"/>
    </row>
    <row r="46" customFormat="false" ht="23.85" hidden="false" customHeight="false" outlineLevel="0" collapsed="false">
      <c r="A46" s="9" t="s">
        <v>1384</v>
      </c>
      <c r="B46" s="9" t="s">
        <v>1417</v>
      </c>
      <c r="C46" s="16" t="s">
        <v>869</v>
      </c>
      <c r="D46" s="9" t="s">
        <v>838</v>
      </c>
      <c r="E46" s="22" t="n">
        <f aca="false">INDEX(in_ori_lcl_cfs_o,1,1)</f>
        <v>100</v>
      </c>
      <c r="F46" s="22" t="n">
        <f aca="false">INDEX(in_ori_lcl_cfs_o,1,2)</f>
        <v>150</v>
      </c>
      <c r="G46" s="22" t="n">
        <f aca="false">INDEX(in_ori_lcl_cfs_o,1,3)</f>
        <v>200</v>
      </c>
      <c r="H46" s="9" t="s">
        <v>287</v>
      </c>
      <c r="I46" s="16"/>
      <c r="J46" s="9" t="s">
        <v>1115</v>
      </c>
      <c r="K46" s="8" t="str">
        <f aca="false">IF(AND(J46="High",OR(H46="ASSUMED",H46="ESTIMATED",H46="UNRESOLVED")),"⚠ decision-relevant, unverified","")</f>
        <v/>
      </c>
      <c r="L46" s="16" t="s">
        <v>870</v>
      </c>
    </row>
    <row r="47" customFormat="false" ht="23.85" hidden="false" customHeight="false" outlineLevel="0" collapsed="false">
      <c r="A47" s="9" t="s">
        <v>1445</v>
      </c>
      <c r="B47" s="9" t="s">
        <v>2125</v>
      </c>
      <c r="C47" s="16" t="s">
        <v>887</v>
      </c>
      <c r="D47" s="9" t="s">
        <v>819</v>
      </c>
      <c r="E47" s="22" t="n">
        <f aca="false">INDEX(in_oce_rate_20,1,1)</f>
        <v>2000</v>
      </c>
      <c r="F47" s="22" t="n">
        <f aca="false">INDEX(in_oce_rate_20,1,2)</f>
        <v>3000</v>
      </c>
      <c r="G47" s="22" t="n">
        <f aca="false">INDEX(in_oce_rate_20,1,3)</f>
        <v>3900</v>
      </c>
      <c r="H47" s="9" t="s">
        <v>303</v>
      </c>
      <c r="I47" s="16" t="s">
        <v>888</v>
      </c>
      <c r="J47" s="9" t="s">
        <v>1108</v>
      </c>
      <c r="K47" s="8" t="str">
        <f aca="false">IF(AND(J47="High",OR(H47="ASSUMED",H47="ESTIMATED",H47="UNRESOLVED")),"⚠ decision-relevant, unverified","")</f>
        <v>⚠ decision-relevant, unverified</v>
      </c>
      <c r="L47" s="16" t="s">
        <v>889</v>
      </c>
    </row>
    <row r="48" customFormat="false" ht="23.85" hidden="false" customHeight="false" outlineLevel="0" collapsed="false">
      <c r="A48" s="9" t="s">
        <v>1445</v>
      </c>
      <c r="B48" s="9" t="s">
        <v>2126</v>
      </c>
      <c r="C48" s="16" t="s">
        <v>891</v>
      </c>
      <c r="D48" s="9" t="s">
        <v>819</v>
      </c>
      <c r="E48" s="22" t="n">
        <f aca="false">INDEX(in_oce_rate_40,1,1)</f>
        <v>2800</v>
      </c>
      <c r="F48" s="22" t="n">
        <f aca="false">INDEX(in_oce_rate_40,1,2)</f>
        <v>3900</v>
      </c>
      <c r="G48" s="22" t="n">
        <f aca="false">INDEX(in_oce_rate_40,1,3)</f>
        <v>4900</v>
      </c>
      <c r="H48" s="9" t="s">
        <v>303</v>
      </c>
      <c r="I48" s="16" t="s">
        <v>892</v>
      </c>
      <c r="J48" s="9" t="s">
        <v>1108</v>
      </c>
      <c r="K48" s="8" t="str">
        <f aca="false">IF(AND(J48="High",OR(H48="ASSUMED",H48="ESTIMATED",H48="UNRESOLVED")),"⚠ decision-relevant, unverified","")</f>
        <v>⚠ decision-relevant, unverified</v>
      </c>
      <c r="L48" s="16" t="s">
        <v>893</v>
      </c>
    </row>
    <row r="49" customFormat="false" ht="15" hidden="false" customHeight="false" outlineLevel="0" collapsed="false">
      <c r="A49" s="9" t="s">
        <v>1445</v>
      </c>
      <c r="B49" s="9" t="s">
        <v>2127</v>
      </c>
      <c r="C49" s="16" t="s">
        <v>895</v>
      </c>
      <c r="D49" s="9" t="s">
        <v>819</v>
      </c>
      <c r="E49" s="22" t="n">
        <f aca="false">INDEX(in_oce_rate_hc,1,1)</f>
        <v>2900</v>
      </c>
      <c r="F49" s="22" t="n">
        <f aca="false">INDEX(in_oce_rate_hc,1,2)</f>
        <v>4000</v>
      </c>
      <c r="G49" s="22" t="n">
        <f aca="false">INDEX(in_oce_rate_hc,1,3)</f>
        <v>5000</v>
      </c>
      <c r="H49" s="9" t="s">
        <v>303</v>
      </c>
      <c r="I49" s="16" t="s">
        <v>896</v>
      </c>
      <c r="J49" s="9" t="s">
        <v>1108</v>
      </c>
      <c r="K49" s="8" t="str">
        <f aca="false">IF(AND(J49="High",OR(H49="ASSUMED",H49="ESTIMATED",H49="UNRESOLVED")),"⚠ decision-relevant, unverified","")</f>
        <v>⚠ decision-relevant, unverified</v>
      </c>
      <c r="L49" s="16" t="s">
        <v>897</v>
      </c>
    </row>
    <row r="50" customFormat="false" ht="15" hidden="false" customHeight="false" outlineLevel="0" collapsed="false">
      <c r="A50" s="9" t="s">
        <v>1445</v>
      </c>
      <c r="B50" s="9" t="s">
        <v>1454</v>
      </c>
      <c r="C50" s="16" t="s">
        <v>899</v>
      </c>
      <c r="D50" s="9" t="s">
        <v>900</v>
      </c>
      <c r="E50" s="22" t="n">
        <f aca="false">INDEX(in_oce_ams,1,1)</f>
        <v>30</v>
      </c>
      <c r="F50" s="22" t="n">
        <f aca="false">INDEX(in_oce_ams,1,2)</f>
        <v>35</v>
      </c>
      <c r="G50" s="22" t="n">
        <f aca="false">INDEX(in_oce_ams,1,3)</f>
        <v>45</v>
      </c>
      <c r="H50" s="9" t="s">
        <v>287</v>
      </c>
      <c r="I50" s="16"/>
      <c r="J50" s="9" t="s">
        <v>1115</v>
      </c>
      <c r="K50" s="8" t="str">
        <f aca="false">IF(AND(J50="High",OR(H50="ASSUMED",H50="ESTIMATED",H50="UNRESOLVED")),"⚠ decision-relevant, unverified","")</f>
        <v/>
      </c>
      <c r="L50" s="16"/>
    </row>
    <row r="51" customFormat="false" ht="15" hidden="false" customHeight="false" outlineLevel="0" collapsed="false">
      <c r="A51" s="9" t="s">
        <v>1445</v>
      </c>
      <c r="B51" s="9" t="s">
        <v>2128</v>
      </c>
      <c r="C51" s="16" t="s">
        <v>902</v>
      </c>
      <c r="D51" s="9" t="s">
        <v>302</v>
      </c>
      <c r="E51" s="49" t="n">
        <f aca="false">INDEX(in_oce_transit,1,1)</f>
        <v>25</v>
      </c>
      <c r="F51" s="49" t="n">
        <f aca="false">INDEX(in_oce_transit,1,2)</f>
        <v>30</v>
      </c>
      <c r="G51" s="49" t="n">
        <f aca="false">INDEX(in_oce_transit,1,3)</f>
        <v>38</v>
      </c>
      <c r="H51" s="9" t="s">
        <v>820</v>
      </c>
      <c r="I51" s="16" t="s">
        <v>903</v>
      </c>
      <c r="J51" s="9" t="s">
        <v>1115</v>
      </c>
      <c r="K51" s="8" t="str">
        <f aca="false">IF(AND(J51="High",OR(H51="ASSUMED",H51="ESTIMATED",H51="UNRESOLVED")),"⚠ decision-relevant, unverified","")</f>
        <v/>
      </c>
      <c r="L51" s="16" t="s">
        <v>904</v>
      </c>
    </row>
    <row r="52" customFormat="false" ht="15" hidden="false" customHeight="false" outlineLevel="0" collapsed="false">
      <c r="A52" s="9" t="s">
        <v>1445</v>
      </c>
      <c r="B52" s="9" t="s">
        <v>1460</v>
      </c>
      <c r="C52" s="16" t="s">
        <v>906</v>
      </c>
      <c r="D52" s="9" t="s">
        <v>41</v>
      </c>
      <c r="E52" s="47" t="n">
        <f aca="false">INDEX(in_oce_ins_rate,1,1)</f>
        <v>0.0015</v>
      </c>
      <c r="F52" s="47" t="n">
        <f aca="false">INDEX(in_oce_ins_rate,1,2)</f>
        <v>0.0025</v>
      </c>
      <c r="G52" s="47" t="n">
        <f aca="false">INDEX(in_oce_ins_rate,1,3)</f>
        <v>0.004</v>
      </c>
      <c r="H52" s="9" t="s">
        <v>303</v>
      </c>
      <c r="I52" s="16" t="s">
        <v>907</v>
      </c>
      <c r="J52" s="9" t="s">
        <v>1115</v>
      </c>
      <c r="K52" s="8" t="str">
        <f aca="false">IF(AND(J52="High",OR(H52="ASSUMED",H52="ESTIMATED",H52="UNRESOLVED")),"⚠ decision-relevant, unverified","")</f>
        <v/>
      </c>
      <c r="L52" s="16"/>
    </row>
    <row r="53" customFormat="false" ht="15" hidden="false" customHeight="false" outlineLevel="0" collapsed="false">
      <c r="A53" s="9" t="s">
        <v>1445</v>
      </c>
      <c r="B53" s="9" t="s">
        <v>2129</v>
      </c>
      <c r="C53" s="16" t="s">
        <v>909</v>
      </c>
      <c r="D53" s="9" t="s">
        <v>41</v>
      </c>
      <c r="E53" s="47" t="n">
        <f aca="false">INDEX(in_oce_ins_uplift,1,1)</f>
        <v>0.1</v>
      </c>
      <c r="F53" s="47" t="n">
        <f aca="false">INDEX(in_oce_ins_uplift,1,2)</f>
        <v>0.1</v>
      </c>
      <c r="G53" s="47" t="n">
        <f aca="false">INDEX(in_oce_ins_uplift,1,3)</f>
        <v>0.1</v>
      </c>
      <c r="H53" s="9" t="s">
        <v>303</v>
      </c>
      <c r="I53" s="16" t="s">
        <v>907</v>
      </c>
      <c r="J53" s="9" t="s">
        <v>1115</v>
      </c>
      <c r="K53" s="8" t="str">
        <f aca="false">IF(AND(J53="High",OR(H53="ASSUMED",H53="ESTIMATED",H53="UNRESOLVED")),"⚠ decision-relevant, unverified","")</f>
        <v/>
      </c>
      <c r="L53" s="16"/>
    </row>
    <row r="54" customFormat="false" ht="15" hidden="false" customHeight="false" outlineLevel="0" collapsed="false">
      <c r="A54" s="9" t="s">
        <v>1445</v>
      </c>
      <c r="B54" s="9" t="s">
        <v>2130</v>
      </c>
      <c r="C54" s="16" t="s">
        <v>911</v>
      </c>
      <c r="D54" s="9" t="s">
        <v>37</v>
      </c>
      <c r="E54" s="22" t="n">
        <f aca="false">INDEX(in_oce_ins_min,1,1)</f>
        <v>50</v>
      </c>
      <c r="F54" s="22" t="n">
        <f aca="false">INDEX(in_oce_ins_min,1,2)</f>
        <v>75</v>
      </c>
      <c r="G54" s="22" t="n">
        <f aca="false">INDEX(in_oce_ins_min,1,3)</f>
        <v>100</v>
      </c>
      <c r="H54" s="9" t="s">
        <v>287</v>
      </c>
      <c r="I54" s="16" t="s">
        <v>907</v>
      </c>
      <c r="J54" s="9" t="s">
        <v>1115</v>
      </c>
      <c r="K54" s="8" t="str">
        <f aca="false">IF(AND(J54="High",OR(H54="ASSUMED",H54="ESTIMATED",H54="UNRESOLVED")),"⚠ decision-relevant, unverified","")</f>
        <v/>
      </c>
      <c r="L54" s="16"/>
    </row>
    <row r="55" customFormat="false" ht="15" hidden="false" customHeight="false" outlineLevel="0" collapsed="false">
      <c r="A55" s="9" t="s">
        <v>1445</v>
      </c>
      <c r="B55" s="9" t="s">
        <v>2131</v>
      </c>
      <c r="C55" s="16" t="s">
        <v>913</v>
      </c>
      <c r="D55" s="9" t="s">
        <v>831</v>
      </c>
      <c r="E55" s="10" t="n">
        <f aca="false">INDEX(in_oce_ins_in_other,1,1)</f>
        <v>0</v>
      </c>
      <c r="F55" s="10" t="n">
        <f aca="false">INDEX(in_oce_ins_in_other,1,2)</f>
        <v>0</v>
      </c>
      <c r="G55" s="10" t="n">
        <f aca="false">INDEX(in_oce_ins_in_other,1,3)</f>
        <v>0</v>
      </c>
      <c r="H55" s="9" t="s">
        <v>287</v>
      </c>
      <c r="I55" s="16"/>
      <c r="J55" s="9" t="s">
        <v>1115</v>
      </c>
      <c r="K55" s="8" t="str">
        <f aca="false">IF(AND(J55="High",OR(H55="ASSUMED",H55="ESTIMATED",H55="UNRESOLVED")),"⚠ decision-relevant, unverified","")</f>
        <v/>
      </c>
      <c r="L55" s="16" t="s">
        <v>914</v>
      </c>
    </row>
    <row r="56" customFormat="false" ht="35.05" hidden="false" customHeight="false" outlineLevel="0" collapsed="false">
      <c r="A56" s="9" t="s">
        <v>1445</v>
      </c>
      <c r="B56" s="9" t="s">
        <v>2132</v>
      </c>
      <c r="C56" s="16" t="s">
        <v>916</v>
      </c>
      <c r="D56" s="9" t="s">
        <v>917</v>
      </c>
      <c r="E56" s="22" t="n">
        <f aca="false">INDEX(in_oce_lcl_rate,1,1)</f>
        <v>120</v>
      </c>
      <c r="F56" s="22" t="n">
        <f aca="false">INDEX(in_oce_lcl_rate,1,2)</f>
        <v>170</v>
      </c>
      <c r="G56" s="22" t="n">
        <f aca="false">INDEX(in_oce_lcl_rate,1,3)</f>
        <v>230</v>
      </c>
      <c r="H56" s="9" t="s">
        <v>287</v>
      </c>
      <c r="I56" s="16"/>
      <c r="J56" s="9" t="s">
        <v>1115</v>
      </c>
      <c r="K56" s="8" t="str">
        <f aca="false">IF(AND(J56="High",OR(H56="ASSUMED",H56="ESTIMATED",H56="UNRESOLVED")),"⚠ decision-relevant, unverified","")</f>
        <v/>
      </c>
      <c r="L56" s="16" t="s">
        <v>918</v>
      </c>
    </row>
    <row r="57" customFormat="false" ht="15" hidden="false" customHeight="false" outlineLevel="0" collapsed="false">
      <c r="A57" s="9" t="s">
        <v>1445</v>
      </c>
      <c r="B57" s="9" t="s">
        <v>2133</v>
      </c>
      <c r="C57" s="16" t="s">
        <v>920</v>
      </c>
      <c r="D57" s="9" t="s">
        <v>447</v>
      </c>
      <c r="E57" s="24" t="n">
        <f aca="false">INDEX(in_oce_lcl_factor,1,1)</f>
        <v>1.1</v>
      </c>
      <c r="F57" s="24" t="n">
        <f aca="false">INDEX(in_oce_lcl_factor,1,2)</f>
        <v>1.1</v>
      </c>
      <c r="G57" s="24" t="n">
        <f aca="false">INDEX(in_oce_lcl_factor,1,3)</f>
        <v>1.15</v>
      </c>
      <c r="H57" s="9" t="s">
        <v>287</v>
      </c>
      <c r="I57" s="16"/>
      <c r="J57" s="9" t="s">
        <v>1115</v>
      </c>
      <c r="K57" s="8" t="str">
        <f aca="false">IF(AND(J57="High",OR(H57="ASSUMED",H57="ESTIMATED",H57="UNRESOLVED")),"⚠ decision-relevant, unverified","")</f>
        <v/>
      </c>
      <c r="L57" s="16"/>
    </row>
    <row r="58" customFormat="false" ht="15" hidden="false" customHeight="false" outlineLevel="0" collapsed="false">
      <c r="A58" s="9" t="s">
        <v>1445</v>
      </c>
      <c r="B58" s="9" t="s">
        <v>2134</v>
      </c>
      <c r="C58" s="16" t="s">
        <v>922</v>
      </c>
      <c r="D58" s="9" t="s">
        <v>302</v>
      </c>
      <c r="E58" s="49" t="n">
        <f aca="false">INDEX(in_oce_lcl_extra_days,1,1)</f>
        <v>5</v>
      </c>
      <c r="F58" s="49" t="n">
        <f aca="false">INDEX(in_oce_lcl_extra_days,1,2)</f>
        <v>7</v>
      </c>
      <c r="G58" s="49" t="n">
        <f aca="false">INDEX(in_oce_lcl_extra_days,1,3)</f>
        <v>12</v>
      </c>
      <c r="H58" s="9" t="s">
        <v>287</v>
      </c>
      <c r="I58" s="16"/>
      <c r="J58" s="9" t="s">
        <v>1115</v>
      </c>
      <c r="K58" s="8" t="str">
        <f aca="false">IF(AND(J58="High",OR(H58="ASSUMED",H58="ESTIMATED",H58="UNRESOLVED")),"⚠ decision-relevant, unverified","")</f>
        <v/>
      </c>
      <c r="L58" s="16"/>
    </row>
    <row r="59" customFormat="false" ht="15" hidden="false" customHeight="false" outlineLevel="0" collapsed="false">
      <c r="A59" s="9" t="s">
        <v>2135</v>
      </c>
      <c r="B59" s="9" t="s">
        <v>2136</v>
      </c>
      <c r="C59" s="16" t="s">
        <v>1198</v>
      </c>
      <c r="D59" s="9" t="s">
        <v>41</v>
      </c>
      <c r="E59" s="47" t="n">
        <f aca="false">INDEX(in_cus_mfn,1,1)</f>
        <v>0</v>
      </c>
      <c r="F59" s="47" t="n">
        <f aca="false">INDEX(in_cus_mfn,1,2)</f>
        <v>0</v>
      </c>
      <c r="G59" s="47" t="n">
        <f aca="false">INDEX(in_cus_mfn,1,3)</f>
        <v>0</v>
      </c>
      <c r="H59" s="9" t="s">
        <v>576</v>
      </c>
      <c r="I59" s="16" t="s">
        <v>1199</v>
      </c>
      <c r="J59" s="9" t="s">
        <v>1115</v>
      </c>
      <c r="K59" s="8" t="str">
        <f aca="false">IF(AND(J59="High",OR(H59="ASSUMED",H59="ESTIMATED",H59="UNRESOLVED")),"⚠ decision-relevant, unverified","")</f>
        <v/>
      </c>
      <c r="L59" s="16" t="s">
        <v>1200</v>
      </c>
    </row>
    <row r="60" customFormat="false" ht="23.85" hidden="false" customHeight="false" outlineLevel="0" collapsed="false">
      <c r="A60" s="9" t="s">
        <v>2135</v>
      </c>
      <c r="B60" s="9" t="s">
        <v>2137</v>
      </c>
      <c r="C60" s="16" t="s">
        <v>1202</v>
      </c>
      <c r="D60" s="9" t="s">
        <v>41</v>
      </c>
      <c r="E60" s="47" t="n">
        <f aca="false">INDEX(in_cus_s301,1,1)</f>
        <v>0</v>
      </c>
      <c r="F60" s="47" t="n">
        <f aca="false">INDEX(in_cus_s301,1,2)</f>
        <v>0.125</v>
      </c>
      <c r="G60" s="47" t="n">
        <f aca="false">INDEX(in_cus_s301,1,3)</f>
        <v>0.125</v>
      </c>
      <c r="H60" s="9" t="s">
        <v>576</v>
      </c>
      <c r="I60" s="16" t="s">
        <v>1203</v>
      </c>
      <c r="J60" s="9" t="s">
        <v>1108</v>
      </c>
      <c r="K60" s="8" t="str">
        <f aca="false">IF(AND(J60="High",OR(H60="ASSUMED",H60="ESTIMATED",H60="UNRESOLVED")),"⚠ decision-relevant, unverified","")</f>
        <v/>
      </c>
      <c r="L60" s="16" t="s">
        <v>1204</v>
      </c>
    </row>
    <row r="61" customFormat="false" ht="15" hidden="false" customHeight="false" outlineLevel="0" collapsed="false">
      <c r="A61" s="9" t="s">
        <v>2135</v>
      </c>
      <c r="B61" s="9" t="s">
        <v>2138</v>
      </c>
      <c r="C61" s="16" t="s">
        <v>1206</v>
      </c>
      <c r="D61" s="9" t="s">
        <v>41</v>
      </c>
      <c r="E61" s="47" t="n">
        <f aca="false">INDEX(in_cus_mpf_rate,1,1)</f>
        <v>0.003464</v>
      </c>
      <c r="F61" s="47" t="n">
        <f aca="false">INDEX(in_cus_mpf_rate,1,2)</f>
        <v>0.003464</v>
      </c>
      <c r="G61" s="47" t="n">
        <f aca="false">INDEX(in_cus_mpf_rate,1,3)</f>
        <v>0.003464</v>
      </c>
      <c r="H61" s="9" t="s">
        <v>576</v>
      </c>
      <c r="I61" s="16" t="s">
        <v>1065</v>
      </c>
      <c r="J61" s="9" t="s">
        <v>1115</v>
      </c>
      <c r="K61" s="8" t="str">
        <f aca="false">IF(AND(J61="High",OR(H61="ASSUMED",H61="ESTIMATED",H61="UNRESOLVED")),"⚠ decision-relevant, unverified","")</f>
        <v/>
      </c>
      <c r="L61" s="16"/>
    </row>
    <row r="62" customFormat="false" ht="15" hidden="false" customHeight="false" outlineLevel="0" collapsed="false">
      <c r="A62" s="9" t="s">
        <v>2135</v>
      </c>
      <c r="B62" s="9" t="s">
        <v>2139</v>
      </c>
      <c r="C62" s="16" t="s">
        <v>1208</v>
      </c>
      <c r="D62" s="9" t="s">
        <v>37</v>
      </c>
      <c r="E62" s="22" t="n">
        <f aca="false">INDEX(in_cus_mpf_min,1,1)</f>
        <v>34.58</v>
      </c>
      <c r="F62" s="22" t="n">
        <f aca="false">INDEX(in_cus_mpf_min,1,2)</f>
        <v>34.58</v>
      </c>
      <c r="G62" s="22" t="n">
        <f aca="false">INDEX(in_cus_mpf_min,1,3)</f>
        <v>34.58</v>
      </c>
      <c r="H62" s="9" t="s">
        <v>576</v>
      </c>
      <c r="I62" s="16" t="s">
        <v>1065</v>
      </c>
      <c r="J62" s="9" t="s">
        <v>1115</v>
      </c>
      <c r="K62" s="8" t="str">
        <f aca="false">IF(AND(J62="High",OR(H62="ASSUMED",H62="ESTIMATED",H62="UNRESOLVED")),"⚠ decision-relevant, unverified","")</f>
        <v/>
      </c>
      <c r="L62" s="16"/>
    </row>
    <row r="63" customFormat="false" ht="15" hidden="false" customHeight="false" outlineLevel="0" collapsed="false">
      <c r="A63" s="9" t="s">
        <v>2135</v>
      </c>
      <c r="B63" s="9" t="s">
        <v>2140</v>
      </c>
      <c r="C63" s="16" t="s">
        <v>1210</v>
      </c>
      <c r="D63" s="9" t="s">
        <v>37</v>
      </c>
      <c r="E63" s="22" t="n">
        <f aca="false">INDEX(in_cus_mpf_max,1,1)</f>
        <v>670.86</v>
      </c>
      <c r="F63" s="22" t="n">
        <f aca="false">INDEX(in_cus_mpf_max,1,2)</f>
        <v>670.86</v>
      </c>
      <c r="G63" s="22" t="n">
        <f aca="false">INDEX(in_cus_mpf_max,1,3)</f>
        <v>670.86</v>
      </c>
      <c r="H63" s="9" t="s">
        <v>576</v>
      </c>
      <c r="I63" s="16" t="s">
        <v>1065</v>
      </c>
      <c r="J63" s="9" t="s">
        <v>1115</v>
      </c>
      <c r="K63" s="8" t="str">
        <f aca="false">IF(AND(J63="High",OR(H63="ASSUMED",H63="ESTIMATED",H63="UNRESOLVED")),"⚠ decision-relevant, unverified","")</f>
        <v/>
      </c>
      <c r="L63" s="16"/>
    </row>
    <row r="64" customFormat="false" ht="15" hidden="false" customHeight="false" outlineLevel="0" collapsed="false">
      <c r="A64" s="9" t="s">
        <v>2135</v>
      </c>
      <c r="B64" s="9" t="s">
        <v>2141</v>
      </c>
      <c r="C64" s="16" t="s">
        <v>1212</v>
      </c>
      <c r="D64" s="9" t="s">
        <v>41</v>
      </c>
      <c r="E64" s="47" t="n">
        <f aca="false">INDEX(in_cus_hmf,1,1)</f>
        <v>0.00125</v>
      </c>
      <c r="F64" s="47" t="n">
        <f aca="false">INDEX(in_cus_hmf,1,2)</f>
        <v>0.00125</v>
      </c>
      <c r="G64" s="47" t="n">
        <f aca="false">INDEX(in_cus_hmf,1,3)</f>
        <v>0.00125</v>
      </c>
      <c r="H64" s="9" t="s">
        <v>576</v>
      </c>
      <c r="I64" s="16" t="s">
        <v>1068</v>
      </c>
      <c r="J64" s="9" t="s">
        <v>1115</v>
      </c>
      <c r="K64" s="8" t="str">
        <f aca="false">IF(AND(J64="High",OR(H64="ASSUMED",H64="ESTIMATED",H64="UNRESOLVED")),"⚠ decision-relevant, unverified","")</f>
        <v/>
      </c>
      <c r="L64" s="16"/>
    </row>
    <row r="65" customFormat="false" ht="15" hidden="false" customHeight="false" outlineLevel="0" collapsed="false">
      <c r="A65" s="9" t="s">
        <v>2135</v>
      </c>
      <c r="B65" s="9" t="s">
        <v>1490</v>
      </c>
      <c r="C65" s="16" t="s">
        <v>993</v>
      </c>
      <c r="D65" s="9" t="s">
        <v>994</v>
      </c>
      <c r="E65" s="22" t="n">
        <f aca="false">INDEX(in_cus_broker,1,1)</f>
        <v>175</v>
      </c>
      <c r="F65" s="22" t="n">
        <f aca="false">INDEX(in_cus_broker,1,2)</f>
        <v>200</v>
      </c>
      <c r="G65" s="22" t="n">
        <f aca="false">INDEX(in_cus_broker,1,3)</f>
        <v>300</v>
      </c>
      <c r="H65" s="9" t="s">
        <v>303</v>
      </c>
      <c r="I65" s="16" t="s">
        <v>995</v>
      </c>
      <c r="J65" s="9" t="s">
        <v>1115</v>
      </c>
      <c r="K65" s="8" t="str">
        <f aca="false">IF(AND(J65="High",OR(H65="ASSUMED",H65="ESTIMATED",H65="UNRESOLVED")),"⚠ decision-relevant, unverified","")</f>
        <v/>
      </c>
      <c r="L65" s="16"/>
    </row>
    <row r="66" customFormat="false" ht="15" hidden="false" customHeight="false" outlineLevel="0" collapsed="false">
      <c r="A66" s="9" t="s">
        <v>2135</v>
      </c>
      <c r="B66" s="9" t="s">
        <v>1493</v>
      </c>
      <c r="C66" s="16" t="s">
        <v>997</v>
      </c>
      <c r="D66" s="9" t="s">
        <v>838</v>
      </c>
      <c r="E66" s="22" t="n">
        <f aca="false">INDEX(in_cus_isf,1,1)</f>
        <v>35</v>
      </c>
      <c r="F66" s="22" t="n">
        <f aca="false">INDEX(in_cus_isf,1,2)</f>
        <v>50</v>
      </c>
      <c r="G66" s="22" t="n">
        <f aca="false">INDEX(in_cus_isf,1,3)</f>
        <v>75</v>
      </c>
      <c r="H66" s="9" t="s">
        <v>303</v>
      </c>
      <c r="I66" s="16" t="s">
        <v>998</v>
      </c>
      <c r="J66" s="9" t="s">
        <v>1115</v>
      </c>
      <c r="K66" s="8" t="str">
        <f aca="false">IF(AND(J66="High",OR(H66="ASSUMED",H66="ESTIMATED",H66="UNRESOLVED")),"⚠ decision-relevant, unverified","")</f>
        <v/>
      </c>
      <c r="L66" s="16"/>
    </row>
    <row r="67" customFormat="false" ht="15" hidden="false" customHeight="false" outlineLevel="0" collapsed="false">
      <c r="A67" s="9" t="s">
        <v>2135</v>
      </c>
      <c r="B67" s="9" t="s">
        <v>2142</v>
      </c>
      <c r="C67" s="16" t="s">
        <v>1000</v>
      </c>
      <c r="D67" s="9" t="s">
        <v>1001</v>
      </c>
      <c r="E67" s="35" t="n">
        <f aca="false">INDEX(in_cus_stb_rate,1,1)</f>
        <v>4</v>
      </c>
      <c r="F67" s="35" t="n">
        <f aca="false">INDEX(in_cus_stb_rate,1,2)</f>
        <v>6</v>
      </c>
      <c r="G67" s="35" t="n">
        <f aca="false">INDEX(in_cus_stb_rate,1,3)</f>
        <v>7</v>
      </c>
      <c r="H67" s="9" t="s">
        <v>303</v>
      </c>
      <c r="I67" s="16" t="s">
        <v>1002</v>
      </c>
      <c r="J67" s="9" t="s">
        <v>1115</v>
      </c>
      <c r="K67" s="8" t="str">
        <f aca="false">IF(AND(J67="High",OR(H67="ASSUMED",H67="ESTIMATED",H67="UNRESOLVED")),"⚠ decision-relevant, unverified","")</f>
        <v/>
      </c>
      <c r="L67" s="16" t="s">
        <v>1003</v>
      </c>
    </row>
    <row r="68" customFormat="false" ht="15" hidden="false" customHeight="false" outlineLevel="0" collapsed="false">
      <c r="A68" s="9" t="s">
        <v>2135</v>
      </c>
      <c r="B68" s="9" t="s">
        <v>2143</v>
      </c>
      <c r="C68" s="16" t="s">
        <v>1005</v>
      </c>
      <c r="D68" s="9" t="s">
        <v>37</v>
      </c>
      <c r="E68" s="22" t="n">
        <f aca="false">INDEX(in_cus_stb_min,1,1)</f>
        <v>50</v>
      </c>
      <c r="F68" s="22" t="n">
        <f aca="false">INDEX(in_cus_stb_min,1,2)</f>
        <v>75</v>
      </c>
      <c r="G68" s="22" t="n">
        <f aca="false">INDEX(in_cus_stb_min,1,3)</f>
        <v>75</v>
      </c>
      <c r="H68" s="9" t="s">
        <v>303</v>
      </c>
      <c r="I68" s="16" t="s">
        <v>1002</v>
      </c>
      <c r="J68" s="9" t="s">
        <v>1115</v>
      </c>
      <c r="K68" s="8" t="str">
        <f aca="false">IF(AND(J68="High",OR(H68="ASSUMED",H68="ESTIMATED",H68="UNRESOLVED")),"⚠ decision-relevant, unverified","")</f>
        <v/>
      </c>
      <c r="L68" s="16"/>
    </row>
    <row r="69" customFormat="false" ht="15" hidden="false" customHeight="false" outlineLevel="0" collapsed="false">
      <c r="A69" s="9" t="s">
        <v>2135</v>
      </c>
      <c r="B69" s="9" t="s">
        <v>1501</v>
      </c>
      <c r="C69" s="16" t="s">
        <v>1007</v>
      </c>
      <c r="D69" s="9" t="s">
        <v>838</v>
      </c>
      <c r="E69" s="22" t="n">
        <f aca="false">INDEX(in_cus_isf_bond,1,1)</f>
        <v>50</v>
      </c>
      <c r="F69" s="22" t="n">
        <f aca="false">INDEX(in_cus_isf_bond,1,2)</f>
        <v>60</v>
      </c>
      <c r="G69" s="22" t="n">
        <f aca="false">INDEX(in_cus_isf_bond,1,3)</f>
        <v>75</v>
      </c>
      <c r="H69" s="9" t="s">
        <v>287</v>
      </c>
      <c r="I69" s="16" t="s">
        <v>1002</v>
      </c>
      <c r="J69" s="9" t="s">
        <v>1115</v>
      </c>
      <c r="K69" s="8" t="str">
        <f aca="false">IF(AND(J69="High",OR(H69="ASSUMED",H69="ESTIMATED",H69="UNRESOLVED")),"⚠ decision-relevant, unverified","")</f>
        <v/>
      </c>
      <c r="L69" s="16"/>
    </row>
    <row r="70" customFormat="false" ht="15" hidden="false" customHeight="false" outlineLevel="0" collapsed="false">
      <c r="A70" s="9" t="s">
        <v>2135</v>
      </c>
      <c r="B70" s="9" t="s">
        <v>2144</v>
      </c>
      <c r="C70" s="16" t="s">
        <v>1009</v>
      </c>
      <c r="D70" s="9" t="s">
        <v>1010</v>
      </c>
      <c r="E70" s="22" t="n">
        <f aca="false">INDEX(in_cus_cfc,1,1)</f>
        <v>14.8</v>
      </c>
      <c r="F70" s="22" t="n">
        <f aca="false">INDEX(in_cus_cfc,1,2)</f>
        <v>14.8</v>
      </c>
      <c r="G70" s="22" t="n">
        <f aca="false">INDEX(in_cus_cfc,1,3)</f>
        <v>14.8</v>
      </c>
      <c r="H70" s="9" t="s">
        <v>576</v>
      </c>
      <c r="I70" s="16" t="s">
        <v>1011</v>
      </c>
      <c r="J70" s="9" t="s">
        <v>1115</v>
      </c>
      <c r="K70" s="8" t="str">
        <f aca="false">IF(AND(J70="High",OR(H70="ASSUMED",H70="ESTIMATED",H70="UNRESOLVED")),"⚠ decision-relevant, unverified","")</f>
        <v/>
      </c>
      <c r="L70" s="16" t="s">
        <v>1012</v>
      </c>
    </row>
    <row r="71" customFormat="false" ht="15" hidden="false" customHeight="false" outlineLevel="0" collapsed="false">
      <c r="A71" s="9" t="s">
        <v>2135</v>
      </c>
      <c r="B71" s="9" t="s">
        <v>2145</v>
      </c>
      <c r="C71" s="16" t="s">
        <v>1014</v>
      </c>
      <c r="D71" s="9" t="s">
        <v>831</v>
      </c>
      <c r="E71" s="10" t="n">
        <f aca="false">INDEX(in_cus_cfc_in_freight,1,1)</f>
        <v>0</v>
      </c>
      <c r="F71" s="10" t="n">
        <f aca="false">INDEX(in_cus_cfc_in_freight,1,2)</f>
        <v>0</v>
      </c>
      <c r="G71" s="10" t="n">
        <f aca="false">INDEX(in_cus_cfc_in_freight,1,3)</f>
        <v>0</v>
      </c>
      <c r="H71" s="9" t="s">
        <v>287</v>
      </c>
      <c r="I71" s="16" t="s">
        <v>1011</v>
      </c>
      <c r="J71" s="9" t="s">
        <v>1115</v>
      </c>
      <c r="K71" s="8" t="str">
        <f aca="false">IF(AND(J71="High",OR(H71="ASSUMED",H71="ESTIMATED",H71="UNRESOLVED")),"⚠ decision-relevant, unverified","")</f>
        <v/>
      </c>
      <c r="L71" s="16" t="s">
        <v>1015</v>
      </c>
    </row>
    <row r="72" customFormat="false" ht="15" hidden="false" customHeight="false" outlineLevel="0" collapsed="false">
      <c r="A72" s="9" t="s">
        <v>2135</v>
      </c>
      <c r="B72" s="9" t="s">
        <v>1506</v>
      </c>
      <c r="C72" s="16" t="s">
        <v>1017</v>
      </c>
      <c r="D72" s="9" t="s">
        <v>838</v>
      </c>
      <c r="E72" s="22" t="n">
        <f aca="false">INDEX(in_cus_do_fee,1,1)</f>
        <v>75</v>
      </c>
      <c r="F72" s="22" t="n">
        <f aca="false">INDEX(in_cus_do_fee,1,2)</f>
        <v>125</v>
      </c>
      <c r="G72" s="22" t="n">
        <f aca="false">INDEX(in_cus_do_fee,1,3)</f>
        <v>175</v>
      </c>
      <c r="H72" s="9" t="s">
        <v>287</v>
      </c>
      <c r="I72" s="16"/>
      <c r="J72" s="9" t="s">
        <v>1115</v>
      </c>
      <c r="K72" s="8" t="str">
        <f aca="false">IF(AND(J72="High",OR(H72="ASSUMED",H72="ESTIMATED",H72="UNRESOLVED")),"⚠ decision-relevant, unverified","")</f>
        <v/>
      </c>
      <c r="L72" s="16"/>
    </row>
    <row r="73" customFormat="false" ht="15" hidden="false" customHeight="false" outlineLevel="0" collapsed="false">
      <c r="A73" s="9" t="s">
        <v>2135</v>
      </c>
      <c r="B73" s="9" t="s">
        <v>2146</v>
      </c>
      <c r="C73" s="16" t="s">
        <v>1019</v>
      </c>
      <c r="D73" s="9" t="s">
        <v>819</v>
      </c>
      <c r="E73" s="22" t="n">
        <f aca="false">INDEX(in_cus_exam,1,1)</f>
        <v>0</v>
      </c>
      <c r="F73" s="22" t="n">
        <f aca="false">INDEX(in_cus_exam,1,2)</f>
        <v>0</v>
      </c>
      <c r="G73" s="22" t="n">
        <f aca="false">INDEX(in_cus_exam,1,3)</f>
        <v>350</v>
      </c>
      <c r="H73" s="9" t="s">
        <v>303</v>
      </c>
      <c r="I73" s="16" t="s">
        <v>1020</v>
      </c>
      <c r="J73" s="9" t="s">
        <v>1115</v>
      </c>
      <c r="K73" s="8" t="str">
        <f aca="false">IF(AND(J73="High",OR(H73="ASSUMED",H73="ESTIMATED",H73="UNRESOLVED")),"⚠ decision-relevant, unverified","")</f>
        <v/>
      </c>
      <c r="L73" s="16"/>
    </row>
    <row r="74" customFormat="false" ht="15" hidden="false" customHeight="false" outlineLevel="0" collapsed="false">
      <c r="A74" s="9" t="s">
        <v>2135</v>
      </c>
      <c r="B74" s="9" t="s">
        <v>2147</v>
      </c>
      <c r="C74" s="16" t="s">
        <v>1022</v>
      </c>
      <c r="D74" s="9" t="s">
        <v>819</v>
      </c>
      <c r="E74" s="22" t="n">
        <f aca="false">INDEX(in_cus_exam_dray,1,1)</f>
        <v>0</v>
      </c>
      <c r="F74" s="22" t="n">
        <f aca="false">INDEX(in_cus_exam_dray,1,2)</f>
        <v>0</v>
      </c>
      <c r="G74" s="22" t="n">
        <f aca="false">INDEX(in_cus_exam_dray,1,3)</f>
        <v>250</v>
      </c>
      <c r="H74" s="9" t="s">
        <v>287</v>
      </c>
      <c r="I74" s="16" t="s">
        <v>1020</v>
      </c>
      <c r="J74" s="9" t="s">
        <v>1115</v>
      </c>
      <c r="K74" s="8" t="str">
        <f aca="false">IF(AND(J74="High",OR(H74="ASSUMED",H74="ESTIMATED",H74="UNRESOLVED")),"⚠ decision-relevant, unverified","")</f>
        <v/>
      </c>
      <c r="L74" s="16"/>
    </row>
    <row r="75" customFormat="false" ht="15" hidden="false" customHeight="false" outlineLevel="0" collapsed="false">
      <c r="A75" s="9" t="s">
        <v>2135</v>
      </c>
      <c r="B75" s="9" t="s">
        <v>2148</v>
      </c>
      <c r="C75" s="16" t="s">
        <v>1024</v>
      </c>
      <c r="D75" s="9" t="s">
        <v>302</v>
      </c>
      <c r="E75" s="49" t="n">
        <f aca="false">INDEX(in_cus_dem_days,1,1)</f>
        <v>0</v>
      </c>
      <c r="F75" s="49" t="n">
        <f aca="false">INDEX(in_cus_dem_days,1,2)</f>
        <v>0</v>
      </c>
      <c r="G75" s="49" t="n">
        <f aca="false">INDEX(in_cus_dem_days,1,3)</f>
        <v>3</v>
      </c>
      <c r="H75" s="9" t="s">
        <v>287</v>
      </c>
      <c r="I75" s="16" t="s">
        <v>1025</v>
      </c>
      <c r="J75" s="9" t="s">
        <v>1115</v>
      </c>
      <c r="K75" s="8" t="str">
        <f aca="false">IF(AND(J75="High",OR(H75="ASSUMED",H75="ESTIMATED",H75="UNRESOLVED")),"⚠ decision-relevant, unverified","")</f>
        <v/>
      </c>
      <c r="L75" s="16"/>
    </row>
    <row r="76" customFormat="false" ht="15" hidden="false" customHeight="false" outlineLevel="0" collapsed="false">
      <c r="A76" s="9" t="s">
        <v>2135</v>
      </c>
      <c r="B76" s="9" t="s">
        <v>2149</v>
      </c>
      <c r="C76" s="16" t="s">
        <v>1027</v>
      </c>
      <c r="D76" s="9" t="s">
        <v>849</v>
      </c>
      <c r="E76" s="22" t="n">
        <f aca="false">INDEX(in_cus_dem_rate,1,1)</f>
        <v>150</v>
      </c>
      <c r="F76" s="22" t="n">
        <f aca="false">INDEX(in_cus_dem_rate,1,2)</f>
        <v>200</v>
      </c>
      <c r="G76" s="22" t="n">
        <f aca="false">INDEX(in_cus_dem_rate,1,3)</f>
        <v>250</v>
      </c>
      <c r="H76" s="9" t="s">
        <v>303</v>
      </c>
      <c r="I76" s="16" t="s">
        <v>1025</v>
      </c>
      <c r="J76" s="9" t="s">
        <v>1115</v>
      </c>
      <c r="K76" s="8" t="str">
        <f aca="false">IF(AND(J76="High",OR(H76="ASSUMED",H76="ESTIMATED",H76="UNRESOLVED")),"⚠ decision-relevant, unverified","")</f>
        <v/>
      </c>
      <c r="L76" s="16"/>
    </row>
    <row r="77" customFormat="false" ht="15" hidden="false" customHeight="false" outlineLevel="0" collapsed="false">
      <c r="A77" s="9" t="s">
        <v>2150</v>
      </c>
      <c r="B77" s="9" t="s">
        <v>2151</v>
      </c>
      <c r="C77" s="16" t="s">
        <v>1151</v>
      </c>
      <c r="D77" s="9" t="s">
        <v>41</v>
      </c>
      <c r="E77" s="47" t="n">
        <f aca="false">INDEX(in_dra_fsc,1,1)</f>
        <v>0.15</v>
      </c>
      <c r="F77" s="47" t="n">
        <f aca="false">INDEX(in_dra_fsc,1,2)</f>
        <v>0.2</v>
      </c>
      <c r="G77" s="47" t="n">
        <f aca="false">INDEX(in_dra_fsc,1,3)</f>
        <v>0.25</v>
      </c>
      <c r="H77" s="9" t="s">
        <v>303</v>
      </c>
      <c r="I77" s="16" t="s">
        <v>1152</v>
      </c>
      <c r="J77" s="9" t="s">
        <v>1115</v>
      </c>
      <c r="K77" s="8" t="str">
        <f aca="false">IF(AND(J77="High",OR(H77="ASSUMED",H77="ESTIMATED",H77="UNRESOLVED")),"⚠ decision-relevant, unverified","")</f>
        <v/>
      </c>
      <c r="L77" s="16"/>
    </row>
    <row r="78" customFormat="false" ht="15" hidden="false" customHeight="false" outlineLevel="0" collapsed="false">
      <c r="A78" s="9" t="s">
        <v>2150</v>
      </c>
      <c r="B78" s="9" t="s">
        <v>2152</v>
      </c>
      <c r="C78" s="16" t="s">
        <v>1154</v>
      </c>
      <c r="D78" s="9" t="s">
        <v>302</v>
      </c>
      <c r="E78" s="49" t="n">
        <f aca="false">INDEX(in_dra_chassis_days,1,1)</f>
        <v>2</v>
      </c>
      <c r="F78" s="49" t="n">
        <f aca="false">INDEX(in_dra_chassis_days,1,2)</f>
        <v>2</v>
      </c>
      <c r="G78" s="49" t="n">
        <f aca="false">INDEX(in_dra_chassis_days,1,3)</f>
        <v>5</v>
      </c>
      <c r="H78" s="9" t="s">
        <v>303</v>
      </c>
      <c r="I78" s="16" t="s">
        <v>1155</v>
      </c>
      <c r="J78" s="9" t="s">
        <v>1115</v>
      </c>
      <c r="K78" s="8" t="str">
        <f aca="false">IF(AND(J78="High",OR(H78="ASSUMED",H78="ESTIMATED",H78="UNRESOLVED")),"⚠ decision-relevant, unverified","")</f>
        <v/>
      </c>
      <c r="L78" s="16"/>
    </row>
    <row r="79" customFormat="false" ht="15" hidden="false" customHeight="false" outlineLevel="0" collapsed="false">
      <c r="A79" s="9" t="s">
        <v>2150</v>
      </c>
      <c r="B79" s="9" t="s">
        <v>2153</v>
      </c>
      <c r="C79" s="16" t="s">
        <v>1157</v>
      </c>
      <c r="D79" s="9" t="s">
        <v>1158</v>
      </c>
      <c r="E79" s="49" t="n">
        <f aca="false">INDEX(in_dra_wait_hours,1,1)</f>
        <v>0</v>
      </c>
      <c r="F79" s="49" t="n">
        <f aca="false">INDEX(in_dra_wait_hours,1,2)</f>
        <v>2</v>
      </c>
      <c r="G79" s="49" t="n">
        <f aca="false">INDEX(in_dra_wait_hours,1,3)</f>
        <v>4</v>
      </c>
      <c r="H79" s="9" t="s">
        <v>287</v>
      </c>
      <c r="I79" s="16"/>
      <c r="J79" s="9" t="s">
        <v>1115</v>
      </c>
      <c r="K79" s="8" t="str">
        <f aca="false">IF(AND(J79="High",OR(H79="ASSUMED",H79="ESTIMATED",H79="UNRESOLVED")),"⚠ decision-relevant, unverified","")</f>
        <v/>
      </c>
      <c r="L79" s="16"/>
    </row>
    <row r="80" customFormat="false" ht="15" hidden="false" customHeight="false" outlineLevel="0" collapsed="false">
      <c r="A80" s="9" t="s">
        <v>2150</v>
      </c>
      <c r="B80" s="9" t="s">
        <v>2154</v>
      </c>
      <c r="C80" s="16" t="s">
        <v>1160</v>
      </c>
      <c r="D80" s="9" t="s">
        <v>1161</v>
      </c>
      <c r="E80" s="22" t="n">
        <f aca="false">INDEX(in_dra_wait_rate,1,1)</f>
        <v>75</v>
      </c>
      <c r="F80" s="22" t="n">
        <f aca="false">INDEX(in_dra_wait_rate,1,2)</f>
        <v>85</v>
      </c>
      <c r="G80" s="22" t="n">
        <f aca="false">INDEX(in_dra_wait_rate,1,3)</f>
        <v>95</v>
      </c>
      <c r="H80" s="9" t="s">
        <v>287</v>
      </c>
      <c r="I80" s="16"/>
      <c r="J80" s="9" t="s">
        <v>1115</v>
      </c>
      <c r="K80" s="8" t="str">
        <f aca="false">IF(AND(J80="High",OR(H80="ASSUMED",H80="ESTIMATED",H80="UNRESOLVED")),"⚠ decision-relevant, unverified","")</f>
        <v/>
      </c>
      <c r="L80" s="16"/>
    </row>
    <row r="81" customFormat="false" ht="15" hidden="false" customHeight="false" outlineLevel="0" collapsed="false">
      <c r="A81" s="9" t="s">
        <v>2150</v>
      </c>
      <c r="B81" s="9" t="s">
        <v>1541</v>
      </c>
      <c r="C81" s="16" t="s">
        <v>1163</v>
      </c>
      <c r="D81" s="9" t="s">
        <v>819</v>
      </c>
      <c r="E81" s="22" t="n">
        <f aca="false">INDEX(in_dra_split,1,1)</f>
        <v>0</v>
      </c>
      <c r="F81" s="22" t="n">
        <f aca="false">INDEX(in_dra_split,1,2)</f>
        <v>0</v>
      </c>
      <c r="G81" s="22" t="n">
        <f aca="false">INDEX(in_dra_split,1,3)</f>
        <v>75</v>
      </c>
      <c r="H81" s="9" t="s">
        <v>303</v>
      </c>
      <c r="I81" s="16" t="s">
        <v>1152</v>
      </c>
      <c r="J81" s="9" t="s">
        <v>1115</v>
      </c>
      <c r="K81" s="8" t="str">
        <f aca="false">IF(AND(J81="High",OR(H81="ASSUMED",H81="ESTIMATED",H81="UNRESOLVED")),"⚠ decision-relevant, unverified","")</f>
        <v/>
      </c>
      <c r="L81" s="16"/>
    </row>
    <row r="82" customFormat="false" ht="15" hidden="false" customHeight="false" outlineLevel="0" collapsed="false">
      <c r="A82" s="9" t="s">
        <v>2150</v>
      </c>
      <c r="B82" s="9" t="s">
        <v>2155</v>
      </c>
      <c r="C82" s="16" t="s">
        <v>1165</v>
      </c>
      <c r="D82" s="9" t="s">
        <v>831</v>
      </c>
      <c r="E82" s="10" t="n">
        <f aca="false">INDEX(in_dra_chassis_in_dray,1,1)</f>
        <v>0</v>
      </c>
      <c r="F82" s="10" t="n">
        <f aca="false">INDEX(in_dra_chassis_in_dray,1,2)</f>
        <v>0</v>
      </c>
      <c r="G82" s="10" t="n">
        <f aca="false">INDEX(in_dra_chassis_in_dray,1,3)</f>
        <v>0</v>
      </c>
      <c r="H82" s="9" t="s">
        <v>287</v>
      </c>
      <c r="I82" s="16"/>
      <c r="J82" s="9" t="s">
        <v>1115</v>
      </c>
      <c r="K82" s="8" t="str">
        <f aca="false">IF(AND(J82="High",OR(H82="ASSUMED",H82="ESTIMATED",H82="UNRESOLVED")),"⚠ decision-relevant, unverified","")</f>
        <v/>
      </c>
      <c r="L82" s="16" t="s">
        <v>1015</v>
      </c>
    </row>
    <row r="83" customFormat="false" ht="15" hidden="false" customHeight="false" outlineLevel="0" collapsed="false">
      <c r="A83" s="9" t="s">
        <v>2150</v>
      </c>
      <c r="B83" s="9" t="s">
        <v>2156</v>
      </c>
      <c r="C83" s="16" t="s">
        <v>1167</v>
      </c>
      <c r="D83" s="9" t="s">
        <v>831</v>
      </c>
      <c r="E83" s="10" t="n">
        <f aca="false">INDEX(in_dra_unload_in_dray,1,1)</f>
        <v>0</v>
      </c>
      <c r="F83" s="10" t="n">
        <f aca="false">INDEX(in_dra_unload_in_dray,1,2)</f>
        <v>0</v>
      </c>
      <c r="G83" s="10" t="n">
        <f aca="false">INDEX(in_dra_unload_in_dray,1,3)</f>
        <v>0</v>
      </c>
      <c r="H83" s="9" t="s">
        <v>287</v>
      </c>
      <c r="I83" s="16"/>
      <c r="J83" s="9" t="s">
        <v>1115</v>
      </c>
      <c r="K83" s="8" t="str">
        <f aca="false">IF(AND(J83="High",OR(H83="ASSUMED",H83="ESTIMATED",H83="UNRESOLVED")),"⚠ decision-relevant, unverified","")</f>
        <v/>
      </c>
      <c r="L83" s="16" t="s">
        <v>1168</v>
      </c>
    </row>
    <row r="84" customFormat="false" ht="15" hidden="false" customHeight="false" outlineLevel="0" collapsed="false">
      <c r="A84" s="9" t="s">
        <v>2150</v>
      </c>
      <c r="B84" s="9" t="s">
        <v>1544</v>
      </c>
      <c r="C84" s="16" t="s">
        <v>1170</v>
      </c>
      <c r="D84" s="9" t="s">
        <v>819</v>
      </c>
      <c r="E84" s="22" t="n">
        <f aca="false">INDEX(in_dra_prepull,1,1)</f>
        <v>0</v>
      </c>
      <c r="F84" s="22" t="n">
        <f aca="false">INDEX(in_dra_prepull,1,2)</f>
        <v>0</v>
      </c>
      <c r="G84" s="22" t="n">
        <f aca="false">INDEX(in_dra_prepull,1,3)</f>
        <v>250</v>
      </c>
      <c r="H84" s="9" t="s">
        <v>287</v>
      </c>
      <c r="I84" s="16"/>
      <c r="J84" s="9" t="s">
        <v>1115</v>
      </c>
      <c r="K84" s="8" t="str">
        <f aca="false">IF(AND(J84="High",OR(H84="ASSUMED",H84="ESTIMATED",H84="UNRESOLVED")),"⚠ decision-relevant, unverified","")</f>
        <v/>
      </c>
      <c r="L84" s="16"/>
    </row>
    <row r="85" customFormat="false" ht="15" hidden="false" customHeight="false" outlineLevel="0" collapsed="false">
      <c r="A85" s="9" t="s">
        <v>2150</v>
      </c>
      <c r="B85" s="9" t="s">
        <v>1547</v>
      </c>
      <c r="C85" s="16" t="s">
        <v>1172</v>
      </c>
      <c r="D85" s="9" t="s">
        <v>819</v>
      </c>
      <c r="E85" s="22" t="n">
        <f aca="false">INDEX(in_dra_dryrun,1,1)</f>
        <v>0</v>
      </c>
      <c r="F85" s="22" t="n">
        <f aca="false">INDEX(in_dra_dryrun,1,2)</f>
        <v>0</v>
      </c>
      <c r="G85" s="22" t="n">
        <f aca="false">INDEX(in_dra_dryrun,1,3)</f>
        <v>300</v>
      </c>
      <c r="H85" s="9" t="s">
        <v>287</v>
      </c>
      <c r="I85" s="16"/>
      <c r="J85" s="9" t="s">
        <v>1115</v>
      </c>
      <c r="K85" s="8" t="str">
        <f aca="false">IF(AND(J85="High",OR(H85="ASSUMED",H85="ESTIMATED",H85="UNRESOLVED")),"⚠ decision-relevant, unverified","")</f>
        <v/>
      </c>
      <c r="L85" s="16"/>
    </row>
    <row r="86" customFormat="false" ht="15" hidden="false" customHeight="false" outlineLevel="0" collapsed="false">
      <c r="A86" s="9" t="s">
        <v>2150</v>
      </c>
      <c r="B86" s="9" t="s">
        <v>2157</v>
      </c>
      <c r="C86" s="16" t="s">
        <v>1174</v>
      </c>
      <c r="D86" s="9" t="s">
        <v>819</v>
      </c>
      <c r="E86" s="22" t="n">
        <f aca="false">INDEX(in_dra_unload_20,1,1)</f>
        <v>150</v>
      </c>
      <c r="F86" s="22" t="n">
        <f aca="false">INDEX(in_dra_unload_20,1,2)</f>
        <v>300</v>
      </c>
      <c r="G86" s="22" t="n">
        <f aca="false">INDEX(in_dra_unload_20,1,3)</f>
        <v>450</v>
      </c>
      <c r="H86" s="9" t="s">
        <v>303</v>
      </c>
      <c r="I86" s="16" t="s">
        <v>1175</v>
      </c>
      <c r="J86" s="9" t="s">
        <v>1115</v>
      </c>
      <c r="K86" s="8" t="str">
        <f aca="false">IF(AND(J86="High",OR(H86="ASSUMED",H86="ESTIMATED",H86="UNRESOLVED")),"⚠ decision-relevant, unverified","")</f>
        <v/>
      </c>
      <c r="L86" s="16"/>
    </row>
    <row r="87" customFormat="false" ht="15" hidden="false" customHeight="false" outlineLevel="0" collapsed="false">
      <c r="A87" s="9" t="s">
        <v>2150</v>
      </c>
      <c r="B87" s="9" t="s">
        <v>2158</v>
      </c>
      <c r="C87" s="16" t="s">
        <v>1177</v>
      </c>
      <c r="D87" s="9" t="s">
        <v>819</v>
      </c>
      <c r="E87" s="22" t="n">
        <f aca="false">INDEX(in_dra_unload_40,1,1)</f>
        <v>250</v>
      </c>
      <c r="F87" s="22" t="n">
        <f aca="false">INDEX(in_dra_unload_40,1,2)</f>
        <v>450</v>
      </c>
      <c r="G87" s="22" t="n">
        <f aca="false">INDEX(in_dra_unload_40,1,3)</f>
        <v>650</v>
      </c>
      <c r="H87" s="9" t="s">
        <v>303</v>
      </c>
      <c r="I87" s="16" t="s">
        <v>1175</v>
      </c>
      <c r="J87" s="9" t="s">
        <v>1101</v>
      </c>
      <c r="K87" s="8" t="str">
        <f aca="false">IF(AND(J87="High",OR(H87="ASSUMED",H87="ESTIMATED",H87="UNRESOLVED")),"⚠ decision-relevant, unverified","")</f>
        <v/>
      </c>
      <c r="L87" s="16" t="s">
        <v>1178</v>
      </c>
    </row>
    <row r="88" customFormat="false" ht="15" hidden="false" customHeight="false" outlineLevel="0" collapsed="false">
      <c r="A88" s="9" t="s">
        <v>2150</v>
      </c>
      <c r="B88" s="9" t="s">
        <v>2159</v>
      </c>
      <c r="C88" s="16" t="s">
        <v>1180</v>
      </c>
      <c r="D88" s="9" t="s">
        <v>838</v>
      </c>
      <c r="E88" s="22" t="n">
        <f aca="false">INDEX(in_dra_lcl_cfs_d,1,1)</f>
        <v>150</v>
      </c>
      <c r="F88" s="22" t="n">
        <f aca="false">INDEX(in_dra_lcl_cfs_d,1,2)</f>
        <v>200</v>
      </c>
      <c r="G88" s="22" t="n">
        <f aca="false">INDEX(in_dra_lcl_cfs_d,1,3)</f>
        <v>300</v>
      </c>
      <c r="H88" s="9" t="s">
        <v>287</v>
      </c>
      <c r="I88" s="16"/>
      <c r="J88" s="9" t="s">
        <v>1115</v>
      </c>
      <c r="K88" s="8" t="str">
        <f aca="false">IF(AND(J88="High",OR(H88="ASSUMED",H88="ESTIMATED",H88="UNRESOLVED")),"⚠ decision-relevant, unverified","")</f>
        <v/>
      </c>
      <c r="L88" s="16" t="s">
        <v>1181</v>
      </c>
    </row>
    <row r="89" customFormat="false" ht="15" hidden="false" customHeight="false" outlineLevel="0" collapsed="false">
      <c r="A89" s="9" t="s">
        <v>2150</v>
      </c>
      <c r="B89" s="9" t="s">
        <v>2160</v>
      </c>
      <c r="C89" s="16" t="s">
        <v>1183</v>
      </c>
      <c r="D89" s="9" t="s">
        <v>838</v>
      </c>
      <c r="E89" s="22" t="n">
        <f aca="false">INDEX(in_dra_lcl_deliv,1,1)</f>
        <v>350</v>
      </c>
      <c r="F89" s="22" t="n">
        <f aca="false">INDEX(in_dra_lcl_deliv,1,2)</f>
        <v>500</v>
      </c>
      <c r="G89" s="22" t="n">
        <f aca="false">INDEX(in_dra_lcl_deliv,1,3)</f>
        <v>700</v>
      </c>
      <c r="H89" s="9" t="s">
        <v>287</v>
      </c>
      <c r="I89" s="16"/>
      <c r="J89" s="9" t="s">
        <v>1115</v>
      </c>
      <c r="K89" s="8" t="str">
        <f aca="false">IF(AND(J89="High",OR(H89="ASSUMED",H89="ESTIMATED",H89="UNRESOLVED")),"⚠ decision-relevant, unverified","")</f>
        <v/>
      </c>
      <c r="L89" s="16"/>
    </row>
    <row r="90" customFormat="false" ht="15" hidden="false" customHeight="false" outlineLevel="0" collapsed="false">
      <c r="A90" s="9" t="s">
        <v>2161</v>
      </c>
      <c r="B90" s="9" t="s">
        <v>2162</v>
      </c>
      <c r="C90" s="16" t="s">
        <v>1615</v>
      </c>
      <c r="D90" s="9" t="s">
        <v>1616</v>
      </c>
      <c r="E90" s="47" t="n">
        <f aca="false">INDEX(in_sel_commission,1,1)</f>
        <v>0.03</v>
      </c>
      <c r="F90" s="47" t="n">
        <f aca="false">INDEX(in_sel_commission,1,2)</f>
        <v>0.05</v>
      </c>
      <c r="G90" s="47" t="n">
        <f aca="false">INDEX(in_sel_commission,1,3)</f>
        <v>0.07</v>
      </c>
      <c r="H90" s="9" t="s">
        <v>287</v>
      </c>
      <c r="I90" s="16"/>
      <c r="J90" s="9" t="s">
        <v>1101</v>
      </c>
      <c r="K90" s="8" t="str">
        <f aca="false">IF(AND(J90="High",OR(H90="ASSUMED",H90="ESTIMATED",H90="UNRESOLVED")),"⚠ decision-relevant, unverified","")</f>
        <v/>
      </c>
      <c r="L90" s="16" t="s">
        <v>1617</v>
      </c>
    </row>
    <row r="91" customFormat="false" ht="15" hidden="false" customHeight="false" outlineLevel="0" collapsed="false">
      <c r="A91" s="9" t="s">
        <v>2161</v>
      </c>
      <c r="B91" s="9" t="s">
        <v>2163</v>
      </c>
      <c r="C91" s="16" t="s">
        <v>1619</v>
      </c>
      <c r="D91" s="9" t="s">
        <v>1616</v>
      </c>
      <c r="E91" s="47" t="n">
        <f aca="false">INDEX(in_sel_processing,1,1)</f>
        <v>0</v>
      </c>
      <c r="F91" s="47" t="n">
        <f aca="false">INDEX(in_sel_processing,1,2)</f>
        <v>0.003</v>
      </c>
      <c r="G91" s="47" t="n">
        <f aca="false">INDEX(in_sel_processing,1,3)</f>
        <v>0.01</v>
      </c>
      <c r="H91" s="9" t="s">
        <v>287</v>
      </c>
      <c r="I91" s="16"/>
      <c r="J91" s="9" t="s">
        <v>1115</v>
      </c>
      <c r="K91" s="8" t="str">
        <f aca="false">IF(AND(J91="High",OR(H91="ASSUMED",H91="ESTIMATED",H91="UNRESOLVED")),"⚠ decision-relevant, unverified","")</f>
        <v/>
      </c>
      <c r="L91" s="16"/>
    </row>
    <row r="92" customFormat="false" ht="15" hidden="false" customHeight="false" outlineLevel="0" collapsed="false">
      <c r="A92" s="9" t="s">
        <v>2161</v>
      </c>
      <c r="B92" s="9" t="s">
        <v>2164</v>
      </c>
      <c r="C92" s="16" t="s">
        <v>1621</v>
      </c>
      <c r="D92" s="9" t="s">
        <v>1616</v>
      </c>
      <c r="E92" s="47" t="n">
        <f aca="false">INDEX(in_sel_bad_debt,1,1)</f>
        <v>0.0025</v>
      </c>
      <c r="F92" s="47" t="n">
        <f aca="false">INDEX(in_sel_bad_debt,1,2)</f>
        <v>0.005</v>
      </c>
      <c r="G92" s="47" t="n">
        <f aca="false">INDEX(in_sel_bad_debt,1,3)</f>
        <v>0.015</v>
      </c>
      <c r="H92" s="9" t="s">
        <v>287</v>
      </c>
      <c r="I92" s="16"/>
      <c r="J92" s="9" t="s">
        <v>1115</v>
      </c>
      <c r="K92" s="8" t="str">
        <f aca="false">IF(AND(J92="High",OR(H92="ASSUMED",H92="ESTIMATED",H92="UNRESOLVED")),"⚠ decision-relevant, unverified","")</f>
        <v/>
      </c>
      <c r="L92" s="16"/>
    </row>
    <row r="93" customFormat="false" ht="15" hidden="false" customHeight="false" outlineLevel="0" collapsed="false">
      <c r="A93" s="9" t="s">
        <v>2161</v>
      </c>
      <c r="B93" s="9" t="s">
        <v>2165</v>
      </c>
      <c r="C93" s="16" t="s">
        <v>1623</v>
      </c>
      <c r="D93" s="9" t="s">
        <v>302</v>
      </c>
      <c r="E93" s="49" t="n">
        <f aca="false">INDEX(in_sel_credit_days,1,1)</f>
        <v>30</v>
      </c>
      <c r="F93" s="49" t="n">
        <f aca="false">INDEX(in_sel_credit_days,1,2)</f>
        <v>45</v>
      </c>
      <c r="G93" s="49" t="n">
        <f aca="false">INDEX(in_sel_credit_days,1,3)</f>
        <v>60</v>
      </c>
      <c r="H93" s="9" t="s">
        <v>287</v>
      </c>
      <c r="I93" s="16"/>
      <c r="J93" s="9" t="s">
        <v>1115</v>
      </c>
      <c r="K93" s="8" t="str">
        <f aca="false">IF(AND(J93="High",OR(H93="ASSUMED",H93="ESTIMATED",H93="UNRESOLVED")),"⚠ decision-relevant, unverified","")</f>
        <v/>
      </c>
      <c r="L93" s="16"/>
    </row>
    <row r="94" customFormat="false" ht="15" hidden="false" customHeight="false" outlineLevel="0" collapsed="false">
      <c r="A94" s="9" t="s">
        <v>2161</v>
      </c>
      <c r="B94" s="9" t="s">
        <v>2166</v>
      </c>
      <c r="C94" s="16" t="s">
        <v>1625</v>
      </c>
      <c r="D94" s="9" t="s">
        <v>1626</v>
      </c>
      <c r="E94" s="47" t="n">
        <f aca="false">INDEX(in_sel_fin_rate,1,1)</f>
        <v>0.08</v>
      </c>
      <c r="F94" s="47" t="n">
        <f aca="false">INDEX(in_sel_fin_rate,1,2)</f>
        <v>0.1</v>
      </c>
      <c r="G94" s="47" t="n">
        <f aca="false">INDEX(in_sel_fin_rate,1,3)</f>
        <v>0.14</v>
      </c>
      <c r="H94" s="9" t="s">
        <v>287</v>
      </c>
      <c r="I94" s="16"/>
      <c r="J94" s="9" t="s">
        <v>1115</v>
      </c>
      <c r="K94" s="8" t="str">
        <f aca="false">IF(AND(J94="High",OR(H94="ASSUMED",H94="ESTIMATED",H94="UNRESOLVED")),"⚠ decision-relevant, unverified","")</f>
        <v/>
      </c>
      <c r="L94" s="16"/>
    </row>
    <row r="95" customFormat="false" ht="15" hidden="false" customHeight="false" outlineLevel="0" collapsed="false">
      <c r="A95" s="9" t="s">
        <v>2161</v>
      </c>
      <c r="B95" s="9" t="s">
        <v>2167</v>
      </c>
      <c r="C95" s="16" t="s">
        <v>1628</v>
      </c>
      <c r="D95" s="9" t="s">
        <v>1629</v>
      </c>
      <c r="E95" s="47" t="n">
        <f aca="false">INDEX(in_sel_damage,1,1)</f>
        <v>0.005</v>
      </c>
      <c r="F95" s="47" t="n">
        <f aca="false">INDEX(in_sel_damage,1,2)</f>
        <v>0.015</v>
      </c>
      <c r="G95" s="47" t="n">
        <f aca="false">INDEX(in_sel_damage,1,3)</f>
        <v>0.04</v>
      </c>
      <c r="H95" s="9" t="s">
        <v>287</v>
      </c>
      <c r="I95" s="16"/>
      <c r="J95" s="9" t="s">
        <v>1101</v>
      </c>
      <c r="K95" s="8" t="str">
        <f aca="false">IF(AND(J95="High",OR(H95="ASSUMED",H95="ESTIMATED",H95="UNRESOLVED")),"⚠ decision-relevant, unverified","")</f>
        <v/>
      </c>
      <c r="L95" s="16"/>
    </row>
    <row r="96" customFormat="false" ht="15" hidden="false" customHeight="false" outlineLevel="0" collapsed="false">
      <c r="A96" s="9" t="s">
        <v>2161</v>
      </c>
      <c r="B96" s="9" t="s">
        <v>2168</v>
      </c>
      <c r="C96" s="16" t="s">
        <v>1631</v>
      </c>
      <c r="D96" s="9" t="s">
        <v>838</v>
      </c>
      <c r="E96" s="22" t="n">
        <f aca="false">INDEX(in_sel_testing,1,1)</f>
        <v>1000</v>
      </c>
      <c r="F96" s="22" t="n">
        <f aca="false">INDEX(in_sel_testing,1,2)</f>
        <v>2500</v>
      </c>
      <c r="G96" s="22" t="n">
        <f aca="false">INDEX(in_sel_testing,1,3)</f>
        <v>4000</v>
      </c>
      <c r="H96" s="9" t="s">
        <v>303</v>
      </c>
      <c r="I96" s="16" t="s">
        <v>549</v>
      </c>
      <c r="J96" s="9" t="s">
        <v>1101</v>
      </c>
      <c r="K96" s="8" t="str">
        <f aca="false">IF(AND(J96="High",OR(H96="ASSUMED",H96="ESTIMATED",H96="UNRESOLVED")),"⚠ decision-relevant, unverified","")</f>
        <v/>
      </c>
      <c r="L96" s="16" t="s">
        <v>1632</v>
      </c>
    </row>
    <row r="97" customFormat="false" ht="15" hidden="false" customHeight="false" outlineLevel="0" collapsed="false">
      <c r="A97" s="9" t="s">
        <v>2161</v>
      </c>
      <c r="B97" s="9" t="s">
        <v>2169</v>
      </c>
      <c r="C97" s="16" t="s">
        <v>1634</v>
      </c>
      <c r="D97" s="9" t="s">
        <v>838</v>
      </c>
      <c r="E97" s="22" t="n">
        <f aca="false">INDEX(in_sel_admin,1,1)</f>
        <v>250</v>
      </c>
      <c r="F97" s="22" t="n">
        <f aca="false">INDEX(in_sel_admin,1,2)</f>
        <v>500</v>
      </c>
      <c r="G97" s="22" t="n">
        <f aca="false">INDEX(in_sel_admin,1,3)</f>
        <v>750</v>
      </c>
      <c r="H97" s="9" t="s">
        <v>287</v>
      </c>
      <c r="I97" s="16"/>
      <c r="J97" s="9" t="s">
        <v>1115</v>
      </c>
      <c r="K97" s="8" t="str">
        <f aca="false">IF(AND(J97="High",OR(H97="ASSUMED",H97="ESTIMATED",H97="UNRESOLVED")),"⚠ decision-relevant, unverified","")</f>
        <v/>
      </c>
      <c r="L97" s="16"/>
    </row>
    <row r="98" customFormat="false" ht="15" hidden="false" customHeight="false" outlineLevel="0" collapsed="false">
      <c r="A98" s="9" t="s">
        <v>2161</v>
      </c>
      <c r="B98" s="9" t="s">
        <v>2170</v>
      </c>
      <c r="C98" s="16" t="s">
        <v>1636</v>
      </c>
      <c r="D98" s="9" t="s">
        <v>37</v>
      </c>
      <c r="E98" s="22" t="n">
        <f aca="false">INDEX(in_sel_setup,1,1)</f>
        <v>0</v>
      </c>
      <c r="F98" s="22" t="n">
        <f aca="false">INDEX(in_sel_setup,1,2)</f>
        <v>750</v>
      </c>
      <c r="G98" s="22" t="n">
        <f aca="false">INDEX(in_sel_setup,1,3)</f>
        <v>2500</v>
      </c>
      <c r="H98" s="9" t="s">
        <v>287</v>
      </c>
      <c r="I98" s="16" t="s">
        <v>1042</v>
      </c>
      <c r="J98" s="9" t="s">
        <v>1115</v>
      </c>
      <c r="K98" s="8" t="str">
        <f aca="false">IF(AND(J98="High",OR(H98="ASSUMED",H98="ESTIMATED",H98="UNRESOLVED")),"⚠ decision-relevant, unverified","")</f>
        <v/>
      </c>
      <c r="L98" s="16" t="s">
        <v>1637</v>
      </c>
    </row>
    <row r="99" customFormat="false" ht="15" hidden="false" customHeight="false" outlineLevel="0" collapsed="false">
      <c r="A99" s="9" t="s">
        <v>1989</v>
      </c>
      <c r="B99" s="9" t="s">
        <v>2171</v>
      </c>
      <c r="C99" s="16" t="s">
        <v>1948</v>
      </c>
      <c r="D99" s="9" t="s">
        <v>27</v>
      </c>
      <c r="E99" s="22" t="n">
        <f aca="false">INDEX(in_mkt_listing_3464,1,1)</f>
        <v>0.42</v>
      </c>
      <c r="F99" s="22" t="n">
        <f aca="false">INDEX(in_mkt_listing_3464,1,2)</f>
        <v>0.39</v>
      </c>
      <c r="G99" s="22" t="n">
        <f aca="false">INDEX(in_mkt_listing_3464,1,3)</f>
        <v>0.38</v>
      </c>
      <c r="H99" s="9" t="s">
        <v>820</v>
      </c>
      <c r="I99" s="16" t="s">
        <v>1949</v>
      </c>
      <c r="J99" s="9" t="s">
        <v>1108</v>
      </c>
      <c r="K99" s="8" t="str">
        <f aca="false">IF(AND(J99="High",OR(H99="ASSUMED",H99="ESTIMATED",H99="UNRESOLVED")),"⚠ decision-relevant, unverified","")</f>
        <v/>
      </c>
      <c r="L99" s="16" t="s">
        <v>1950</v>
      </c>
    </row>
    <row r="100" customFormat="false" ht="15" hidden="false" customHeight="false" outlineLevel="0" collapsed="false">
      <c r="A100" s="9" t="s">
        <v>1989</v>
      </c>
      <c r="B100" s="9" t="s">
        <v>2172</v>
      </c>
      <c r="C100" s="16" t="s">
        <v>1952</v>
      </c>
      <c r="D100" s="9" t="s">
        <v>27</v>
      </c>
      <c r="E100" s="22" t="n">
        <f aca="false">INDEX(in_mkt_listing_3463,1,1)</f>
        <v>0.46</v>
      </c>
      <c r="F100" s="22" t="n">
        <f aca="false">INDEX(in_mkt_listing_3463,1,2)</f>
        <v>0.45</v>
      </c>
      <c r="G100" s="22" t="n">
        <f aca="false">INDEX(in_mkt_listing_3463,1,3)</f>
        <v>0.45</v>
      </c>
      <c r="H100" s="9" t="s">
        <v>820</v>
      </c>
      <c r="I100" s="16" t="s">
        <v>1867</v>
      </c>
      <c r="J100" s="9" t="s">
        <v>1108</v>
      </c>
      <c r="K100" s="8" t="str">
        <f aca="false">IF(AND(J100="High",OR(H100="ASSUMED",H100="ESTIMATED",H100="UNRESOLVED")),"⚠ decision-relevant, unverified","")</f>
        <v/>
      </c>
      <c r="L100" s="16" t="s">
        <v>1953</v>
      </c>
    </row>
    <row r="101" customFormat="false" ht="15" hidden="false" customHeight="false" outlineLevel="0" collapsed="false">
      <c r="A101" s="9" t="s">
        <v>1989</v>
      </c>
      <c r="B101" s="9" t="s">
        <v>2173</v>
      </c>
      <c r="C101" s="16" t="s">
        <v>1955</v>
      </c>
      <c r="D101" s="9" t="s">
        <v>27</v>
      </c>
      <c r="E101" s="22" t="n">
        <f aca="false">INDEX(in_mkt_listing_3460,1,1)</f>
        <v>0.32</v>
      </c>
      <c r="F101" s="22" t="n">
        <f aca="false">INDEX(in_mkt_listing_3460,1,2)</f>
        <v>0.3</v>
      </c>
      <c r="G101" s="22" t="n">
        <f aca="false">INDEX(in_mkt_listing_3460,1,3)</f>
        <v>0.3</v>
      </c>
      <c r="H101" s="9" t="s">
        <v>820</v>
      </c>
      <c r="I101" s="16" t="s">
        <v>1847</v>
      </c>
      <c r="J101" s="9" t="s">
        <v>1108</v>
      </c>
      <c r="K101" s="8" t="str">
        <f aca="false">IF(AND(J101="High",OR(H101="ASSUMED",H101="ESTIMATED",H101="UNRESOLVED")),"⚠ decision-relevant, unverified","")</f>
        <v/>
      </c>
      <c r="L101" s="16" t="s">
        <v>1956</v>
      </c>
    </row>
    <row r="102" customFormat="false" ht="15" hidden="false" customHeight="false" outlineLevel="0" collapsed="false">
      <c r="A102" s="9" t="s">
        <v>1989</v>
      </c>
      <c r="B102" s="9" t="s">
        <v>2174</v>
      </c>
      <c r="C102" s="16" t="s">
        <v>1958</v>
      </c>
      <c r="D102" s="9" t="s">
        <v>41</v>
      </c>
      <c r="E102" s="47" t="n">
        <f aca="false">INDEX(in_mkt_eflute_disc,1,1)</f>
        <v>0.15</v>
      </c>
      <c r="F102" s="47" t="n">
        <f aca="false">INDEX(in_mkt_eflute_disc,1,2)</f>
        <v>0.2</v>
      </c>
      <c r="G102" s="47" t="n">
        <f aca="false">INDEX(in_mkt_eflute_disc,1,3)</f>
        <v>0.25</v>
      </c>
      <c r="H102" s="9" t="s">
        <v>1959</v>
      </c>
      <c r="I102" s="16" t="s">
        <v>1960</v>
      </c>
      <c r="J102" s="9" t="s">
        <v>1108</v>
      </c>
      <c r="K102" s="8" t="str">
        <f aca="false">IF(AND(J102="High",OR(H102="ASSUMED",H102="ESTIMATED",H102="UNRESOLVED")),"⚠ decision-relevant, unverified","")</f>
        <v/>
      </c>
      <c r="L102" s="16" t="s">
        <v>1961</v>
      </c>
    </row>
    <row r="103" customFormat="false" ht="15" hidden="false" customHeight="false" outlineLevel="0" collapsed="false">
      <c r="A103" s="9" t="s">
        <v>1989</v>
      </c>
      <c r="B103" s="9" t="s">
        <v>2175</v>
      </c>
      <c r="C103" s="16" t="s">
        <v>1963</v>
      </c>
      <c r="D103" s="9" t="s">
        <v>41</v>
      </c>
      <c r="E103" s="47" t="n">
        <f aca="false">INDEX(in_mkt_dist_margin,1,1)</f>
        <v>0.2</v>
      </c>
      <c r="F103" s="47" t="n">
        <f aca="false">INDEX(in_mkt_dist_margin,1,2)</f>
        <v>0.25</v>
      </c>
      <c r="G103" s="47" t="n">
        <f aca="false">INDEX(in_mkt_dist_margin,1,3)</f>
        <v>0.3</v>
      </c>
      <c r="H103" s="9" t="s">
        <v>287</v>
      </c>
      <c r="I103" s="16" t="s">
        <v>1964</v>
      </c>
      <c r="J103" s="9" t="s">
        <v>1108</v>
      </c>
      <c r="K103" s="8" t="str">
        <f aca="false">IF(AND(J103="High",OR(H103="ASSUMED",H103="ESTIMATED",H103="UNRESOLVED")),"⚠ decision-relevant, unverified","")</f>
        <v>⚠ decision-relevant, unverified</v>
      </c>
      <c r="L103" s="16" t="s">
        <v>1965</v>
      </c>
    </row>
    <row r="104" customFormat="false" ht="23.85" hidden="false" customHeight="false" outlineLevel="0" collapsed="false">
      <c r="A104" s="9" t="s">
        <v>2150</v>
      </c>
      <c r="B104" s="9" t="s">
        <v>2176</v>
      </c>
      <c r="C104" s="16" t="s">
        <v>2177</v>
      </c>
      <c r="D104" s="9" t="s">
        <v>37</v>
      </c>
      <c r="E104" s="66" t="n">
        <v>500</v>
      </c>
      <c r="F104" s="66" t="n">
        <v>650</v>
      </c>
      <c r="G104" s="66" t="n">
        <v>800</v>
      </c>
      <c r="H104" s="9" t="s">
        <v>303</v>
      </c>
      <c r="I104" s="9" t="s">
        <v>2178</v>
      </c>
      <c r="J104" s="9" t="s">
        <v>1108</v>
      </c>
      <c r="K104" s="8" t="str">
        <f aca="false">IF(AND(J104="High",OR(H104="ASSUMED",H104="ESTIMATED",H104="UNRESOLVED")),"⚠ decision-relevant, unverified","")</f>
        <v>⚠ decision-relevant, unverified</v>
      </c>
      <c r="L104" s="9" t="s">
        <v>2179</v>
      </c>
    </row>
    <row r="105" customFormat="false" ht="23.85" hidden="false" customHeight="false" outlineLevel="0" collapsed="false">
      <c r="A105" s="9" t="s">
        <v>2150</v>
      </c>
      <c r="B105" s="9" t="s">
        <v>2180</v>
      </c>
      <c r="C105" s="16" t="s">
        <v>2181</v>
      </c>
      <c r="D105" s="9" t="s">
        <v>37</v>
      </c>
      <c r="E105" s="66" t="n">
        <v>30</v>
      </c>
      <c r="F105" s="66" t="n">
        <v>40</v>
      </c>
      <c r="G105" s="66" t="n">
        <v>50</v>
      </c>
      <c r="H105" s="9" t="s">
        <v>303</v>
      </c>
      <c r="I105" s="9" t="s">
        <v>2178</v>
      </c>
      <c r="J105" s="9" t="s">
        <v>1115</v>
      </c>
      <c r="K105" s="8" t="str">
        <f aca="false">IF(AND(J105="High",OR(H105="ASSUMED",H105="ESTIMATED",H105="UNRESOLVED")),"⚠ decision-relevant, unverified","")</f>
        <v/>
      </c>
      <c r="L105" s="9" t="s">
        <v>2179</v>
      </c>
    </row>
    <row r="106" customFormat="false" ht="23.85" hidden="false" customHeight="false" outlineLevel="0" collapsed="false">
      <c r="A106" s="9" t="s">
        <v>2150</v>
      </c>
      <c r="B106" s="9" t="s">
        <v>2182</v>
      </c>
      <c r="C106" s="16" t="s">
        <v>2183</v>
      </c>
      <c r="D106" s="9" t="s">
        <v>37</v>
      </c>
      <c r="E106" s="66" t="n">
        <v>28</v>
      </c>
      <c r="F106" s="66" t="n">
        <v>35</v>
      </c>
      <c r="G106" s="66" t="n">
        <v>45</v>
      </c>
      <c r="H106" s="9" t="s">
        <v>303</v>
      </c>
      <c r="I106" s="9" t="s">
        <v>2178</v>
      </c>
      <c r="J106" s="9" t="s">
        <v>1115</v>
      </c>
      <c r="K106" s="8" t="str">
        <f aca="false">IF(AND(J106="High",OR(H106="ASSUMED",H106="ESTIMATED",H106="UNRESOLVED")),"⚠ decision-relevant, unverified","")</f>
        <v/>
      </c>
      <c r="L106" s="9" t="s">
        <v>2179</v>
      </c>
    </row>
    <row r="107" customFormat="false" ht="23.85" hidden="false" customHeight="false" outlineLevel="0" collapsed="false">
      <c r="A107" s="9" t="s">
        <v>2150</v>
      </c>
      <c r="B107" s="9" t="s">
        <v>2184</v>
      </c>
      <c r="C107" s="16" t="s">
        <v>2185</v>
      </c>
      <c r="D107" s="9" t="s">
        <v>37</v>
      </c>
      <c r="E107" s="66" t="n">
        <v>600</v>
      </c>
      <c r="F107" s="66" t="n">
        <v>800</v>
      </c>
      <c r="G107" s="66" t="n">
        <v>1000</v>
      </c>
      <c r="H107" s="9" t="s">
        <v>303</v>
      </c>
      <c r="I107" s="9" t="s">
        <v>2178</v>
      </c>
      <c r="J107" s="9" t="s">
        <v>1108</v>
      </c>
      <c r="K107" s="8" t="str">
        <f aca="false">IF(AND(J107="High",OR(H107="ASSUMED",H107="ESTIMATED",H107="UNRESOLVED")),"⚠ decision-relevant, unverified","")</f>
        <v>⚠ decision-relevant, unverified</v>
      </c>
      <c r="L107" s="9" t="s">
        <v>2179</v>
      </c>
    </row>
    <row r="108" customFormat="false" ht="23.85" hidden="false" customHeight="false" outlineLevel="0" collapsed="false">
      <c r="A108" s="9" t="s">
        <v>2150</v>
      </c>
      <c r="B108" s="9" t="s">
        <v>2186</v>
      </c>
      <c r="C108" s="16" t="s">
        <v>2187</v>
      </c>
      <c r="D108" s="9" t="s">
        <v>37</v>
      </c>
      <c r="E108" s="66" t="n">
        <v>120</v>
      </c>
      <c r="F108" s="66" t="n">
        <v>150</v>
      </c>
      <c r="G108" s="66" t="n">
        <v>180</v>
      </c>
      <c r="H108" s="9" t="s">
        <v>303</v>
      </c>
      <c r="I108" s="9" t="s">
        <v>2178</v>
      </c>
      <c r="J108" s="9" t="s">
        <v>1115</v>
      </c>
      <c r="K108" s="8" t="str">
        <f aca="false">IF(AND(J108="High",OR(H108="ASSUMED",H108="ESTIMATED",H108="UNRESOLVED")),"⚠ decision-relevant, unverified","")</f>
        <v/>
      </c>
      <c r="L108" s="9" t="s">
        <v>2179</v>
      </c>
    </row>
    <row r="109" customFormat="false" ht="23.85" hidden="false" customHeight="false" outlineLevel="0" collapsed="false">
      <c r="A109" s="9" t="s">
        <v>2150</v>
      </c>
      <c r="B109" s="9" t="s">
        <v>2188</v>
      </c>
      <c r="C109" s="16" t="s">
        <v>2189</v>
      </c>
      <c r="D109" s="9" t="s">
        <v>37</v>
      </c>
      <c r="E109" s="66" t="n">
        <v>28</v>
      </c>
      <c r="F109" s="66" t="n">
        <v>35</v>
      </c>
      <c r="G109" s="66" t="n">
        <v>45</v>
      </c>
      <c r="H109" s="9" t="s">
        <v>303</v>
      </c>
      <c r="I109" s="9" t="s">
        <v>2178</v>
      </c>
      <c r="J109" s="9" t="s">
        <v>1115</v>
      </c>
      <c r="K109" s="8" t="str">
        <f aca="false">IF(AND(J109="High",OR(H109="ASSUMED",H109="ESTIMATED",H109="UNRESOLVED")),"⚠ decision-relevant, unverified","")</f>
        <v/>
      </c>
      <c r="L109" s="9" t="s">
        <v>2179</v>
      </c>
    </row>
    <row r="110" customFormat="false" ht="23.85" hidden="false" customHeight="false" outlineLevel="0" collapsed="false">
      <c r="A110" s="9" t="s">
        <v>2150</v>
      </c>
      <c r="B110" s="9" t="s">
        <v>2190</v>
      </c>
      <c r="C110" s="16" t="s">
        <v>2191</v>
      </c>
      <c r="D110" s="9" t="s">
        <v>37</v>
      </c>
      <c r="E110" s="66" t="n">
        <v>450</v>
      </c>
      <c r="F110" s="66" t="n">
        <v>550</v>
      </c>
      <c r="G110" s="66" t="n">
        <v>700</v>
      </c>
      <c r="H110" s="9" t="s">
        <v>303</v>
      </c>
      <c r="I110" s="9" t="s">
        <v>2178</v>
      </c>
      <c r="J110" s="9" t="s">
        <v>1108</v>
      </c>
      <c r="K110" s="8" t="str">
        <f aca="false">IF(AND(J110="High",OR(H110="ASSUMED",H110="ESTIMATED",H110="UNRESOLVED")),"⚠ decision-relevant, unverified","")</f>
        <v>⚠ decision-relevant, unverified</v>
      </c>
      <c r="L110" s="9" t="s">
        <v>2179</v>
      </c>
    </row>
    <row r="111" customFormat="false" ht="23.85" hidden="false" customHeight="false" outlineLevel="0" collapsed="false">
      <c r="A111" s="9" t="s">
        <v>2150</v>
      </c>
      <c r="B111" s="9" t="s">
        <v>2192</v>
      </c>
      <c r="C111" s="16" t="s">
        <v>2193</v>
      </c>
      <c r="D111" s="9" t="s">
        <v>37</v>
      </c>
      <c r="E111" s="66" t="n">
        <v>0</v>
      </c>
      <c r="F111" s="66" t="n">
        <v>10</v>
      </c>
      <c r="G111" s="66" t="n">
        <v>20</v>
      </c>
      <c r="H111" s="9" t="s">
        <v>303</v>
      </c>
      <c r="I111" s="9" t="s">
        <v>2178</v>
      </c>
      <c r="J111" s="9" t="s">
        <v>1115</v>
      </c>
      <c r="K111" s="8" t="str">
        <f aca="false">IF(AND(J111="High",OR(H111="ASSUMED",H111="ESTIMATED",H111="UNRESOLVED")),"⚠ decision-relevant, unverified","")</f>
        <v/>
      </c>
      <c r="L111" s="9" t="s">
        <v>2179</v>
      </c>
    </row>
    <row r="112" customFormat="false" ht="23.85" hidden="false" customHeight="false" outlineLevel="0" collapsed="false">
      <c r="A112" s="9" t="s">
        <v>2150</v>
      </c>
      <c r="B112" s="9" t="s">
        <v>2194</v>
      </c>
      <c r="C112" s="16" t="s">
        <v>2195</v>
      </c>
      <c r="D112" s="9" t="s">
        <v>37</v>
      </c>
      <c r="E112" s="66" t="n">
        <v>25</v>
      </c>
      <c r="F112" s="66" t="n">
        <v>32</v>
      </c>
      <c r="G112" s="66" t="n">
        <v>40</v>
      </c>
      <c r="H112" s="9" t="s">
        <v>303</v>
      </c>
      <c r="I112" s="9" t="s">
        <v>2178</v>
      </c>
      <c r="J112" s="9" t="s">
        <v>1115</v>
      </c>
      <c r="K112" s="8" t="str">
        <f aca="false">IF(AND(J112="High",OR(H112="ASSUMED",H112="ESTIMATED",H112="UNRESOLVED")),"⚠ decision-relevant, unverified","")</f>
        <v/>
      </c>
      <c r="L112" s="9" t="s">
        <v>2179</v>
      </c>
    </row>
    <row r="113" customFormat="false" ht="23.85" hidden="false" customHeight="false" outlineLevel="0" collapsed="false">
      <c r="A113" s="9" t="s">
        <v>2150</v>
      </c>
      <c r="B113" s="9" t="s">
        <v>2196</v>
      </c>
      <c r="C113" s="16" t="s">
        <v>2197</v>
      </c>
      <c r="D113" s="9" t="s">
        <v>37</v>
      </c>
      <c r="E113" s="66" t="n">
        <v>850</v>
      </c>
      <c r="F113" s="66" t="n">
        <v>1050</v>
      </c>
      <c r="G113" s="66" t="n">
        <v>1300</v>
      </c>
      <c r="H113" s="9" t="s">
        <v>303</v>
      </c>
      <c r="I113" s="9" t="s">
        <v>2178</v>
      </c>
      <c r="J113" s="9" t="s">
        <v>1108</v>
      </c>
      <c r="K113" s="8" t="str">
        <f aca="false">IF(AND(J113="High",OR(H113="ASSUMED",H113="ESTIMATED",H113="UNRESOLVED")),"⚠ decision-relevant, unverified","")</f>
        <v>⚠ decision-relevant, unverified</v>
      </c>
      <c r="L113" s="9" t="s">
        <v>2179</v>
      </c>
    </row>
    <row r="114" customFormat="false" ht="23.85" hidden="false" customHeight="false" outlineLevel="0" collapsed="false">
      <c r="A114" s="9" t="s">
        <v>2150</v>
      </c>
      <c r="B114" s="9" t="s">
        <v>2198</v>
      </c>
      <c r="C114" s="16" t="s">
        <v>2199</v>
      </c>
      <c r="D114" s="9" t="s">
        <v>37</v>
      </c>
      <c r="E114" s="66" t="n">
        <v>0</v>
      </c>
      <c r="F114" s="66" t="n">
        <v>10</v>
      </c>
      <c r="G114" s="66" t="n">
        <v>20</v>
      </c>
      <c r="H114" s="9" t="s">
        <v>303</v>
      </c>
      <c r="I114" s="9" t="s">
        <v>2178</v>
      </c>
      <c r="J114" s="9" t="s">
        <v>1115</v>
      </c>
      <c r="K114" s="8" t="str">
        <f aca="false">IF(AND(J114="High",OR(H114="ASSUMED",H114="ESTIMATED",H114="UNRESOLVED")),"⚠ decision-relevant, unverified","")</f>
        <v/>
      </c>
      <c r="L114" s="9" t="s">
        <v>2179</v>
      </c>
    </row>
    <row r="115" customFormat="false" ht="23.85" hidden="false" customHeight="false" outlineLevel="0" collapsed="false">
      <c r="A115" s="9" t="s">
        <v>2150</v>
      </c>
      <c r="B115" s="9" t="s">
        <v>2200</v>
      </c>
      <c r="C115" s="16" t="s">
        <v>2201</v>
      </c>
      <c r="D115" s="9" t="s">
        <v>37</v>
      </c>
      <c r="E115" s="66" t="n">
        <v>25</v>
      </c>
      <c r="F115" s="66" t="n">
        <v>32</v>
      </c>
      <c r="G115" s="66" t="n">
        <v>40</v>
      </c>
      <c r="H115" s="9" t="s">
        <v>303</v>
      </c>
      <c r="I115" s="9" t="s">
        <v>2178</v>
      </c>
      <c r="J115" s="9" t="s">
        <v>1115</v>
      </c>
      <c r="K115" s="8" t="str">
        <f aca="false">IF(AND(J115="High",OR(H115="ASSUMED",H115="ESTIMATED",H115="UNRESOLVED")),"⚠ decision-relevant, unverified","")</f>
        <v/>
      </c>
      <c r="L115" s="9" t="s">
        <v>2179</v>
      </c>
    </row>
    <row r="116" customFormat="false" ht="23.85" hidden="false" customHeight="false" outlineLevel="0" collapsed="false">
      <c r="A116" s="9" t="s">
        <v>2150</v>
      </c>
      <c r="B116" s="9" t="s">
        <v>2202</v>
      </c>
      <c r="C116" s="16" t="s">
        <v>2203</v>
      </c>
      <c r="D116" s="9" t="s">
        <v>37</v>
      </c>
      <c r="E116" s="66" t="n">
        <v>1200</v>
      </c>
      <c r="F116" s="66" t="n">
        <v>1450</v>
      </c>
      <c r="G116" s="66" t="n">
        <v>1800</v>
      </c>
      <c r="H116" s="9" t="s">
        <v>303</v>
      </c>
      <c r="I116" s="9" t="s">
        <v>2178</v>
      </c>
      <c r="J116" s="9" t="s">
        <v>1108</v>
      </c>
      <c r="K116" s="8" t="str">
        <f aca="false">IF(AND(J116="High",OR(H116="ASSUMED",H116="ESTIMATED",H116="UNRESOLVED")),"⚠ decision-relevant, unverified","")</f>
        <v>⚠ decision-relevant, unverified</v>
      </c>
      <c r="L116" s="9" t="s">
        <v>2179</v>
      </c>
    </row>
    <row r="117" customFormat="false" ht="23.85" hidden="false" customHeight="false" outlineLevel="0" collapsed="false">
      <c r="A117" s="9" t="s">
        <v>2150</v>
      </c>
      <c r="B117" s="9" t="s">
        <v>2204</v>
      </c>
      <c r="C117" s="16" t="s">
        <v>2205</v>
      </c>
      <c r="D117" s="9" t="s">
        <v>37</v>
      </c>
      <c r="E117" s="66" t="n">
        <v>0</v>
      </c>
      <c r="F117" s="66" t="n">
        <v>0</v>
      </c>
      <c r="G117" s="66" t="n">
        <v>20</v>
      </c>
      <c r="H117" s="9" t="s">
        <v>303</v>
      </c>
      <c r="I117" s="9" t="s">
        <v>2178</v>
      </c>
      <c r="J117" s="9" t="s">
        <v>1115</v>
      </c>
      <c r="K117" s="8" t="str">
        <f aca="false">IF(AND(J117="High",OR(H117="ASSUMED",H117="ESTIMATED",H117="UNRESOLVED")),"⚠ decision-relevant, unverified","")</f>
        <v/>
      </c>
      <c r="L117" s="9" t="s">
        <v>2179</v>
      </c>
    </row>
    <row r="118" customFormat="false" ht="23.85" hidden="false" customHeight="false" outlineLevel="0" collapsed="false">
      <c r="A118" s="9" t="s">
        <v>2150</v>
      </c>
      <c r="B118" s="9" t="s">
        <v>2206</v>
      </c>
      <c r="C118" s="16" t="s">
        <v>2207</v>
      </c>
      <c r="D118" s="9" t="s">
        <v>37</v>
      </c>
      <c r="E118" s="66" t="n">
        <v>22</v>
      </c>
      <c r="F118" s="66" t="n">
        <v>30</v>
      </c>
      <c r="G118" s="66" t="n">
        <v>38</v>
      </c>
      <c r="H118" s="9" t="s">
        <v>303</v>
      </c>
      <c r="I118" s="9" t="s">
        <v>2178</v>
      </c>
      <c r="J118" s="9" t="s">
        <v>1115</v>
      </c>
      <c r="K118" s="8" t="str">
        <f aca="false">IF(AND(J118="High",OR(H118="ASSUMED",H118="ESTIMATED",H118="UNRESOLVED")),"⚠ decision-relevant, unverified","")</f>
        <v/>
      </c>
      <c r="L118" s="9" t="s">
        <v>2179</v>
      </c>
    </row>
  </sheetData>
  <conditionalFormatting sqref="H5:H118">
    <cfRule type="expression" priority="2" aboveAverage="0" equalAverage="0" bottom="0" percent="0" rank="0" text="" dxfId="0">
      <formula>LEFT(H5,8)="VERIFIED"</formula>
    </cfRule>
    <cfRule type="expression" priority="3" aboveAverage="0" equalAverage="0" bottom="0" percent="0" rank="0" text="" dxfId="2">
      <formula>OR(H5="ESTIMATED",H5="CALCULATED")</formula>
    </cfRule>
    <cfRule type="expression" priority="4" aboveAverage="0" equalAverage="0" bottom="0" percent="0" rank="0" text="" dxfId="1">
      <formula>OR(H5="ASSUMED",H5="UNRESOLVED",H5="UNVERIFIED")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M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0"/>
    <col collapsed="false" customWidth="true" hidden="false" outlineLevel="0" max="3" min="3" style="0" width="26"/>
    <col collapsed="false" customWidth="true" hidden="false" outlineLevel="0" max="4" min="4" style="0" width="45"/>
    <col collapsed="false" customWidth="true" hidden="false" outlineLevel="0" max="5" min="5" style="0" width="14"/>
    <col collapsed="false" customWidth="true" hidden="false" outlineLevel="0" max="6" min="6" style="0" width="11"/>
    <col collapsed="false" customWidth="true" hidden="false" outlineLevel="0" max="7" min="7" style="0" width="30"/>
    <col collapsed="false" customWidth="true" hidden="false" outlineLevel="0" max="8" min="8" style="0" width="60"/>
    <col collapsed="false" customWidth="true" hidden="false" outlineLevel="0" max="9" min="9" style="0" width="50"/>
    <col collapsed="false" customWidth="true" hidden="false" outlineLevel="0" max="10" min="10" style="0" width="18"/>
    <col collapsed="false" customWidth="true" hidden="false" outlineLevel="0" max="11" min="11" style="0" width="22"/>
    <col collapsed="false" customWidth="true" hidden="false" outlineLevel="0" max="12" min="12" style="0" width="16"/>
    <col collapsed="false" customWidth="true" hidden="false" outlineLevel="0" max="13" min="13" style="0" width="40"/>
  </cols>
  <sheetData>
    <row r="1" customFormat="false" ht="18.55" hidden="false" customHeight="false" outlineLevel="0" collapsed="false">
      <c r="A1" s="1" t="s">
        <v>2208</v>
      </c>
    </row>
    <row r="2" customFormat="false" ht="15" hidden="false" customHeight="false" outlineLevel="0" collapsed="false">
      <c r="A2" s="2" t="s">
        <v>2209</v>
      </c>
    </row>
    <row r="4" customFormat="false" ht="15" hidden="false" customHeight="false" outlineLevel="0" collapsed="false">
      <c r="A4" s="13" t="s">
        <v>279</v>
      </c>
      <c r="B4" s="13" t="s">
        <v>2210</v>
      </c>
      <c r="C4" s="13" t="s">
        <v>2211</v>
      </c>
      <c r="D4" s="13" t="s">
        <v>2212</v>
      </c>
      <c r="E4" s="13" t="s">
        <v>2213</v>
      </c>
      <c r="F4" s="13" t="s">
        <v>2214</v>
      </c>
      <c r="G4" s="13" t="s">
        <v>2215</v>
      </c>
      <c r="H4" s="13" t="s">
        <v>2216</v>
      </c>
      <c r="I4" s="13" t="s">
        <v>2217</v>
      </c>
      <c r="J4" s="13" t="s">
        <v>2218</v>
      </c>
      <c r="K4" s="13" t="s">
        <v>2219</v>
      </c>
      <c r="L4" s="13" t="s">
        <v>1218</v>
      </c>
      <c r="M4" s="13" t="s">
        <v>2220</v>
      </c>
    </row>
    <row r="5" customFormat="false" ht="60" hidden="false" customHeight="true" outlineLevel="0" collapsed="false">
      <c r="A5" s="16" t="s">
        <v>308</v>
      </c>
      <c r="B5" s="16" t="s">
        <v>2221</v>
      </c>
      <c r="C5" s="16" t="s">
        <v>2222</v>
      </c>
      <c r="D5" s="16" t="s">
        <v>2223</v>
      </c>
      <c r="E5" s="16" t="s">
        <v>2224</v>
      </c>
      <c r="F5" s="16" t="s">
        <v>609</v>
      </c>
      <c r="G5" s="16" t="s">
        <v>2225</v>
      </c>
      <c r="H5" s="16" t="s">
        <v>2226</v>
      </c>
      <c r="I5" s="16" t="s">
        <v>2227</v>
      </c>
      <c r="J5" s="16" t="s">
        <v>2228</v>
      </c>
      <c r="K5" s="16" t="s">
        <v>292</v>
      </c>
      <c r="L5" s="16" t="s">
        <v>2229</v>
      </c>
      <c r="M5" s="16" t="s">
        <v>2230</v>
      </c>
    </row>
    <row r="6" customFormat="false" ht="60" hidden="false" customHeight="true" outlineLevel="0" collapsed="false">
      <c r="A6" s="16" t="s">
        <v>2231</v>
      </c>
      <c r="B6" s="16" t="s">
        <v>2232</v>
      </c>
      <c r="C6" s="16" t="s">
        <v>2233</v>
      </c>
      <c r="D6" s="16" t="s">
        <v>2234</v>
      </c>
      <c r="E6" s="16" t="s">
        <v>2235</v>
      </c>
      <c r="F6" s="16" t="s">
        <v>609</v>
      </c>
      <c r="G6" s="16" t="s">
        <v>2236</v>
      </c>
      <c r="H6" s="16" t="s">
        <v>2237</v>
      </c>
      <c r="I6" s="16" t="s">
        <v>2238</v>
      </c>
      <c r="J6" s="16" t="s">
        <v>2239</v>
      </c>
      <c r="K6" s="16" t="s">
        <v>576</v>
      </c>
      <c r="L6" s="16" t="s">
        <v>2240</v>
      </c>
      <c r="M6" s="16" t="s">
        <v>2241</v>
      </c>
    </row>
    <row r="7" customFormat="false" ht="60" hidden="false" customHeight="true" outlineLevel="0" collapsed="false">
      <c r="A7" s="16" t="s">
        <v>2242</v>
      </c>
      <c r="B7" s="16" t="s">
        <v>2243</v>
      </c>
      <c r="C7" s="16" t="s">
        <v>2244</v>
      </c>
      <c r="D7" s="16" t="s">
        <v>2245</v>
      </c>
      <c r="E7" s="16" t="s">
        <v>2246</v>
      </c>
      <c r="F7" s="16" t="s">
        <v>609</v>
      </c>
      <c r="G7" s="16" t="s">
        <v>2236</v>
      </c>
      <c r="H7" s="16" t="s">
        <v>2247</v>
      </c>
      <c r="I7" s="16" t="s">
        <v>2248</v>
      </c>
      <c r="J7" s="16" t="s">
        <v>2228</v>
      </c>
      <c r="K7" s="16" t="s">
        <v>576</v>
      </c>
      <c r="L7" s="16" t="s">
        <v>2240</v>
      </c>
      <c r="M7" s="16" t="s">
        <v>2249</v>
      </c>
    </row>
    <row r="8" customFormat="false" ht="60" hidden="false" customHeight="true" outlineLevel="0" collapsed="false">
      <c r="A8" s="16" t="s">
        <v>2250</v>
      </c>
      <c r="B8" s="16" t="s">
        <v>2251</v>
      </c>
      <c r="C8" s="16" t="s">
        <v>2244</v>
      </c>
      <c r="D8" s="16" t="s">
        <v>2252</v>
      </c>
      <c r="E8" s="16" t="s">
        <v>2253</v>
      </c>
      <c r="F8" s="16" t="s">
        <v>609</v>
      </c>
      <c r="G8" s="16" t="s">
        <v>2236</v>
      </c>
      <c r="H8" s="16" t="s">
        <v>2254</v>
      </c>
      <c r="I8" s="16" t="s">
        <v>2255</v>
      </c>
      <c r="J8" s="16" t="s">
        <v>2228</v>
      </c>
      <c r="K8" s="16" t="s">
        <v>576</v>
      </c>
      <c r="L8" s="16" t="s">
        <v>1101</v>
      </c>
      <c r="M8" s="16" t="s">
        <v>2256</v>
      </c>
    </row>
    <row r="9" customFormat="false" ht="60" hidden="false" customHeight="true" outlineLevel="0" collapsed="false">
      <c r="A9" s="16" t="s">
        <v>1232</v>
      </c>
      <c r="B9" s="16" t="s">
        <v>2257</v>
      </c>
      <c r="C9" s="16" t="s">
        <v>2258</v>
      </c>
      <c r="D9" s="16" t="s">
        <v>2259</v>
      </c>
      <c r="E9" s="16" t="s">
        <v>2260</v>
      </c>
      <c r="F9" s="16" t="s">
        <v>609</v>
      </c>
      <c r="G9" s="16" t="s">
        <v>2236</v>
      </c>
      <c r="H9" s="16" t="s">
        <v>2261</v>
      </c>
      <c r="I9" s="16" t="s">
        <v>2262</v>
      </c>
      <c r="J9" s="16" t="s">
        <v>2263</v>
      </c>
      <c r="K9" s="16" t="s">
        <v>820</v>
      </c>
      <c r="L9" s="16" t="s">
        <v>1101</v>
      </c>
      <c r="M9" s="16" t="s">
        <v>2264</v>
      </c>
    </row>
    <row r="10" customFormat="false" ht="60" hidden="false" customHeight="true" outlineLevel="0" collapsed="false">
      <c r="A10" s="16" t="s">
        <v>2265</v>
      </c>
      <c r="B10" s="16" t="s">
        <v>2266</v>
      </c>
      <c r="C10" s="16" t="s">
        <v>2267</v>
      </c>
      <c r="D10" s="16" t="s">
        <v>2268</v>
      </c>
      <c r="E10" s="16" t="s">
        <v>2269</v>
      </c>
      <c r="F10" s="16" t="s">
        <v>609</v>
      </c>
      <c r="G10" s="16" t="s">
        <v>2236</v>
      </c>
      <c r="H10" s="16" t="s">
        <v>2270</v>
      </c>
      <c r="I10" s="16" t="s">
        <v>2271</v>
      </c>
      <c r="J10" s="16" t="s">
        <v>2228</v>
      </c>
      <c r="K10" s="16" t="s">
        <v>576</v>
      </c>
      <c r="L10" s="16" t="s">
        <v>2272</v>
      </c>
      <c r="M10" s="16" t="s">
        <v>2273</v>
      </c>
    </row>
    <row r="11" customFormat="false" ht="60" hidden="false" customHeight="true" outlineLevel="0" collapsed="false">
      <c r="A11" s="16" t="s">
        <v>2274</v>
      </c>
      <c r="B11" s="16" t="s">
        <v>2275</v>
      </c>
      <c r="C11" s="16" t="s">
        <v>2276</v>
      </c>
      <c r="D11" s="16" t="s">
        <v>2277</v>
      </c>
      <c r="E11" s="16" t="s">
        <v>2235</v>
      </c>
      <c r="F11" s="16" t="s">
        <v>609</v>
      </c>
      <c r="G11" s="16" t="s">
        <v>2236</v>
      </c>
      <c r="H11" s="16" t="s">
        <v>2278</v>
      </c>
      <c r="I11" s="16" t="s">
        <v>2279</v>
      </c>
      <c r="J11" s="16" t="s">
        <v>2228</v>
      </c>
      <c r="K11" s="16" t="s">
        <v>576</v>
      </c>
      <c r="L11" s="16" t="s">
        <v>1108</v>
      </c>
      <c r="M11" s="16" t="s">
        <v>2280</v>
      </c>
    </row>
    <row r="12" customFormat="false" ht="60" hidden="false" customHeight="true" outlineLevel="0" collapsed="false">
      <c r="A12" s="16" t="s">
        <v>2281</v>
      </c>
      <c r="B12" s="16" t="s">
        <v>2282</v>
      </c>
      <c r="C12" s="16" t="s">
        <v>2283</v>
      </c>
      <c r="D12" s="16" t="s">
        <v>2284</v>
      </c>
      <c r="E12" s="16" t="s">
        <v>2269</v>
      </c>
      <c r="F12" s="16" t="s">
        <v>609</v>
      </c>
      <c r="G12" s="16" t="s">
        <v>2236</v>
      </c>
      <c r="H12" s="16" t="s">
        <v>2285</v>
      </c>
      <c r="I12" s="16" t="s">
        <v>2286</v>
      </c>
      <c r="J12" s="16" t="s">
        <v>2228</v>
      </c>
      <c r="K12" s="16" t="s">
        <v>576</v>
      </c>
      <c r="L12" s="16" t="s">
        <v>2240</v>
      </c>
      <c r="M12" s="16" t="s">
        <v>2287</v>
      </c>
    </row>
    <row r="13" customFormat="false" ht="60" hidden="false" customHeight="true" outlineLevel="0" collapsed="false">
      <c r="A13" s="16" t="s">
        <v>2288</v>
      </c>
      <c r="B13" s="16" t="s">
        <v>2289</v>
      </c>
      <c r="C13" s="16" t="s">
        <v>2290</v>
      </c>
      <c r="D13" s="16" t="s">
        <v>2291</v>
      </c>
      <c r="E13" s="16" t="s">
        <v>2292</v>
      </c>
      <c r="F13" s="16" t="s">
        <v>609</v>
      </c>
      <c r="G13" s="16" t="s">
        <v>2236</v>
      </c>
      <c r="H13" s="16" t="s">
        <v>2293</v>
      </c>
      <c r="I13" s="16" t="s">
        <v>2294</v>
      </c>
      <c r="J13" s="16" t="s">
        <v>2263</v>
      </c>
      <c r="K13" s="16" t="s">
        <v>820</v>
      </c>
      <c r="L13" s="16" t="s">
        <v>1101</v>
      </c>
      <c r="M13" s="16" t="s">
        <v>2295</v>
      </c>
    </row>
    <row r="14" customFormat="false" ht="60" hidden="false" customHeight="true" outlineLevel="0" collapsed="false">
      <c r="A14" s="16" t="s">
        <v>2296</v>
      </c>
      <c r="B14" s="16" t="s">
        <v>2297</v>
      </c>
      <c r="C14" s="16" t="s">
        <v>2298</v>
      </c>
      <c r="D14" s="16" t="s">
        <v>2299</v>
      </c>
      <c r="E14" s="16" t="s">
        <v>2292</v>
      </c>
      <c r="F14" s="16" t="s">
        <v>609</v>
      </c>
      <c r="G14" s="16" t="s">
        <v>2236</v>
      </c>
      <c r="H14" s="16" t="s">
        <v>2300</v>
      </c>
      <c r="I14" s="16" t="s">
        <v>2301</v>
      </c>
      <c r="J14" s="16" t="s">
        <v>2263</v>
      </c>
      <c r="K14" s="16" t="s">
        <v>820</v>
      </c>
      <c r="L14" s="16" t="s">
        <v>1101</v>
      </c>
      <c r="M14" s="16" t="s">
        <v>2302</v>
      </c>
    </row>
    <row r="15" customFormat="false" ht="60" hidden="false" customHeight="true" outlineLevel="0" collapsed="false">
      <c r="A15" s="16" t="s">
        <v>2303</v>
      </c>
      <c r="B15" s="16" t="s">
        <v>2304</v>
      </c>
      <c r="C15" s="16" t="s">
        <v>2305</v>
      </c>
      <c r="D15" s="16" t="s">
        <v>2306</v>
      </c>
      <c r="E15" s="16" t="s">
        <v>2307</v>
      </c>
      <c r="F15" s="16" t="s">
        <v>609</v>
      </c>
      <c r="G15" s="16" t="s">
        <v>2236</v>
      </c>
      <c r="H15" s="16" t="s">
        <v>2308</v>
      </c>
      <c r="I15" s="16" t="s">
        <v>2309</v>
      </c>
      <c r="J15" s="16" t="s">
        <v>2263</v>
      </c>
      <c r="K15" s="16" t="s">
        <v>820</v>
      </c>
      <c r="L15" s="16" t="s">
        <v>1101</v>
      </c>
      <c r="M15" s="16" t="s">
        <v>2310</v>
      </c>
    </row>
    <row r="16" customFormat="false" ht="60" hidden="false" customHeight="true" outlineLevel="0" collapsed="false">
      <c r="A16" s="16" t="s">
        <v>2311</v>
      </c>
      <c r="B16" s="16" t="s">
        <v>2312</v>
      </c>
      <c r="C16" s="16" t="s">
        <v>2313</v>
      </c>
      <c r="D16" s="16" t="s">
        <v>2314</v>
      </c>
      <c r="E16" s="16" t="s">
        <v>2315</v>
      </c>
      <c r="F16" s="16" t="s">
        <v>609</v>
      </c>
      <c r="G16" s="16" t="s">
        <v>2236</v>
      </c>
      <c r="H16" s="16" t="s">
        <v>2316</v>
      </c>
      <c r="I16" s="16" t="s">
        <v>2317</v>
      </c>
      <c r="J16" s="16" t="s">
        <v>2263</v>
      </c>
      <c r="K16" s="16" t="s">
        <v>820</v>
      </c>
      <c r="L16" s="16" t="s">
        <v>1101</v>
      </c>
      <c r="M16" s="16" t="s">
        <v>2318</v>
      </c>
    </row>
    <row r="17" customFormat="false" ht="60" hidden="false" customHeight="true" outlineLevel="0" collapsed="false">
      <c r="A17" s="16" t="s">
        <v>1265</v>
      </c>
      <c r="B17" s="16" t="s">
        <v>2319</v>
      </c>
      <c r="C17" s="16" t="s">
        <v>2320</v>
      </c>
      <c r="D17" s="16" t="s">
        <v>2321</v>
      </c>
      <c r="E17" s="16" t="s">
        <v>2322</v>
      </c>
      <c r="F17" s="16" t="s">
        <v>609</v>
      </c>
      <c r="G17" s="16" t="s">
        <v>2236</v>
      </c>
      <c r="H17" s="16" t="s">
        <v>2323</v>
      </c>
      <c r="I17" s="16" t="s">
        <v>2324</v>
      </c>
      <c r="J17" s="16" t="s">
        <v>2325</v>
      </c>
      <c r="K17" s="16" t="s">
        <v>576</v>
      </c>
      <c r="L17" s="16" t="s">
        <v>1108</v>
      </c>
      <c r="M17" s="16" t="s">
        <v>2326</v>
      </c>
    </row>
    <row r="18" customFormat="false" ht="60" hidden="false" customHeight="true" outlineLevel="0" collapsed="false">
      <c r="A18" s="16" t="s">
        <v>1271</v>
      </c>
      <c r="B18" s="16" t="s">
        <v>2327</v>
      </c>
      <c r="C18" s="16" t="s">
        <v>2328</v>
      </c>
      <c r="D18" s="16" t="s">
        <v>2329</v>
      </c>
      <c r="E18" s="16" t="s">
        <v>2330</v>
      </c>
      <c r="F18" s="16" t="s">
        <v>609</v>
      </c>
      <c r="G18" s="16" t="s">
        <v>2236</v>
      </c>
      <c r="H18" s="16" t="s">
        <v>2331</v>
      </c>
      <c r="I18" s="16" t="s">
        <v>2332</v>
      </c>
      <c r="J18" s="16" t="s">
        <v>2263</v>
      </c>
      <c r="K18" s="16" t="s">
        <v>820</v>
      </c>
      <c r="L18" s="16" t="s">
        <v>2240</v>
      </c>
      <c r="M18" s="16" t="s">
        <v>2333</v>
      </c>
    </row>
    <row r="19" customFormat="false" ht="60" hidden="false" customHeight="true" outlineLevel="0" collapsed="false">
      <c r="A19" s="16" t="s">
        <v>1277</v>
      </c>
      <c r="B19" s="16" t="s">
        <v>2334</v>
      </c>
      <c r="C19" s="16" t="s">
        <v>2335</v>
      </c>
      <c r="D19" s="16" t="s">
        <v>2336</v>
      </c>
      <c r="E19" s="16" t="s">
        <v>2337</v>
      </c>
      <c r="F19" s="16" t="s">
        <v>609</v>
      </c>
      <c r="G19" s="16" t="s">
        <v>2236</v>
      </c>
      <c r="H19" s="16" t="s">
        <v>2338</v>
      </c>
      <c r="I19" s="16" t="s">
        <v>2339</v>
      </c>
      <c r="J19" s="16" t="s">
        <v>2263</v>
      </c>
      <c r="K19" s="16" t="s">
        <v>820</v>
      </c>
      <c r="L19" s="16" t="s">
        <v>1101</v>
      </c>
      <c r="M19" s="16" t="s">
        <v>2340</v>
      </c>
    </row>
    <row r="20" customFormat="false" ht="60" hidden="false" customHeight="true" outlineLevel="0" collapsed="false">
      <c r="A20" s="16" t="s">
        <v>1065</v>
      </c>
      <c r="B20" s="16" t="s">
        <v>2341</v>
      </c>
      <c r="C20" s="16" t="s">
        <v>2342</v>
      </c>
      <c r="D20" s="16" t="s">
        <v>2343</v>
      </c>
      <c r="E20" s="16" t="s">
        <v>2344</v>
      </c>
      <c r="F20" s="16" t="s">
        <v>609</v>
      </c>
      <c r="G20" s="16" t="s">
        <v>2236</v>
      </c>
      <c r="H20" s="16" t="s">
        <v>2345</v>
      </c>
      <c r="I20" s="16" t="s">
        <v>2346</v>
      </c>
      <c r="J20" s="16" t="s">
        <v>2228</v>
      </c>
      <c r="K20" s="16" t="s">
        <v>576</v>
      </c>
      <c r="L20" s="16" t="s">
        <v>1108</v>
      </c>
      <c r="M20" s="16" t="s">
        <v>2347</v>
      </c>
    </row>
    <row r="21" customFormat="false" ht="60" hidden="false" customHeight="true" outlineLevel="0" collapsed="false">
      <c r="A21" s="16" t="s">
        <v>1068</v>
      </c>
      <c r="B21" s="16" t="s">
        <v>2348</v>
      </c>
      <c r="C21" s="16" t="s">
        <v>2349</v>
      </c>
      <c r="D21" s="16" t="s">
        <v>2350</v>
      </c>
      <c r="E21" s="16" t="s">
        <v>2351</v>
      </c>
      <c r="F21" s="16" t="s">
        <v>609</v>
      </c>
      <c r="G21" s="16" t="s">
        <v>2236</v>
      </c>
      <c r="H21" s="16" t="s">
        <v>2352</v>
      </c>
      <c r="I21" s="16" t="s">
        <v>2353</v>
      </c>
      <c r="J21" s="16" t="s">
        <v>2228</v>
      </c>
      <c r="K21" s="16" t="s">
        <v>576</v>
      </c>
      <c r="L21" s="16" t="s">
        <v>1108</v>
      </c>
      <c r="M21" s="16" t="s">
        <v>2354</v>
      </c>
    </row>
    <row r="22" customFormat="false" ht="60" hidden="false" customHeight="true" outlineLevel="0" collapsed="false">
      <c r="A22" s="16" t="s">
        <v>2355</v>
      </c>
      <c r="B22" s="16" t="s">
        <v>2356</v>
      </c>
      <c r="C22" s="16" t="s">
        <v>2357</v>
      </c>
      <c r="D22" s="16" t="s">
        <v>2358</v>
      </c>
      <c r="E22" s="16" t="s">
        <v>1251</v>
      </c>
      <c r="F22" s="16" t="s">
        <v>609</v>
      </c>
      <c r="G22" s="16" t="s">
        <v>2236</v>
      </c>
      <c r="H22" s="16" t="s">
        <v>2359</v>
      </c>
      <c r="I22" s="16" t="s">
        <v>2360</v>
      </c>
      <c r="J22" s="16" t="s">
        <v>2228</v>
      </c>
      <c r="K22" s="16" t="s">
        <v>576</v>
      </c>
      <c r="L22" s="16" t="s">
        <v>1108</v>
      </c>
      <c r="M22" s="16" t="s">
        <v>2361</v>
      </c>
    </row>
    <row r="23" customFormat="false" ht="60" hidden="false" customHeight="true" outlineLevel="0" collapsed="false">
      <c r="A23" s="16" t="s">
        <v>2362</v>
      </c>
      <c r="B23" s="16" t="s">
        <v>2363</v>
      </c>
      <c r="C23" s="16" t="s">
        <v>2364</v>
      </c>
      <c r="D23" s="16" t="s">
        <v>2365</v>
      </c>
      <c r="E23" s="16" t="s">
        <v>1251</v>
      </c>
      <c r="F23" s="16" t="s">
        <v>609</v>
      </c>
      <c r="G23" s="16" t="s">
        <v>2236</v>
      </c>
      <c r="H23" s="16" t="s">
        <v>2366</v>
      </c>
      <c r="I23" s="16" t="s">
        <v>2367</v>
      </c>
      <c r="J23" s="16" t="s">
        <v>2228</v>
      </c>
      <c r="K23" s="16" t="s">
        <v>576</v>
      </c>
      <c r="L23" s="16" t="s">
        <v>2240</v>
      </c>
      <c r="M23" s="16" t="s">
        <v>2368</v>
      </c>
    </row>
    <row r="24" customFormat="false" ht="60" hidden="false" customHeight="true" outlineLevel="0" collapsed="false">
      <c r="A24" s="16" t="s">
        <v>2369</v>
      </c>
      <c r="B24" s="16" t="s">
        <v>2370</v>
      </c>
      <c r="C24" s="16" t="s">
        <v>2371</v>
      </c>
      <c r="D24" s="16" t="s">
        <v>2372</v>
      </c>
      <c r="E24" s="16" t="s">
        <v>2373</v>
      </c>
      <c r="F24" s="16" t="s">
        <v>609</v>
      </c>
      <c r="G24" s="16" t="s">
        <v>2236</v>
      </c>
      <c r="H24" s="16" t="s">
        <v>2374</v>
      </c>
      <c r="I24" s="16" t="s">
        <v>2375</v>
      </c>
      <c r="J24" s="16" t="s">
        <v>2376</v>
      </c>
      <c r="K24" s="16" t="s">
        <v>576</v>
      </c>
      <c r="L24" s="16" t="s">
        <v>1101</v>
      </c>
      <c r="M24" s="16" t="s">
        <v>2377</v>
      </c>
    </row>
    <row r="25" customFormat="false" ht="60" hidden="false" customHeight="true" outlineLevel="0" collapsed="false">
      <c r="A25" s="16" t="s">
        <v>561</v>
      </c>
      <c r="B25" s="16" t="s">
        <v>2378</v>
      </c>
      <c r="C25" s="16" t="s">
        <v>2379</v>
      </c>
      <c r="D25" s="16" t="s">
        <v>2380</v>
      </c>
      <c r="E25" s="16" t="s">
        <v>1251</v>
      </c>
      <c r="F25" s="16" t="s">
        <v>609</v>
      </c>
      <c r="G25" s="16" t="s">
        <v>2236</v>
      </c>
      <c r="H25" s="16" t="s">
        <v>2381</v>
      </c>
      <c r="I25" s="16" t="s">
        <v>2382</v>
      </c>
      <c r="J25" s="16" t="s">
        <v>2228</v>
      </c>
      <c r="K25" s="16" t="s">
        <v>576</v>
      </c>
      <c r="L25" s="16" t="s">
        <v>1108</v>
      </c>
      <c r="M25" s="16" t="s">
        <v>2383</v>
      </c>
    </row>
    <row r="26" customFormat="false" ht="60" hidden="false" customHeight="true" outlineLevel="0" collapsed="false">
      <c r="A26" s="16" t="s">
        <v>2384</v>
      </c>
      <c r="B26" s="16" t="s">
        <v>2385</v>
      </c>
      <c r="C26" s="16" t="s">
        <v>2386</v>
      </c>
      <c r="D26" s="16" t="s">
        <v>2387</v>
      </c>
      <c r="E26" s="16" t="s">
        <v>2388</v>
      </c>
      <c r="F26" s="16" t="s">
        <v>609</v>
      </c>
      <c r="G26" s="16" t="s">
        <v>2236</v>
      </c>
      <c r="H26" s="16" t="s">
        <v>2389</v>
      </c>
      <c r="I26" s="16" t="s">
        <v>2390</v>
      </c>
      <c r="J26" s="16" t="s">
        <v>2228</v>
      </c>
      <c r="K26" s="16" t="s">
        <v>576</v>
      </c>
      <c r="L26" s="16" t="s">
        <v>1108</v>
      </c>
      <c r="M26" s="16" t="s">
        <v>2391</v>
      </c>
    </row>
    <row r="27" customFormat="false" ht="60" hidden="false" customHeight="true" outlineLevel="0" collapsed="false">
      <c r="A27" s="16" t="s">
        <v>2392</v>
      </c>
      <c r="B27" s="16" t="s">
        <v>2393</v>
      </c>
      <c r="C27" s="16" t="s">
        <v>2394</v>
      </c>
      <c r="D27" s="16" t="s">
        <v>2395</v>
      </c>
      <c r="E27" s="16" t="s">
        <v>2396</v>
      </c>
      <c r="F27" s="16" t="s">
        <v>609</v>
      </c>
      <c r="G27" s="16" t="s">
        <v>2236</v>
      </c>
      <c r="H27" s="16" t="s">
        <v>2397</v>
      </c>
      <c r="I27" s="16" t="s">
        <v>2398</v>
      </c>
      <c r="J27" s="16" t="s">
        <v>2228</v>
      </c>
      <c r="K27" s="16" t="s">
        <v>576</v>
      </c>
      <c r="L27" s="16" t="s">
        <v>1108</v>
      </c>
      <c r="M27" s="16" t="s">
        <v>2399</v>
      </c>
    </row>
    <row r="28" customFormat="false" ht="60" hidden="false" customHeight="true" outlineLevel="0" collapsed="false">
      <c r="A28" s="16" t="s">
        <v>2400</v>
      </c>
      <c r="B28" s="16" t="s">
        <v>2401</v>
      </c>
      <c r="C28" s="16" t="s">
        <v>2402</v>
      </c>
      <c r="D28" s="16" t="s">
        <v>2403</v>
      </c>
      <c r="E28" s="16" t="s">
        <v>2404</v>
      </c>
      <c r="F28" s="16" t="s">
        <v>609</v>
      </c>
      <c r="G28" s="16" t="s">
        <v>2236</v>
      </c>
      <c r="H28" s="16" t="s">
        <v>2405</v>
      </c>
      <c r="I28" s="16" t="s">
        <v>2406</v>
      </c>
      <c r="J28" s="16" t="s">
        <v>2263</v>
      </c>
      <c r="K28" s="16" t="s">
        <v>576</v>
      </c>
      <c r="L28" s="16" t="s">
        <v>2240</v>
      </c>
      <c r="M28" s="16" t="s">
        <v>2407</v>
      </c>
    </row>
    <row r="29" customFormat="false" ht="60" hidden="false" customHeight="true" outlineLevel="0" collapsed="false">
      <c r="A29" s="16" t="s">
        <v>2408</v>
      </c>
      <c r="B29" s="16" t="s">
        <v>2409</v>
      </c>
      <c r="C29" s="16" t="s">
        <v>2410</v>
      </c>
      <c r="D29" s="16" t="s">
        <v>2411</v>
      </c>
      <c r="E29" s="16" t="s">
        <v>2412</v>
      </c>
      <c r="F29" s="16" t="s">
        <v>609</v>
      </c>
      <c r="G29" s="16" t="s">
        <v>2236</v>
      </c>
      <c r="H29" s="16" t="s">
        <v>2413</v>
      </c>
      <c r="I29" s="16" t="s">
        <v>2414</v>
      </c>
      <c r="J29" s="16" t="s">
        <v>2263</v>
      </c>
      <c r="K29" s="16" t="s">
        <v>820</v>
      </c>
      <c r="L29" s="16" t="s">
        <v>1101</v>
      </c>
      <c r="M29" s="16" t="s">
        <v>2415</v>
      </c>
    </row>
    <row r="30" customFormat="false" ht="60" hidden="false" customHeight="true" outlineLevel="0" collapsed="false">
      <c r="A30" s="16" t="s">
        <v>555</v>
      </c>
      <c r="B30" s="16" t="s">
        <v>2416</v>
      </c>
      <c r="C30" s="16" t="s">
        <v>2417</v>
      </c>
      <c r="D30" s="16" t="s">
        <v>2418</v>
      </c>
      <c r="E30" s="16" t="s">
        <v>1251</v>
      </c>
      <c r="F30" s="16" t="s">
        <v>609</v>
      </c>
      <c r="G30" s="16" t="s">
        <v>2236</v>
      </c>
      <c r="H30" s="16" t="s">
        <v>2419</v>
      </c>
      <c r="I30" s="16" t="s">
        <v>2420</v>
      </c>
      <c r="J30" s="16" t="s">
        <v>2421</v>
      </c>
      <c r="K30" s="16" t="s">
        <v>576</v>
      </c>
      <c r="L30" s="16" t="s">
        <v>2240</v>
      </c>
      <c r="M30" s="16" t="s">
        <v>2422</v>
      </c>
    </row>
    <row r="31" customFormat="false" ht="60" hidden="false" customHeight="true" outlineLevel="0" collapsed="false">
      <c r="A31" s="16" t="s">
        <v>1071</v>
      </c>
      <c r="B31" s="16" t="s">
        <v>2423</v>
      </c>
      <c r="C31" s="16" t="s">
        <v>2424</v>
      </c>
      <c r="D31" s="16" t="s">
        <v>2425</v>
      </c>
      <c r="E31" s="16" t="s">
        <v>2426</v>
      </c>
      <c r="F31" s="16" t="s">
        <v>609</v>
      </c>
      <c r="G31" s="16" t="s">
        <v>2236</v>
      </c>
      <c r="H31" s="16" t="s">
        <v>2427</v>
      </c>
      <c r="I31" s="16" t="s">
        <v>2428</v>
      </c>
      <c r="J31" s="16" t="s">
        <v>2263</v>
      </c>
      <c r="K31" s="16" t="s">
        <v>576</v>
      </c>
      <c r="L31" s="16" t="s">
        <v>1101</v>
      </c>
      <c r="M31" s="16" t="s">
        <v>2429</v>
      </c>
    </row>
    <row r="32" customFormat="false" ht="60" hidden="false" customHeight="true" outlineLevel="0" collapsed="false">
      <c r="A32" s="16" t="s">
        <v>2430</v>
      </c>
      <c r="B32" s="16" t="s">
        <v>2431</v>
      </c>
      <c r="C32" s="16" t="s">
        <v>2432</v>
      </c>
      <c r="D32" s="16" t="s">
        <v>2433</v>
      </c>
      <c r="E32" s="16" t="s">
        <v>2434</v>
      </c>
      <c r="F32" s="16" t="s">
        <v>609</v>
      </c>
      <c r="G32" s="16" t="s">
        <v>2236</v>
      </c>
      <c r="H32" s="16" t="s">
        <v>2435</v>
      </c>
      <c r="I32" s="16" t="s">
        <v>2436</v>
      </c>
      <c r="J32" s="16" t="s">
        <v>2263</v>
      </c>
      <c r="K32" s="16" t="s">
        <v>576</v>
      </c>
      <c r="L32" s="16" t="s">
        <v>2240</v>
      </c>
      <c r="M32" s="16" t="s">
        <v>2437</v>
      </c>
    </row>
    <row r="33" customFormat="false" ht="60" hidden="false" customHeight="true" outlineLevel="0" collapsed="false">
      <c r="A33" s="16" t="s">
        <v>1002</v>
      </c>
      <c r="B33" s="16" t="s">
        <v>2438</v>
      </c>
      <c r="C33" s="16" t="s">
        <v>2439</v>
      </c>
      <c r="D33" s="16" t="s">
        <v>2440</v>
      </c>
      <c r="E33" s="16" t="s">
        <v>2260</v>
      </c>
      <c r="F33" s="16" t="s">
        <v>609</v>
      </c>
      <c r="G33" s="16" t="s">
        <v>2236</v>
      </c>
      <c r="H33" s="16" t="s">
        <v>2441</v>
      </c>
      <c r="I33" s="16" t="s">
        <v>2442</v>
      </c>
      <c r="J33" s="16" t="s">
        <v>2263</v>
      </c>
      <c r="K33" s="16" t="s">
        <v>303</v>
      </c>
      <c r="L33" s="16" t="s">
        <v>1101</v>
      </c>
      <c r="M33" s="16" t="s">
        <v>2443</v>
      </c>
    </row>
    <row r="34" customFormat="false" ht="60" hidden="false" customHeight="true" outlineLevel="0" collapsed="false">
      <c r="A34" s="16" t="s">
        <v>995</v>
      </c>
      <c r="B34" s="16" t="s">
        <v>2444</v>
      </c>
      <c r="C34" s="16" t="s">
        <v>2445</v>
      </c>
      <c r="D34" s="16" t="s">
        <v>2446</v>
      </c>
      <c r="E34" s="16" t="s">
        <v>2260</v>
      </c>
      <c r="F34" s="16" t="s">
        <v>609</v>
      </c>
      <c r="G34" s="16" t="s">
        <v>2236</v>
      </c>
      <c r="H34" s="16" t="s">
        <v>2447</v>
      </c>
      <c r="I34" s="16" t="s">
        <v>2448</v>
      </c>
      <c r="J34" s="16" t="s">
        <v>2263</v>
      </c>
      <c r="K34" s="16" t="s">
        <v>303</v>
      </c>
      <c r="L34" s="16" t="s">
        <v>1449</v>
      </c>
      <c r="M34" s="16" t="s">
        <v>2443</v>
      </c>
    </row>
    <row r="35" customFormat="false" ht="60" hidden="false" customHeight="true" outlineLevel="0" collapsed="false">
      <c r="A35" s="16" t="s">
        <v>1042</v>
      </c>
      <c r="B35" s="16" t="s">
        <v>2449</v>
      </c>
      <c r="C35" s="16" t="s">
        <v>2283</v>
      </c>
      <c r="D35" s="16" t="s">
        <v>2450</v>
      </c>
      <c r="E35" s="16" t="s">
        <v>2451</v>
      </c>
      <c r="F35" s="16" t="s">
        <v>609</v>
      </c>
      <c r="G35" s="16" t="s">
        <v>2236</v>
      </c>
      <c r="H35" s="16" t="s">
        <v>2452</v>
      </c>
      <c r="I35" s="16" t="s">
        <v>2453</v>
      </c>
      <c r="J35" s="16" t="s">
        <v>2228</v>
      </c>
      <c r="K35" s="16" t="s">
        <v>576</v>
      </c>
      <c r="L35" s="16" t="s">
        <v>2240</v>
      </c>
      <c r="M35" s="16" t="s">
        <v>2454</v>
      </c>
    </row>
    <row r="36" customFormat="false" ht="60" hidden="false" customHeight="true" outlineLevel="0" collapsed="false">
      <c r="A36" s="16" t="s">
        <v>2455</v>
      </c>
      <c r="B36" s="16" t="s">
        <v>2456</v>
      </c>
      <c r="C36" s="16" t="s">
        <v>2457</v>
      </c>
      <c r="D36" s="16" t="s">
        <v>2458</v>
      </c>
      <c r="E36" s="16" t="s">
        <v>1251</v>
      </c>
      <c r="F36" s="16" t="s">
        <v>609</v>
      </c>
      <c r="G36" s="16" t="s">
        <v>2236</v>
      </c>
      <c r="H36" s="16" t="s">
        <v>2459</v>
      </c>
      <c r="I36" s="16" t="s">
        <v>2460</v>
      </c>
      <c r="J36" s="16" t="s">
        <v>2461</v>
      </c>
      <c r="K36" s="16" t="s">
        <v>820</v>
      </c>
      <c r="L36" s="16" t="s">
        <v>2240</v>
      </c>
      <c r="M36" s="16" t="s">
        <v>2462</v>
      </c>
    </row>
    <row r="37" customFormat="false" ht="60" hidden="false" customHeight="true" outlineLevel="0" collapsed="false">
      <c r="A37" s="16" t="s">
        <v>2463</v>
      </c>
      <c r="B37" s="16" t="s">
        <v>2464</v>
      </c>
      <c r="C37" s="16" t="s">
        <v>2465</v>
      </c>
      <c r="D37" s="16" t="s">
        <v>2466</v>
      </c>
      <c r="E37" s="16" t="s">
        <v>2434</v>
      </c>
      <c r="F37" s="16" t="s">
        <v>609</v>
      </c>
      <c r="G37" s="16" t="s">
        <v>2236</v>
      </c>
      <c r="H37" s="16" t="s">
        <v>2467</v>
      </c>
      <c r="I37" s="16" t="s">
        <v>2468</v>
      </c>
      <c r="J37" s="16" t="s">
        <v>2228</v>
      </c>
      <c r="K37" s="16" t="s">
        <v>2469</v>
      </c>
      <c r="L37" s="16" t="s">
        <v>1101</v>
      </c>
      <c r="M37" s="16" t="s">
        <v>2470</v>
      </c>
    </row>
    <row r="38" customFormat="false" ht="60" hidden="false" customHeight="true" outlineLevel="0" collapsed="false">
      <c r="A38" s="16" t="s">
        <v>2471</v>
      </c>
      <c r="B38" s="16" t="s">
        <v>2472</v>
      </c>
      <c r="C38" s="16" t="s">
        <v>2473</v>
      </c>
      <c r="D38" s="16" t="s">
        <v>2474</v>
      </c>
      <c r="E38" s="16" t="s">
        <v>2260</v>
      </c>
      <c r="F38" s="16" t="s">
        <v>609</v>
      </c>
      <c r="G38" s="16" t="s">
        <v>2236</v>
      </c>
      <c r="H38" s="16" t="s">
        <v>2475</v>
      </c>
      <c r="I38" s="16" t="s">
        <v>2476</v>
      </c>
      <c r="J38" s="16" t="s">
        <v>2263</v>
      </c>
      <c r="K38" s="16" t="s">
        <v>820</v>
      </c>
      <c r="L38" s="16" t="s">
        <v>1101</v>
      </c>
      <c r="M38" s="16" t="s">
        <v>2477</v>
      </c>
    </row>
    <row r="39" customFormat="false" ht="60" hidden="false" customHeight="true" outlineLevel="0" collapsed="false">
      <c r="A39" s="16" t="s">
        <v>961</v>
      </c>
      <c r="B39" s="16" t="s">
        <v>2478</v>
      </c>
      <c r="C39" s="16" t="s">
        <v>2479</v>
      </c>
      <c r="D39" s="16" t="s">
        <v>2480</v>
      </c>
      <c r="E39" s="16" t="s">
        <v>609</v>
      </c>
      <c r="F39" s="16" t="s">
        <v>609</v>
      </c>
      <c r="G39" s="16" t="s">
        <v>2236</v>
      </c>
      <c r="H39" s="16" t="s">
        <v>2481</v>
      </c>
      <c r="I39" s="16" t="s">
        <v>2482</v>
      </c>
      <c r="J39" s="16" t="s">
        <v>2483</v>
      </c>
      <c r="K39" s="16" t="s">
        <v>820</v>
      </c>
      <c r="L39" s="16" t="s">
        <v>1101</v>
      </c>
      <c r="M39" s="16" t="s">
        <v>2484</v>
      </c>
    </row>
    <row r="40" customFormat="false" ht="60" hidden="false" customHeight="true" outlineLevel="0" collapsed="false">
      <c r="A40" s="16" t="s">
        <v>951</v>
      </c>
      <c r="B40" s="16" t="s">
        <v>2485</v>
      </c>
      <c r="C40" s="16" t="s">
        <v>2486</v>
      </c>
      <c r="D40" s="16" t="s">
        <v>2487</v>
      </c>
      <c r="E40" s="16" t="s">
        <v>954</v>
      </c>
      <c r="F40" s="16" t="s">
        <v>609</v>
      </c>
      <c r="G40" s="16" t="s">
        <v>2236</v>
      </c>
      <c r="H40" s="16" t="s">
        <v>2488</v>
      </c>
      <c r="I40" s="16" t="s">
        <v>2489</v>
      </c>
      <c r="J40" s="16" t="s">
        <v>2483</v>
      </c>
      <c r="K40" s="16" t="s">
        <v>820</v>
      </c>
      <c r="L40" s="16" t="s">
        <v>1101</v>
      </c>
      <c r="M40" s="16" t="s">
        <v>2490</v>
      </c>
    </row>
    <row r="41" customFormat="false" ht="60" hidden="false" customHeight="true" outlineLevel="0" collapsed="false">
      <c r="A41" s="16" t="s">
        <v>957</v>
      </c>
      <c r="B41" s="16" t="s">
        <v>2491</v>
      </c>
      <c r="C41" s="16" t="s">
        <v>2492</v>
      </c>
      <c r="D41" s="16" t="s">
        <v>2493</v>
      </c>
      <c r="E41" s="16" t="s">
        <v>959</v>
      </c>
      <c r="F41" s="16" t="s">
        <v>609</v>
      </c>
      <c r="G41" s="16" t="s">
        <v>2236</v>
      </c>
      <c r="H41" s="16" t="s">
        <v>2494</v>
      </c>
      <c r="I41" s="16" t="s">
        <v>2495</v>
      </c>
      <c r="J41" s="16" t="s">
        <v>2263</v>
      </c>
      <c r="K41" s="16" t="s">
        <v>820</v>
      </c>
      <c r="L41" s="16" t="s">
        <v>1101</v>
      </c>
      <c r="M41" s="16" t="s">
        <v>2496</v>
      </c>
    </row>
    <row r="42" customFormat="false" ht="60" hidden="false" customHeight="true" outlineLevel="0" collapsed="false">
      <c r="A42" s="16" t="s">
        <v>832</v>
      </c>
      <c r="B42" s="16" t="s">
        <v>2497</v>
      </c>
      <c r="C42" s="16" t="s">
        <v>2498</v>
      </c>
      <c r="D42" s="16" t="s">
        <v>2499</v>
      </c>
      <c r="E42" s="16" t="s">
        <v>2500</v>
      </c>
      <c r="F42" s="16" t="s">
        <v>609</v>
      </c>
      <c r="G42" s="16" t="s">
        <v>2236</v>
      </c>
      <c r="H42" s="16" t="s">
        <v>2501</v>
      </c>
      <c r="I42" s="16" t="s">
        <v>2502</v>
      </c>
      <c r="J42" s="16" t="s">
        <v>2503</v>
      </c>
      <c r="K42" s="16" t="s">
        <v>820</v>
      </c>
      <c r="L42" s="16" t="s">
        <v>1101</v>
      </c>
      <c r="M42" s="16" t="s">
        <v>2504</v>
      </c>
    </row>
    <row r="43" customFormat="false" ht="60" hidden="false" customHeight="true" outlineLevel="0" collapsed="false">
      <c r="A43" s="16" t="s">
        <v>945</v>
      </c>
      <c r="B43" s="16" t="s">
        <v>2505</v>
      </c>
      <c r="C43" s="16" t="s">
        <v>2506</v>
      </c>
      <c r="D43" s="16" t="s">
        <v>2507</v>
      </c>
      <c r="E43" s="16" t="s">
        <v>2508</v>
      </c>
      <c r="F43" s="16" t="s">
        <v>609</v>
      </c>
      <c r="G43" s="16" t="s">
        <v>2236</v>
      </c>
      <c r="H43" s="16" t="s">
        <v>2509</v>
      </c>
      <c r="I43" s="16" t="s">
        <v>2510</v>
      </c>
      <c r="J43" s="16" t="s">
        <v>2511</v>
      </c>
      <c r="K43" s="16" t="s">
        <v>820</v>
      </c>
      <c r="L43" s="16" t="s">
        <v>2240</v>
      </c>
      <c r="M43" s="16" t="s">
        <v>2512</v>
      </c>
    </row>
    <row r="44" customFormat="false" ht="60" hidden="false" customHeight="true" outlineLevel="0" collapsed="false">
      <c r="A44" s="16" t="s">
        <v>967</v>
      </c>
      <c r="B44" s="16" t="s">
        <v>2513</v>
      </c>
      <c r="C44" s="16" t="s">
        <v>2514</v>
      </c>
      <c r="D44" s="16" t="s">
        <v>2515</v>
      </c>
      <c r="E44" s="16" t="s">
        <v>2516</v>
      </c>
      <c r="F44" s="16" t="s">
        <v>609</v>
      </c>
      <c r="G44" s="16" t="s">
        <v>2236</v>
      </c>
      <c r="H44" s="16" t="s">
        <v>2517</v>
      </c>
      <c r="I44" s="16" t="s">
        <v>2518</v>
      </c>
      <c r="J44" s="16" t="s">
        <v>2519</v>
      </c>
      <c r="K44" s="16" t="s">
        <v>820</v>
      </c>
      <c r="L44" s="16" t="s">
        <v>2520</v>
      </c>
      <c r="M44" s="16" t="s">
        <v>2521</v>
      </c>
    </row>
    <row r="45" customFormat="false" ht="60" hidden="false" customHeight="true" outlineLevel="0" collapsed="false">
      <c r="A45" s="16" t="s">
        <v>825</v>
      </c>
      <c r="B45" s="16" t="s">
        <v>2522</v>
      </c>
      <c r="C45" s="16" t="s">
        <v>2506</v>
      </c>
      <c r="D45" s="16" t="s">
        <v>2523</v>
      </c>
      <c r="E45" s="16" t="s">
        <v>2524</v>
      </c>
      <c r="F45" s="16" t="s">
        <v>609</v>
      </c>
      <c r="G45" s="16" t="s">
        <v>2236</v>
      </c>
      <c r="H45" s="16" t="s">
        <v>2525</v>
      </c>
      <c r="I45" s="16" t="s">
        <v>2526</v>
      </c>
      <c r="J45" s="16" t="s">
        <v>2527</v>
      </c>
      <c r="K45" s="16" t="s">
        <v>820</v>
      </c>
      <c r="L45" s="16" t="s">
        <v>2240</v>
      </c>
      <c r="M45" s="16" t="s">
        <v>2528</v>
      </c>
    </row>
    <row r="46" customFormat="false" ht="60" hidden="false" customHeight="true" outlineLevel="0" collapsed="false">
      <c r="A46" s="16" t="s">
        <v>2529</v>
      </c>
      <c r="B46" s="16" t="s">
        <v>2530</v>
      </c>
      <c r="C46" s="16" t="s">
        <v>2531</v>
      </c>
      <c r="D46" s="16" t="s">
        <v>2532</v>
      </c>
      <c r="E46" s="16" t="s">
        <v>2260</v>
      </c>
      <c r="F46" s="16" t="s">
        <v>609</v>
      </c>
      <c r="G46" s="16" t="s">
        <v>2236</v>
      </c>
      <c r="H46" s="16" t="s">
        <v>2533</v>
      </c>
      <c r="I46" s="16" t="s">
        <v>2534</v>
      </c>
      <c r="J46" s="16" t="s">
        <v>2263</v>
      </c>
      <c r="K46" s="16" t="s">
        <v>303</v>
      </c>
      <c r="L46" s="16" t="s">
        <v>2520</v>
      </c>
      <c r="M46" s="16" t="s">
        <v>2535</v>
      </c>
    </row>
    <row r="47" customFormat="false" ht="60" hidden="false" customHeight="true" outlineLevel="0" collapsed="false">
      <c r="A47" s="16" t="s">
        <v>1152</v>
      </c>
      <c r="B47" s="16" t="s">
        <v>2536</v>
      </c>
      <c r="C47" s="16" t="s">
        <v>2537</v>
      </c>
      <c r="D47" s="16" t="s">
        <v>2538</v>
      </c>
      <c r="E47" s="16" t="s">
        <v>2260</v>
      </c>
      <c r="F47" s="16" t="s">
        <v>609</v>
      </c>
      <c r="G47" s="16" t="s">
        <v>2236</v>
      </c>
      <c r="H47" s="16" t="s">
        <v>2539</v>
      </c>
      <c r="I47" s="16" t="s">
        <v>2540</v>
      </c>
      <c r="J47" s="16" t="s">
        <v>2263</v>
      </c>
      <c r="K47" s="16" t="s">
        <v>303</v>
      </c>
      <c r="L47" s="16" t="s">
        <v>2520</v>
      </c>
      <c r="M47" s="16" t="s">
        <v>2541</v>
      </c>
    </row>
    <row r="48" customFormat="false" ht="60" hidden="false" customHeight="true" outlineLevel="0" collapsed="false">
      <c r="A48" s="16" t="s">
        <v>932</v>
      </c>
      <c r="B48" s="16" t="s">
        <v>2542</v>
      </c>
      <c r="C48" s="16" t="s">
        <v>2543</v>
      </c>
      <c r="D48" s="16" t="s">
        <v>2544</v>
      </c>
      <c r="E48" s="16" t="s">
        <v>2545</v>
      </c>
      <c r="F48" s="16" t="s">
        <v>609</v>
      </c>
      <c r="G48" s="16" t="s">
        <v>2236</v>
      </c>
      <c r="H48" s="16" t="s">
        <v>2546</v>
      </c>
      <c r="I48" s="16" t="s">
        <v>2547</v>
      </c>
      <c r="J48" s="16" t="s">
        <v>2263</v>
      </c>
      <c r="K48" s="16" t="s">
        <v>303</v>
      </c>
      <c r="L48" s="16" t="s">
        <v>2520</v>
      </c>
      <c r="M48" s="16" t="s">
        <v>2548</v>
      </c>
    </row>
    <row r="49" customFormat="false" ht="60" hidden="false" customHeight="true" outlineLevel="0" collapsed="false">
      <c r="A49" s="16" t="s">
        <v>1155</v>
      </c>
      <c r="B49" s="16" t="s">
        <v>2549</v>
      </c>
      <c r="C49" s="16" t="s">
        <v>2550</v>
      </c>
      <c r="D49" s="16" t="s">
        <v>2551</v>
      </c>
      <c r="E49" s="16" t="s">
        <v>2260</v>
      </c>
      <c r="F49" s="16" t="s">
        <v>609</v>
      </c>
      <c r="G49" s="16" t="s">
        <v>2236</v>
      </c>
      <c r="H49" s="16" t="s">
        <v>2552</v>
      </c>
      <c r="I49" s="16" t="s">
        <v>2553</v>
      </c>
      <c r="J49" s="16" t="s">
        <v>2263</v>
      </c>
      <c r="K49" s="16" t="s">
        <v>303</v>
      </c>
      <c r="L49" s="16" t="s">
        <v>2520</v>
      </c>
      <c r="M49" s="16" t="s">
        <v>2554</v>
      </c>
    </row>
    <row r="50" customFormat="false" ht="60" hidden="false" customHeight="true" outlineLevel="0" collapsed="false">
      <c r="A50" s="16" t="s">
        <v>1175</v>
      </c>
      <c r="B50" s="16" t="s">
        <v>2555</v>
      </c>
      <c r="C50" s="16" t="s">
        <v>2543</v>
      </c>
      <c r="D50" s="16" t="s">
        <v>2556</v>
      </c>
      <c r="E50" s="16" t="s">
        <v>2260</v>
      </c>
      <c r="F50" s="16" t="s">
        <v>609</v>
      </c>
      <c r="G50" s="16" t="s">
        <v>2236</v>
      </c>
      <c r="H50" s="16" t="s">
        <v>2557</v>
      </c>
      <c r="I50" s="16" t="s">
        <v>2558</v>
      </c>
      <c r="J50" s="16" t="s">
        <v>2263</v>
      </c>
      <c r="K50" s="16" t="s">
        <v>303</v>
      </c>
      <c r="L50" s="16" t="s">
        <v>2520</v>
      </c>
      <c r="M50" s="16" t="s">
        <v>2559</v>
      </c>
    </row>
    <row r="51" customFormat="false" ht="60" hidden="false" customHeight="true" outlineLevel="0" collapsed="false">
      <c r="A51" s="16" t="s">
        <v>1011</v>
      </c>
      <c r="B51" s="16" t="s">
        <v>2560</v>
      </c>
      <c r="C51" s="16" t="s">
        <v>2561</v>
      </c>
      <c r="D51" s="16" t="s">
        <v>2562</v>
      </c>
      <c r="E51" s="16" t="s">
        <v>2260</v>
      </c>
      <c r="F51" s="16" t="s">
        <v>609</v>
      </c>
      <c r="G51" s="16" t="s">
        <v>2236</v>
      </c>
      <c r="H51" s="16" t="s">
        <v>2563</v>
      </c>
      <c r="I51" s="16" t="s">
        <v>2564</v>
      </c>
      <c r="J51" s="16" t="s">
        <v>2228</v>
      </c>
      <c r="K51" s="16" t="s">
        <v>576</v>
      </c>
      <c r="L51" s="16" t="s">
        <v>1108</v>
      </c>
      <c r="M51" s="16" t="s">
        <v>2565</v>
      </c>
    </row>
    <row r="52" customFormat="false" ht="60" hidden="false" customHeight="true" outlineLevel="0" collapsed="false">
      <c r="A52" s="16" t="s">
        <v>1025</v>
      </c>
      <c r="B52" s="16" t="s">
        <v>2566</v>
      </c>
      <c r="C52" s="16" t="s">
        <v>2567</v>
      </c>
      <c r="D52" s="16" t="s">
        <v>2568</v>
      </c>
      <c r="E52" s="16" t="s">
        <v>2260</v>
      </c>
      <c r="F52" s="16" t="s">
        <v>609</v>
      </c>
      <c r="G52" s="16" t="s">
        <v>2236</v>
      </c>
      <c r="H52" s="16" t="s">
        <v>2569</v>
      </c>
      <c r="I52" s="16" t="s">
        <v>2570</v>
      </c>
      <c r="J52" s="16" t="s">
        <v>2421</v>
      </c>
      <c r="K52" s="16" t="s">
        <v>303</v>
      </c>
      <c r="L52" s="16" t="s">
        <v>1449</v>
      </c>
      <c r="M52" s="16" t="s">
        <v>2571</v>
      </c>
    </row>
    <row r="53" customFormat="false" ht="60" hidden="false" customHeight="true" outlineLevel="0" collapsed="false">
      <c r="A53" s="16" t="s">
        <v>2572</v>
      </c>
      <c r="B53" s="16" t="s">
        <v>2573</v>
      </c>
      <c r="C53" s="16" t="s">
        <v>2574</v>
      </c>
      <c r="D53" s="16" t="s">
        <v>2575</v>
      </c>
      <c r="E53" s="16" t="s">
        <v>2576</v>
      </c>
      <c r="F53" s="16" t="s">
        <v>1846</v>
      </c>
      <c r="G53" s="16" t="s">
        <v>2236</v>
      </c>
      <c r="H53" s="16" t="s">
        <v>2577</v>
      </c>
      <c r="I53" s="16" t="s">
        <v>2578</v>
      </c>
      <c r="J53" s="16" t="s">
        <v>2579</v>
      </c>
      <c r="K53" s="16" t="s">
        <v>576</v>
      </c>
      <c r="L53" s="16" t="s">
        <v>2240</v>
      </c>
      <c r="M53" s="16" t="s">
        <v>2580</v>
      </c>
    </row>
    <row r="54" customFormat="false" ht="60" hidden="false" customHeight="true" outlineLevel="0" collapsed="false">
      <c r="A54" s="16" t="s">
        <v>2581</v>
      </c>
      <c r="B54" s="16" t="s">
        <v>2582</v>
      </c>
      <c r="C54" s="16" t="s">
        <v>2583</v>
      </c>
      <c r="D54" s="16" t="s">
        <v>2584</v>
      </c>
      <c r="E54" s="16" t="s">
        <v>2585</v>
      </c>
      <c r="F54" s="16" t="s">
        <v>1846</v>
      </c>
      <c r="G54" s="16" t="s">
        <v>2236</v>
      </c>
      <c r="H54" s="16" t="s">
        <v>2586</v>
      </c>
      <c r="I54" s="16" t="s">
        <v>2587</v>
      </c>
      <c r="J54" s="16" t="s">
        <v>2588</v>
      </c>
      <c r="K54" s="16" t="s">
        <v>820</v>
      </c>
      <c r="L54" s="16" t="s">
        <v>1101</v>
      </c>
      <c r="M54" s="16" t="s">
        <v>2589</v>
      </c>
    </row>
    <row r="55" customFormat="false" ht="60" hidden="false" customHeight="true" outlineLevel="0" collapsed="false">
      <c r="A55" s="16" t="s">
        <v>812</v>
      </c>
      <c r="B55" s="16" t="s">
        <v>2590</v>
      </c>
      <c r="C55" s="16" t="s">
        <v>2591</v>
      </c>
      <c r="D55" s="16" t="s">
        <v>2592</v>
      </c>
      <c r="E55" s="16" t="s">
        <v>2593</v>
      </c>
      <c r="F55" s="16" t="s">
        <v>1846</v>
      </c>
      <c r="G55" s="16" t="s">
        <v>2236</v>
      </c>
      <c r="H55" s="16" t="s">
        <v>2594</v>
      </c>
      <c r="I55" s="16" t="s">
        <v>2595</v>
      </c>
      <c r="J55" s="16" t="s">
        <v>2596</v>
      </c>
      <c r="K55" s="16" t="s">
        <v>576</v>
      </c>
      <c r="L55" s="16" t="s">
        <v>2240</v>
      </c>
      <c r="M55" s="16" t="s">
        <v>2597</v>
      </c>
    </row>
    <row r="56" customFormat="false" ht="60" hidden="false" customHeight="true" outlineLevel="0" collapsed="false">
      <c r="A56" s="16" t="s">
        <v>604</v>
      </c>
      <c r="B56" s="16" t="s">
        <v>2598</v>
      </c>
      <c r="C56" s="16" t="s">
        <v>2599</v>
      </c>
      <c r="D56" s="16" t="s">
        <v>2600</v>
      </c>
      <c r="E56" s="16" t="s">
        <v>2601</v>
      </c>
      <c r="F56" s="16" t="s">
        <v>1846</v>
      </c>
      <c r="G56" s="16" t="s">
        <v>2236</v>
      </c>
      <c r="H56" s="16" t="s">
        <v>2602</v>
      </c>
      <c r="I56" s="16" t="s">
        <v>2603</v>
      </c>
      <c r="J56" s="16" t="s">
        <v>2228</v>
      </c>
      <c r="K56" s="16" t="s">
        <v>576</v>
      </c>
      <c r="L56" s="16" t="s">
        <v>2240</v>
      </c>
      <c r="M56" s="16" t="s">
        <v>2604</v>
      </c>
    </row>
    <row r="57" customFormat="false" ht="60" hidden="false" customHeight="true" outlineLevel="0" collapsed="false">
      <c r="A57" s="16" t="s">
        <v>592</v>
      </c>
      <c r="B57" s="16" t="s">
        <v>2605</v>
      </c>
      <c r="C57" s="16" t="s">
        <v>2606</v>
      </c>
      <c r="D57" s="16" t="s">
        <v>2607</v>
      </c>
      <c r="E57" s="16" t="s">
        <v>2608</v>
      </c>
      <c r="F57" s="16" t="s">
        <v>1846</v>
      </c>
      <c r="G57" s="16" t="s">
        <v>2236</v>
      </c>
      <c r="H57" s="16" t="s">
        <v>2609</v>
      </c>
      <c r="I57" s="16" t="s">
        <v>2610</v>
      </c>
      <c r="J57" s="16" t="s">
        <v>2588</v>
      </c>
      <c r="K57" s="16" t="s">
        <v>820</v>
      </c>
      <c r="L57" s="16" t="s">
        <v>1101</v>
      </c>
      <c r="M57" s="16" t="s">
        <v>2611</v>
      </c>
    </row>
    <row r="58" customFormat="false" ht="60" hidden="false" customHeight="true" outlineLevel="0" collapsed="false">
      <c r="A58" s="16" t="s">
        <v>614</v>
      </c>
      <c r="B58" s="16" t="s">
        <v>2612</v>
      </c>
      <c r="C58" s="16" t="s">
        <v>2613</v>
      </c>
      <c r="D58" s="16" t="s">
        <v>2614</v>
      </c>
      <c r="E58" s="16" t="s">
        <v>2260</v>
      </c>
      <c r="F58" s="16" t="s">
        <v>1846</v>
      </c>
      <c r="G58" s="16" t="s">
        <v>2236</v>
      </c>
      <c r="H58" s="16" t="s">
        <v>2615</v>
      </c>
      <c r="I58" s="16" t="s">
        <v>2616</v>
      </c>
      <c r="J58" s="16" t="s">
        <v>2263</v>
      </c>
      <c r="K58" s="16" t="s">
        <v>303</v>
      </c>
      <c r="L58" s="16" t="s">
        <v>1449</v>
      </c>
      <c r="M58" s="16" t="s">
        <v>2617</v>
      </c>
    </row>
    <row r="59" customFormat="false" ht="60" hidden="false" customHeight="true" outlineLevel="0" collapsed="false">
      <c r="A59" s="16" t="s">
        <v>2618</v>
      </c>
      <c r="B59" s="16" t="s">
        <v>2619</v>
      </c>
      <c r="C59" s="16" t="s">
        <v>2620</v>
      </c>
      <c r="D59" s="16" t="s">
        <v>2621</v>
      </c>
      <c r="E59" s="16" t="s">
        <v>2622</v>
      </c>
      <c r="F59" s="16" t="s">
        <v>1846</v>
      </c>
      <c r="G59" s="16" t="s">
        <v>2236</v>
      </c>
      <c r="H59" s="16" t="s">
        <v>2623</v>
      </c>
      <c r="I59" s="16" t="s">
        <v>2624</v>
      </c>
      <c r="J59" s="16" t="s">
        <v>2625</v>
      </c>
      <c r="K59" s="16" t="s">
        <v>303</v>
      </c>
      <c r="L59" s="16" t="s">
        <v>1449</v>
      </c>
      <c r="M59" s="16" t="s">
        <v>2626</v>
      </c>
    </row>
    <row r="60" customFormat="false" ht="60" hidden="false" customHeight="true" outlineLevel="0" collapsed="false">
      <c r="A60" s="16" t="s">
        <v>2627</v>
      </c>
      <c r="B60" s="16" t="s">
        <v>2628</v>
      </c>
      <c r="C60" s="16" t="s">
        <v>2620</v>
      </c>
      <c r="D60" s="16" t="s">
        <v>2629</v>
      </c>
      <c r="E60" s="16" t="s">
        <v>2630</v>
      </c>
      <c r="F60" s="16" t="s">
        <v>1846</v>
      </c>
      <c r="G60" s="16" t="s">
        <v>2236</v>
      </c>
      <c r="H60" s="16" t="s">
        <v>2631</v>
      </c>
      <c r="I60" s="16" t="s">
        <v>2632</v>
      </c>
      <c r="J60" s="16" t="s">
        <v>2263</v>
      </c>
      <c r="K60" s="16" t="s">
        <v>303</v>
      </c>
      <c r="L60" s="16" t="s">
        <v>1115</v>
      </c>
      <c r="M60" s="16" t="s">
        <v>2633</v>
      </c>
    </row>
    <row r="61" customFormat="false" ht="60" hidden="false" customHeight="true" outlineLevel="0" collapsed="false">
      <c r="A61" s="16" t="s">
        <v>2634</v>
      </c>
      <c r="B61" s="16" t="s">
        <v>2635</v>
      </c>
      <c r="C61" s="16" t="s">
        <v>2636</v>
      </c>
      <c r="D61" s="16" t="s">
        <v>2637</v>
      </c>
      <c r="E61" s="16" t="s">
        <v>2638</v>
      </c>
      <c r="F61" s="16" t="s">
        <v>1846</v>
      </c>
      <c r="G61" s="16" t="s">
        <v>2236</v>
      </c>
      <c r="H61" s="16" t="s">
        <v>2639</v>
      </c>
      <c r="I61" s="16" t="s">
        <v>2640</v>
      </c>
      <c r="J61" s="16" t="s">
        <v>2263</v>
      </c>
      <c r="K61" s="16" t="s">
        <v>820</v>
      </c>
      <c r="L61" s="16" t="s">
        <v>1101</v>
      </c>
      <c r="M61" s="16" t="s">
        <v>2641</v>
      </c>
    </row>
    <row r="62" customFormat="false" ht="60" hidden="false" customHeight="true" outlineLevel="0" collapsed="false">
      <c r="A62" s="16" t="s">
        <v>821</v>
      </c>
      <c r="B62" s="16" t="s">
        <v>2642</v>
      </c>
      <c r="C62" s="16" t="s">
        <v>2643</v>
      </c>
      <c r="D62" s="16" t="s">
        <v>2644</v>
      </c>
      <c r="E62" s="16" t="s">
        <v>2645</v>
      </c>
      <c r="F62" s="16" t="s">
        <v>1846</v>
      </c>
      <c r="G62" s="16" t="s">
        <v>2236</v>
      </c>
      <c r="H62" s="16" t="s">
        <v>2646</v>
      </c>
      <c r="I62" s="16" t="s">
        <v>2647</v>
      </c>
      <c r="J62" s="16" t="s">
        <v>2648</v>
      </c>
      <c r="K62" s="16" t="s">
        <v>820</v>
      </c>
      <c r="L62" s="16" t="s">
        <v>1101</v>
      </c>
      <c r="M62" s="16" t="s">
        <v>2649</v>
      </c>
    </row>
    <row r="63" customFormat="false" ht="60" hidden="false" customHeight="true" outlineLevel="0" collapsed="false">
      <c r="A63" s="16" t="s">
        <v>846</v>
      </c>
      <c r="B63" s="16" t="s">
        <v>2650</v>
      </c>
      <c r="C63" s="16" t="s">
        <v>2465</v>
      </c>
      <c r="D63" s="16" t="s">
        <v>2651</v>
      </c>
      <c r="E63" s="16" t="s">
        <v>2652</v>
      </c>
      <c r="F63" s="16" t="s">
        <v>1846</v>
      </c>
      <c r="G63" s="16" t="s">
        <v>2236</v>
      </c>
      <c r="H63" s="16" t="s">
        <v>2653</v>
      </c>
      <c r="I63" s="16" t="s">
        <v>2654</v>
      </c>
      <c r="J63" s="16" t="s">
        <v>2511</v>
      </c>
      <c r="K63" s="16" t="s">
        <v>820</v>
      </c>
      <c r="L63" s="16" t="s">
        <v>2240</v>
      </c>
      <c r="M63" s="16" t="s">
        <v>2655</v>
      </c>
    </row>
    <row r="64" customFormat="false" ht="60" hidden="false" customHeight="true" outlineLevel="0" collapsed="false">
      <c r="A64" s="16" t="s">
        <v>1288</v>
      </c>
      <c r="B64" s="16" t="s">
        <v>2656</v>
      </c>
      <c r="C64" s="16" t="s">
        <v>2643</v>
      </c>
      <c r="D64" s="16" t="s">
        <v>2657</v>
      </c>
      <c r="E64" s="16" t="s">
        <v>2658</v>
      </c>
      <c r="F64" s="16" t="s">
        <v>1846</v>
      </c>
      <c r="G64" s="16" t="s">
        <v>2236</v>
      </c>
      <c r="H64" s="16" t="s">
        <v>2659</v>
      </c>
      <c r="I64" s="16" t="s">
        <v>2660</v>
      </c>
      <c r="J64" s="16" t="s">
        <v>2588</v>
      </c>
      <c r="K64" s="16" t="s">
        <v>297</v>
      </c>
      <c r="L64" s="16" t="s">
        <v>1115</v>
      </c>
      <c r="M64" s="16" t="s">
        <v>2661</v>
      </c>
    </row>
    <row r="65" customFormat="false" ht="60" hidden="false" customHeight="true" outlineLevel="0" collapsed="false">
      <c r="A65" s="16" t="s">
        <v>855</v>
      </c>
      <c r="B65" s="16" t="s">
        <v>2662</v>
      </c>
      <c r="C65" s="16" t="s">
        <v>2663</v>
      </c>
      <c r="D65" s="16" t="s">
        <v>2664</v>
      </c>
      <c r="E65" s="16" t="s">
        <v>2665</v>
      </c>
      <c r="F65" s="16" t="s">
        <v>1846</v>
      </c>
      <c r="G65" s="16" t="s">
        <v>2236</v>
      </c>
      <c r="H65" s="16" t="s">
        <v>2666</v>
      </c>
      <c r="I65" s="16" t="s">
        <v>2667</v>
      </c>
      <c r="J65" s="16" t="s">
        <v>2668</v>
      </c>
      <c r="K65" s="16" t="s">
        <v>576</v>
      </c>
      <c r="L65" s="16" t="s">
        <v>1108</v>
      </c>
      <c r="M65" s="16" t="s">
        <v>2669</v>
      </c>
    </row>
    <row r="66" customFormat="false" ht="60" hidden="false" customHeight="true" outlineLevel="0" collapsed="false">
      <c r="A66" s="16" t="s">
        <v>1861</v>
      </c>
      <c r="B66" s="16" t="s">
        <v>2670</v>
      </c>
      <c r="C66" s="16" t="s">
        <v>2671</v>
      </c>
      <c r="D66" s="16" t="s">
        <v>2672</v>
      </c>
      <c r="E66" s="16" t="s">
        <v>2673</v>
      </c>
      <c r="F66" s="16" t="s">
        <v>1846</v>
      </c>
      <c r="G66" s="16" t="s">
        <v>2236</v>
      </c>
      <c r="H66" s="16" t="s">
        <v>2674</v>
      </c>
      <c r="I66" s="16" t="s">
        <v>2675</v>
      </c>
      <c r="J66" s="16" t="s">
        <v>2676</v>
      </c>
      <c r="K66" s="16" t="s">
        <v>820</v>
      </c>
      <c r="L66" s="16" t="s">
        <v>1101</v>
      </c>
      <c r="M66" s="16" t="s">
        <v>2677</v>
      </c>
    </row>
    <row r="67" customFormat="false" ht="60" hidden="false" customHeight="true" outlineLevel="0" collapsed="false">
      <c r="A67" s="16" t="s">
        <v>1847</v>
      </c>
      <c r="B67" s="16" t="s">
        <v>2678</v>
      </c>
      <c r="C67" s="16" t="s">
        <v>2671</v>
      </c>
      <c r="D67" s="16" t="s">
        <v>2679</v>
      </c>
      <c r="E67" s="16" t="s">
        <v>2673</v>
      </c>
      <c r="F67" s="16" t="s">
        <v>1846</v>
      </c>
      <c r="G67" s="16" t="s">
        <v>2236</v>
      </c>
      <c r="H67" s="16" t="s">
        <v>2680</v>
      </c>
      <c r="I67" s="16" t="s">
        <v>2681</v>
      </c>
      <c r="J67" s="16" t="s">
        <v>2676</v>
      </c>
      <c r="K67" s="16" t="s">
        <v>820</v>
      </c>
      <c r="L67" s="16" t="s">
        <v>2240</v>
      </c>
      <c r="M67" s="16" t="s">
        <v>2682</v>
      </c>
    </row>
    <row r="68" customFormat="false" ht="60" hidden="false" customHeight="true" outlineLevel="0" collapsed="false">
      <c r="A68" s="16" t="s">
        <v>1854</v>
      </c>
      <c r="B68" s="16" t="s">
        <v>2683</v>
      </c>
      <c r="C68" s="16" t="s">
        <v>2671</v>
      </c>
      <c r="D68" s="16" t="s">
        <v>2684</v>
      </c>
      <c r="E68" s="16" t="s">
        <v>2685</v>
      </c>
      <c r="F68" s="16" t="s">
        <v>1846</v>
      </c>
      <c r="G68" s="16" t="s">
        <v>2236</v>
      </c>
      <c r="H68" s="16" t="s">
        <v>2686</v>
      </c>
      <c r="I68" s="16" t="s">
        <v>2687</v>
      </c>
      <c r="J68" s="16" t="s">
        <v>2676</v>
      </c>
      <c r="K68" s="16" t="s">
        <v>820</v>
      </c>
      <c r="L68" s="16" t="s">
        <v>1101</v>
      </c>
      <c r="M68" s="16" t="s">
        <v>2682</v>
      </c>
    </row>
    <row r="69" customFormat="false" ht="60" hidden="false" customHeight="true" outlineLevel="0" collapsed="false">
      <c r="A69" s="16" t="s">
        <v>1867</v>
      </c>
      <c r="B69" s="16" t="s">
        <v>2688</v>
      </c>
      <c r="C69" s="16" t="s">
        <v>2671</v>
      </c>
      <c r="D69" s="16" t="s">
        <v>2689</v>
      </c>
      <c r="E69" s="16" t="s">
        <v>2685</v>
      </c>
      <c r="F69" s="16" t="s">
        <v>1846</v>
      </c>
      <c r="G69" s="16" t="s">
        <v>2236</v>
      </c>
      <c r="H69" s="16" t="s">
        <v>2690</v>
      </c>
      <c r="I69" s="16" t="s">
        <v>2691</v>
      </c>
      <c r="J69" s="16" t="s">
        <v>2676</v>
      </c>
      <c r="K69" s="16" t="s">
        <v>820</v>
      </c>
      <c r="L69" s="16" t="s">
        <v>1449</v>
      </c>
      <c r="M69" s="16" t="s">
        <v>2692</v>
      </c>
    </row>
    <row r="70" customFormat="false" ht="60" hidden="false" customHeight="true" outlineLevel="0" collapsed="false">
      <c r="A70" s="16" t="s">
        <v>1880</v>
      </c>
      <c r="B70" s="16" t="s">
        <v>2693</v>
      </c>
      <c r="C70" s="16" t="s">
        <v>1873</v>
      </c>
      <c r="D70" s="16" t="s">
        <v>2694</v>
      </c>
      <c r="E70" s="16" t="s">
        <v>2695</v>
      </c>
      <c r="F70" s="16" t="s">
        <v>1846</v>
      </c>
      <c r="G70" s="16" t="s">
        <v>2236</v>
      </c>
      <c r="H70" s="16" t="s">
        <v>2696</v>
      </c>
      <c r="I70" s="16" t="s">
        <v>2697</v>
      </c>
      <c r="J70" s="16" t="s">
        <v>2676</v>
      </c>
      <c r="K70" s="16" t="s">
        <v>820</v>
      </c>
      <c r="L70" s="16" t="s">
        <v>1101</v>
      </c>
      <c r="M70" s="16" t="s">
        <v>2698</v>
      </c>
    </row>
    <row r="71" customFormat="false" ht="60" hidden="false" customHeight="true" outlineLevel="0" collapsed="false">
      <c r="A71" s="16" t="s">
        <v>1897</v>
      </c>
      <c r="B71" s="16" t="s">
        <v>2699</v>
      </c>
      <c r="C71" s="16" t="s">
        <v>2700</v>
      </c>
      <c r="D71" s="16" t="s">
        <v>2701</v>
      </c>
      <c r="E71" s="16" t="s">
        <v>2702</v>
      </c>
      <c r="F71" s="16" t="s">
        <v>1846</v>
      </c>
      <c r="G71" s="16" t="s">
        <v>2236</v>
      </c>
      <c r="H71" s="16" t="s">
        <v>2703</v>
      </c>
      <c r="I71" s="16" t="s">
        <v>2704</v>
      </c>
      <c r="J71" s="16" t="s">
        <v>2705</v>
      </c>
      <c r="K71" s="16" t="s">
        <v>820</v>
      </c>
      <c r="L71" s="16" t="s">
        <v>1449</v>
      </c>
      <c r="M71" s="16" t="s">
        <v>2706</v>
      </c>
    </row>
    <row r="72" customFormat="false" ht="60" hidden="false" customHeight="true" outlineLevel="0" collapsed="false">
      <c r="A72" s="16" t="s">
        <v>1916</v>
      </c>
      <c r="B72" s="16" t="s">
        <v>2707</v>
      </c>
      <c r="C72" s="16" t="s">
        <v>2708</v>
      </c>
      <c r="D72" s="16" t="s">
        <v>2709</v>
      </c>
      <c r="E72" s="16" t="s">
        <v>1251</v>
      </c>
      <c r="F72" s="16" t="s">
        <v>1846</v>
      </c>
      <c r="G72" s="16" t="s">
        <v>2236</v>
      </c>
      <c r="H72" s="16" t="s">
        <v>2710</v>
      </c>
      <c r="I72" s="16" t="s">
        <v>2711</v>
      </c>
      <c r="J72" s="16" t="s">
        <v>2676</v>
      </c>
      <c r="K72" s="16" t="s">
        <v>820</v>
      </c>
      <c r="L72" s="16" t="s">
        <v>1101</v>
      </c>
      <c r="M72" s="16" t="s">
        <v>2712</v>
      </c>
    </row>
    <row r="73" customFormat="false" ht="60" hidden="false" customHeight="true" outlineLevel="0" collapsed="false">
      <c r="A73" s="16" t="s">
        <v>439</v>
      </c>
      <c r="B73" s="16" t="s">
        <v>2713</v>
      </c>
      <c r="C73" s="16" t="s">
        <v>2714</v>
      </c>
      <c r="D73" s="16" t="s">
        <v>2715</v>
      </c>
      <c r="E73" s="16" t="s">
        <v>1251</v>
      </c>
      <c r="F73" s="16" t="s">
        <v>1846</v>
      </c>
      <c r="G73" s="16" t="s">
        <v>2236</v>
      </c>
      <c r="H73" s="16" t="s">
        <v>2716</v>
      </c>
      <c r="I73" s="16" t="s">
        <v>2717</v>
      </c>
      <c r="J73" s="16" t="s">
        <v>2676</v>
      </c>
      <c r="K73" s="16" t="s">
        <v>820</v>
      </c>
      <c r="L73" s="16" t="s">
        <v>1449</v>
      </c>
      <c r="M73" s="16" t="s">
        <v>2718</v>
      </c>
    </row>
    <row r="74" customFormat="false" ht="60" hidden="false" customHeight="true" outlineLevel="0" collapsed="false">
      <c r="A74" s="16" t="s">
        <v>1935</v>
      </c>
      <c r="B74" s="16" t="s">
        <v>2719</v>
      </c>
      <c r="C74" s="16" t="s">
        <v>2720</v>
      </c>
      <c r="D74" s="16" t="s">
        <v>2721</v>
      </c>
      <c r="E74" s="16" t="s">
        <v>1934</v>
      </c>
      <c r="F74" s="16" t="s">
        <v>1846</v>
      </c>
      <c r="G74" s="16" t="s">
        <v>2236</v>
      </c>
      <c r="H74" s="16" t="s">
        <v>2722</v>
      </c>
      <c r="I74" s="16" t="s">
        <v>2723</v>
      </c>
      <c r="J74" s="16" t="s">
        <v>2724</v>
      </c>
      <c r="K74" s="16" t="s">
        <v>297</v>
      </c>
      <c r="L74" s="16" t="s">
        <v>1115</v>
      </c>
      <c r="M74" s="16" t="s">
        <v>2725</v>
      </c>
    </row>
    <row r="75" customFormat="false" ht="60" hidden="false" customHeight="true" outlineLevel="0" collapsed="false">
      <c r="A75" s="16" t="s">
        <v>456</v>
      </c>
      <c r="B75" s="16" t="s">
        <v>2726</v>
      </c>
      <c r="C75" s="16" t="s">
        <v>2727</v>
      </c>
      <c r="D75" s="16" t="s">
        <v>2728</v>
      </c>
      <c r="E75" s="16" t="s">
        <v>1251</v>
      </c>
      <c r="F75" s="16" t="s">
        <v>1846</v>
      </c>
      <c r="G75" s="16" t="s">
        <v>2236</v>
      </c>
      <c r="H75" s="16" t="s">
        <v>2729</v>
      </c>
      <c r="I75" s="16" t="s">
        <v>2730</v>
      </c>
      <c r="J75" s="16" t="s">
        <v>2263</v>
      </c>
      <c r="K75" s="16" t="s">
        <v>820</v>
      </c>
      <c r="L75" s="16" t="s">
        <v>1101</v>
      </c>
      <c r="M75" s="16" t="s">
        <v>2731</v>
      </c>
    </row>
    <row r="76" customFormat="false" ht="60" hidden="false" customHeight="true" outlineLevel="0" collapsed="false">
      <c r="A76" s="16" t="s">
        <v>2732</v>
      </c>
      <c r="B76" s="16" t="s">
        <v>2733</v>
      </c>
      <c r="C76" s="16" t="s">
        <v>2734</v>
      </c>
      <c r="D76" s="16" t="s">
        <v>2735</v>
      </c>
      <c r="E76" s="16" t="s">
        <v>2260</v>
      </c>
      <c r="F76" s="16" t="s">
        <v>1846</v>
      </c>
      <c r="G76" s="16" t="s">
        <v>2236</v>
      </c>
      <c r="H76" s="16" t="s">
        <v>2736</v>
      </c>
      <c r="I76" s="16" t="s">
        <v>2737</v>
      </c>
      <c r="J76" s="16" t="s">
        <v>2263</v>
      </c>
      <c r="K76" s="16" t="s">
        <v>820</v>
      </c>
      <c r="L76" s="16" t="s">
        <v>1101</v>
      </c>
      <c r="M76" s="16" t="s">
        <v>2738</v>
      </c>
    </row>
    <row r="77" customFormat="false" ht="60" hidden="false" customHeight="true" outlineLevel="0" collapsed="false">
      <c r="A77" s="16" t="s">
        <v>2739</v>
      </c>
      <c r="B77" s="16" t="s">
        <v>2740</v>
      </c>
      <c r="C77" s="16" t="s">
        <v>2741</v>
      </c>
      <c r="D77" s="16" t="s">
        <v>2742</v>
      </c>
      <c r="E77" s="16" t="s">
        <v>2508</v>
      </c>
      <c r="F77" s="16" t="s">
        <v>1846</v>
      </c>
      <c r="G77" s="16" t="s">
        <v>2236</v>
      </c>
      <c r="H77" s="16" t="s">
        <v>2743</v>
      </c>
      <c r="I77" s="16" t="s">
        <v>2744</v>
      </c>
      <c r="J77" s="16" t="s">
        <v>2263</v>
      </c>
      <c r="K77" s="16" t="s">
        <v>820</v>
      </c>
      <c r="L77" s="16" t="s">
        <v>1449</v>
      </c>
      <c r="M77" s="16" t="s">
        <v>2745</v>
      </c>
    </row>
    <row r="78" customFormat="false" ht="60" hidden="false" customHeight="true" outlineLevel="0" collapsed="false">
      <c r="A78" s="16" t="s">
        <v>2746</v>
      </c>
      <c r="B78" s="16" t="s">
        <v>2747</v>
      </c>
      <c r="C78" s="16" t="s">
        <v>2748</v>
      </c>
      <c r="D78" s="16" t="s">
        <v>2749</v>
      </c>
      <c r="E78" s="16" t="s">
        <v>1251</v>
      </c>
      <c r="F78" s="16" t="s">
        <v>1846</v>
      </c>
      <c r="G78" s="16" t="s">
        <v>2236</v>
      </c>
      <c r="H78" s="16" t="s">
        <v>2750</v>
      </c>
      <c r="I78" s="16" t="s">
        <v>2751</v>
      </c>
      <c r="J78" s="16" t="s">
        <v>2752</v>
      </c>
      <c r="K78" s="16" t="s">
        <v>820</v>
      </c>
      <c r="L78" s="16" t="s">
        <v>1101</v>
      </c>
      <c r="M78" s="16" t="s">
        <v>2753</v>
      </c>
    </row>
    <row r="79" customFormat="false" ht="60" hidden="false" customHeight="true" outlineLevel="0" collapsed="false">
      <c r="A79" s="16" t="s">
        <v>2754</v>
      </c>
      <c r="B79" s="16" t="s">
        <v>2755</v>
      </c>
      <c r="C79" s="16" t="s">
        <v>2756</v>
      </c>
      <c r="D79" s="16" t="s">
        <v>2757</v>
      </c>
      <c r="E79" s="16" t="s">
        <v>1251</v>
      </c>
      <c r="F79" s="16" t="s">
        <v>1846</v>
      </c>
      <c r="G79" s="16" t="s">
        <v>2236</v>
      </c>
      <c r="H79" s="16" t="s">
        <v>2758</v>
      </c>
      <c r="I79" s="16" t="s">
        <v>2759</v>
      </c>
      <c r="J79" s="16" t="s">
        <v>2760</v>
      </c>
      <c r="K79" s="16" t="s">
        <v>297</v>
      </c>
      <c r="L79" s="16" t="s">
        <v>1115</v>
      </c>
      <c r="M79" s="16" t="s">
        <v>2761</v>
      </c>
    </row>
    <row r="80" customFormat="false" ht="60" hidden="false" customHeight="true" outlineLevel="0" collapsed="false">
      <c r="A80" s="16" t="s">
        <v>2762</v>
      </c>
      <c r="B80" s="16" t="s">
        <v>2763</v>
      </c>
      <c r="C80" s="16" t="s">
        <v>2764</v>
      </c>
      <c r="D80" s="16" t="s">
        <v>2765</v>
      </c>
      <c r="E80" s="16" t="s">
        <v>1251</v>
      </c>
      <c r="F80" s="16" t="s">
        <v>1846</v>
      </c>
      <c r="G80" s="16" t="s">
        <v>2236</v>
      </c>
      <c r="H80" s="16" t="s">
        <v>2766</v>
      </c>
      <c r="I80" s="16" t="s">
        <v>2767</v>
      </c>
      <c r="J80" s="16" t="s">
        <v>2752</v>
      </c>
      <c r="K80" s="16" t="s">
        <v>820</v>
      </c>
      <c r="L80" s="16" t="s">
        <v>1101</v>
      </c>
      <c r="M80" s="16" t="s">
        <v>2768</v>
      </c>
    </row>
    <row r="81" customFormat="false" ht="60" hidden="false" customHeight="true" outlineLevel="0" collapsed="false">
      <c r="A81" s="16" t="s">
        <v>2769</v>
      </c>
      <c r="B81" s="16" t="s">
        <v>2770</v>
      </c>
      <c r="C81" s="16" t="s">
        <v>2771</v>
      </c>
      <c r="D81" s="16" t="s">
        <v>2772</v>
      </c>
      <c r="E81" s="16" t="s">
        <v>2773</v>
      </c>
      <c r="F81" s="16" t="s">
        <v>1846</v>
      </c>
      <c r="G81" s="16" t="s">
        <v>2774</v>
      </c>
      <c r="H81" s="16" t="s">
        <v>2775</v>
      </c>
      <c r="I81" s="16" t="s">
        <v>2776</v>
      </c>
      <c r="J81" s="16" t="s">
        <v>2777</v>
      </c>
      <c r="K81" s="16" t="s">
        <v>297</v>
      </c>
      <c r="L81" s="16" t="s">
        <v>489</v>
      </c>
      <c r="M81" s="16" t="s">
        <v>2778</v>
      </c>
    </row>
    <row r="82" customFormat="false" ht="60" hidden="false" customHeight="true" outlineLevel="0" collapsed="false">
      <c r="A82" s="16" t="s">
        <v>907</v>
      </c>
      <c r="B82" s="16" t="s">
        <v>2779</v>
      </c>
      <c r="C82" s="16" t="s">
        <v>2780</v>
      </c>
      <c r="D82" s="16" t="s">
        <v>2781</v>
      </c>
      <c r="E82" s="16" t="s">
        <v>2260</v>
      </c>
      <c r="F82" s="16" t="s">
        <v>1846</v>
      </c>
      <c r="G82" s="16" t="s">
        <v>2236</v>
      </c>
      <c r="H82" s="16" t="s">
        <v>2782</v>
      </c>
      <c r="I82" s="16" t="s">
        <v>2783</v>
      </c>
      <c r="J82" s="16" t="s">
        <v>2263</v>
      </c>
      <c r="K82" s="16" t="s">
        <v>303</v>
      </c>
      <c r="L82" s="16" t="s">
        <v>1449</v>
      </c>
      <c r="M82" s="16" t="s">
        <v>2784</v>
      </c>
    </row>
    <row r="83" customFormat="false" ht="60" hidden="false" customHeight="true" outlineLevel="0" collapsed="false">
      <c r="A83" s="16" t="s">
        <v>2785</v>
      </c>
      <c r="B83" s="16" t="s">
        <v>2786</v>
      </c>
      <c r="C83" s="16" t="s">
        <v>2787</v>
      </c>
      <c r="D83" s="16" t="s">
        <v>2788</v>
      </c>
      <c r="E83" s="16" t="s">
        <v>2789</v>
      </c>
      <c r="F83" s="16" t="s">
        <v>1846</v>
      </c>
      <c r="G83" s="16" t="s">
        <v>2236</v>
      </c>
      <c r="H83" s="16" t="s">
        <v>2790</v>
      </c>
      <c r="I83" s="16" t="s">
        <v>2791</v>
      </c>
      <c r="J83" s="16" t="s">
        <v>2421</v>
      </c>
      <c r="K83" s="16" t="s">
        <v>576</v>
      </c>
      <c r="L83" s="16" t="s">
        <v>1108</v>
      </c>
      <c r="M83" s="16" t="s">
        <v>2792</v>
      </c>
    </row>
    <row r="84" customFormat="false" ht="60" hidden="false" customHeight="true" outlineLevel="0" collapsed="false">
      <c r="A84" s="16" t="s">
        <v>1020</v>
      </c>
      <c r="B84" s="16" t="s">
        <v>2793</v>
      </c>
      <c r="C84" s="16" t="s">
        <v>2794</v>
      </c>
      <c r="D84" s="16" t="s">
        <v>2795</v>
      </c>
      <c r="E84" s="16" t="s">
        <v>2260</v>
      </c>
      <c r="F84" s="16" t="s">
        <v>1846</v>
      </c>
      <c r="G84" s="16" t="s">
        <v>2236</v>
      </c>
      <c r="H84" s="16" t="s">
        <v>2796</v>
      </c>
      <c r="I84" s="16" t="s">
        <v>2797</v>
      </c>
      <c r="J84" s="16" t="s">
        <v>2263</v>
      </c>
      <c r="K84" s="16" t="s">
        <v>303</v>
      </c>
      <c r="L84" s="16" t="s">
        <v>1101</v>
      </c>
      <c r="M84" s="16" t="s">
        <v>2798</v>
      </c>
    </row>
    <row r="85" customFormat="false" ht="60" hidden="false" customHeight="true" outlineLevel="0" collapsed="false">
      <c r="A85" s="16" t="s">
        <v>549</v>
      </c>
      <c r="B85" s="16" t="s">
        <v>2799</v>
      </c>
      <c r="C85" s="16" t="s">
        <v>2800</v>
      </c>
      <c r="D85" s="16" t="s">
        <v>2801</v>
      </c>
      <c r="E85" s="16" t="s">
        <v>2585</v>
      </c>
      <c r="F85" s="16" t="s">
        <v>1846</v>
      </c>
      <c r="G85" s="16" t="s">
        <v>2236</v>
      </c>
      <c r="H85" s="16" t="s">
        <v>2802</v>
      </c>
      <c r="I85" s="16" t="s">
        <v>2803</v>
      </c>
      <c r="J85" s="16" t="s">
        <v>2263</v>
      </c>
      <c r="K85" s="16" t="s">
        <v>303</v>
      </c>
      <c r="L85" s="16" t="s">
        <v>1449</v>
      </c>
      <c r="M85" s="16" t="s">
        <v>2804</v>
      </c>
    </row>
    <row r="86" customFormat="false" ht="60" hidden="false" customHeight="true" outlineLevel="0" collapsed="false">
      <c r="A86" s="16" t="s">
        <v>1964</v>
      </c>
      <c r="B86" s="16" t="s">
        <v>2805</v>
      </c>
      <c r="C86" s="16" t="s">
        <v>2806</v>
      </c>
      <c r="D86" s="16" t="s">
        <v>2807</v>
      </c>
      <c r="E86" s="16" t="s">
        <v>2808</v>
      </c>
      <c r="F86" s="16" t="s">
        <v>1846</v>
      </c>
      <c r="G86" s="16" t="s">
        <v>2236</v>
      </c>
      <c r="H86" s="16" t="s">
        <v>2809</v>
      </c>
      <c r="I86" s="16" t="s">
        <v>2810</v>
      </c>
      <c r="J86" s="16" t="s">
        <v>2263</v>
      </c>
      <c r="K86" s="16" t="s">
        <v>303</v>
      </c>
      <c r="L86" s="16" t="s">
        <v>1115</v>
      </c>
      <c r="M86" s="16" t="s">
        <v>2811</v>
      </c>
    </row>
    <row r="87" customFormat="false" ht="60" hidden="false" customHeight="true" outlineLevel="0" collapsed="false">
      <c r="A87" s="16" t="s">
        <v>2812</v>
      </c>
      <c r="B87" s="16" t="s">
        <v>2813</v>
      </c>
      <c r="C87" s="16" t="s">
        <v>2814</v>
      </c>
      <c r="D87" s="16" t="s">
        <v>2815</v>
      </c>
      <c r="E87" s="16" t="s">
        <v>2330</v>
      </c>
      <c r="F87" s="16" t="s">
        <v>1846</v>
      </c>
      <c r="G87" s="16" t="s">
        <v>2236</v>
      </c>
      <c r="H87" s="16" t="s">
        <v>2816</v>
      </c>
      <c r="I87" s="16" t="s">
        <v>2817</v>
      </c>
      <c r="J87" s="16" t="s">
        <v>2263</v>
      </c>
      <c r="K87" s="16" t="s">
        <v>303</v>
      </c>
      <c r="L87" s="16" t="s">
        <v>1115</v>
      </c>
      <c r="M87" s="16" t="s">
        <v>2818</v>
      </c>
    </row>
    <row r="88" customFormat="false" ht="60" hidden="false" customHeight="true" outlineLevel="0" collapsed="false">
      <c r="A88" s="16" t="s">
        <v>973</v>
      </c>
      <c r="B88" s="16" t="s">
        <v>2819</v>
      </c>
      <c r="C88" s="16" t="s">
        <v>2820</v>
      </c>
      <c r="D88" s="16" t="s">
        <v>2821</v>
      </c>
      <c r="E88" s="16" t="s">
        <v>2315</v>
      </c>
      <c r="F88" s="16" t="s">
        <v>1846</v>
      </c>
      <c r="G88" s="16" t="s">
        <v>2236</v>
      </c>
      <c r="H88" s="16" t="s">
        <v>2822</v>
      </c>
      <c r="I88" s="16" t="s">
        <v>2823</v>
      </c>
      <c r="J88" s="16" t="s">
        <v>2263</v>
      </c>
      <c r="K88" s="16" t="s">
        <v>820</v>
      </c>
      <c r="L88" s="16" t="s">
        <v>1449</v>
      </c>
      <c r="M88" s="16" t="s">
        <v>2824</v>
      </c>
    </row>
    <row r="89" customFormat="false" ht="60" hidden="false" customHeight="true" outlineLevel="0" collapsed="false">
      <c r="A89" s="16" t="s">
        <v>2825</v>
      </c>
      <c r="B89" s="16" t="s">
        <v>2826</v>
      </c>
      <c r="C89" s="16" t="s">
        <v>2827</v>
      </c>
      <c r="D89" s="16" t="s">
        <v>2828</v>
      </c>
      <c r="E89" s="16" t="s">
        <v>2260</v>
      </c>
      <c r="F89" s="16" t="s">
        <v>1846</v>
      </c>
      <c r="G89" s="16" t="s">
        <v>2236</v>
      </c>
      <c r="H89" s="16" t="s">
        <v>2829</v>
      </c>
      <c r="I89" s="16" t="s">
        <v>2830</v>
      </c>
      <c r="J89" s="16" t="s">
        <v>2263</v>
      </c>
      <c r="K89" s="16" t="s">
        <v>820</v>
      </c>
      <c r="L89" s="16" t="s">
        <v>1101</v>
      </c>
      <c r="M89" s="16" t="s">
        <v>2831</v>
      </c>
    </row>
    <row r="90" customFormat="false" ht="60" hidden="false" customHeight="true" outlineLevel="0" collapsed="false">
      <c r="A90" s="16" t="s">
        <v>2832</v>
      </c>
      <c r="B90" s="16" t="s">
        <v>2833</v>
      </c>
      <c r="C90" s="16" t="s">
        <v>2834</v>
      </c>
      <c r="D90" s="16" t="s">
        <v>2835</v>
      </c>
      <c r="E90" s="16" t="s">
        <v>954</v>
      </c>
      <c r="F90" s="16" t="s">
        <v>1846</v>
      </c>
      <c r="G90" s="16" t="s">
        <v>2236</v>
      </c>
      <c r="H90" s="16" t="s">
        <v>2836</v>
      </c>
      <c r="I90" s="16" t="s">
        <v>2837</v>
      </c>
      <c r="J90" s="16" t="s">
        <v>2228</v>
      </c>
      <c r="K90" s="16" t="s">
        <v>576</v>
      </c>
      <c r="L90" s="16" t="s">
        <v>1108</v>
      </c>
      <c r="M90" s="16" t="s">
        <v>2838</v>
      </c>
    </row>
    <row r="91" customFormat="false" ht="60" hidden="false" customHeight="true" outlineLevel="0" collapsed="false">
      <c r="A91" s="16" t="s">
        <v>2839</v>
      </c>
      <c r="B91" s="16" t="s">
        <v>2840</v>
      </c>
      <c r="C91" s="16" t="s">
        <v>2841</v>
      </c>
      <c r="D91" s="16" t="s">
        <v>2842</v>
      </c>
      <c r="E91" s="16" t="s">
        <v>2843</v>
      </c>
      <c r="F91" s="16" t="s">
        <v>1846</v>
      </c>
      <c r="G91" s="16" t="s">
        <v>2236</v>
      </c>
      <c r="H91" s="16" t="s">
        <v>2844</v>
      </c>
      <c r="I91" s="16" t="s">
        <v>2845</v>
      </c>
      <c r="J91" s="16" t="s">
        <v>2846</v>
      </c>
      <c r="K91" s="16" t="s">
        <v>820</v>
      </c>
      <c r="L91" s="16" t="s">
        <v>1101</v>
      </c>
      <c r="M91" s="16" t="s">
        <v>2847</v>
      </c>
    </row>
    <row r="92" customFormat="false" ht="60" hidden="false" customHeight="true" outlineLevel="0" collapsed="false">
      <c r="A92" s="16" t="s">
        <v>1944</v>
      </c>
      <c r="B92" s="16" t="s">
        <v>2848</v>
      </c>
      <c r="C92" s="16" t="s">
        <v>2849</v>
      </c>
      <c r="D92" s="16" t="s">
        <v>2850</v>
      </c>
      <c r="E92" s="16" t="s">
        <v>2315</v>
      </c>
      <c r="F92" s="16" t="s">
        <v>1846</v>
      </c>
      <c r="G92" s="16" t="s">
        <v>2236</v>
      </c>
      <c r="H92" s="16" t="s">
        <v>2851</v>
      </c>
      <c r="I92" s="16" t="s">
        <v>2852</v>
      </c>
      <c r="J92" s="16" t="s">
        <v>2853</v>
      </c>
      <c r="K92" s="16" t="s">
        <v>820</v>
      </c>
      <c r="L92" s="16" t="s">
        <v>1101</v>
      </c>
      <c r="M92" s="16" t="s">
        <v>2854</v>
      </c>
    </row>
    <row r="93" customFormat="false" ht="60" hidden="false" customHeight="true" outlineLevel="0" collapsed="false">
      <c r="A93" s="16" t="s">
        <v>2855</v>
      </c>
      <c r="B93" s="16" t="s">
        <v>2856</v>
      </c>
      <c r="C93" s="16" t="s">
        <v>2857</v>
      </c>
      <c r="D93" s="16" t="s">
        <v>2858</v>
      </c>
      <c r="E93" s="16" t="s">
        <v>2843</v>
      </c>
      <c r="F93" s="16" t="s">
        <v>1846</v>
      </c>
      <c r="G93" s="16" t="s">
        <v>2236</v>
      </c>
      <c r="H93" s="16" t="s">
        <v>2859</v>
      </c>
      <c r="I93" s="16" t="s">
        <v>2860</v>
      </c>
      <c r="J93" s="16" t="s">
        <v>2263</v>
      </c>
      <c r="K93" s="16" t="s">
        <v>820</v>
      </c>
      <c r="L93" s="16" t="s">
        <v>1101</v>
      </c>
      <c r="M93" s="16" t="s">
        <v>2861</v>
      </c>
    </row>
    <row r="94" customFormat="false" ht="60" hidden="false" customHeight="true" outlineLevel="0" collapsed="false">
      <c r="A94" s="16" t="s">
        <v>1237</v>
      </c>
      <c r="B94" s="16" t="s">
        <v>2862</v>
      </c>
      <c r="C94" s="16" t="s">
        <v>2863</v>
      </c>
      <c r="D94" s="16" t="s">
        <v>2864</v>
      </c>
      <c r="E94" s="16" t="s">
        <v>2260</v>
      </c>
      <c r="F94" s="16" t="s">
        <v>1846</v>
      </c>
      <c r="G94" s="16" t="s">
        <v>2236</v>
      </c>
      <c r="H94" s="16" t="s">
        <v>2865</v>
      </c>
      <c r="I94" s="16" t="s">
        <v>2866</v>
      </c>
      <c r="J94" s="16" t="s">
        <v>2867</v>
      </c>
      <c r="K94" s="16" t="s">
        <v>820</v>
      </c>
      <c r="L94" s="16" t="s">
        <v>1101</v>
      </c>
      <c r="M94" s="16" t="s">
        <v>2868</v>
      </c>
    </row>
    <row r="95" customFormat="false" ht="60" hidden="false" customHeight="true" outlineLevel="0" collapsed="false">
      <c r="A95" s="16" t="s">
        <v>2869</v>
      </c>
      <c r="B95" s="16" t="s">
        <v>2870</v>
      </c>
      <c r="C95" s="16" t="s">
        <v>2871</v>
      </c>
      <c r="D95" s="16" t="s">
        <v>2872</v>
      </c>
      <c r="E95" s="16" t="s">
        <v>1846</v>
      </c>
      <c r="F95" s="16" t="s">
        <v>1846</v>
      </c>
      <c r="G95" s="16" t="s">
        <v>2236</v>
      </c>
      <c r="H95" s="16" t="s">
        <v>2873</v>
      </c>
      <c r="I95" s="16" t="s">
        <v>2874</v>
      </c>
      <c r="J95" s="16" t="s">
        <v>2875</v>
      </c>
      <c r="K95" s="16" t="s">
        <v>820</v>
      </c>
      <c r="L95" s="16" t="s">
        <v>1101</v>
      </c>
      <c r="M95" s="16" t="s">
        <v>2876</v>
      </c>
    </row>
  </sheetData>
  <conditionalFormatting sqref="K5:K95">
    <cfRule type="expression" priority="2" aboveAverage="0" equalAverage="0" bottom="0" percent="0" rank="0" text="" dxfId="0">
      <formula>LEFT(K5,8)="VERIFIED"</formula>
    </cfRule>
    <cfRule type="expression" priority="3" aboveAverage="0" equalAverage="0" bottom="0" percent="0" rank="0" text="" dxfId="2">
      <formula>OR(K5="ESTIMATED",K5="CALCULATED")</formula>
    </cfRule>
    <cfRule type="expression" priority="4" aboveAverage="0" equalAverage="0" bottom="0" percent="0" rank="0" text="" dxfId="1">
      <formula>OR(K5="ASSUMED",K5="UNRESOLVED",K5="UNVERIFIED")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J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0"/>
    <col collapsed="false" customWidth="true" hidden="false" outlineLevel="0" max="3" min="3" style="0" width="40"/>
    <col collapsed="false" customWidth="true" hidden="false" outlineLevel="0" max="5" min="4" style="0" width="34"/>
    <col collapsed="false" customWidth="true" hidden="false" outlineLevel="0" max="6" min="6" style="0" width="40"/>
    <col collapsed="false" customWidth="true" hidden="false" outlineLevel="0" max="7" min="7" style="0" width="26"/>
    <col collapsed="false" customWidth="true" hidden="false" outlineLevel="0" max="8" min="8" style="0" width="11"/>
    <col collapsed="false" customWidth="true" hidden="false" outlineLevel="0" max="9" min="9" style="0" width="8"/>
    <col collapsed="false" customWidth="true" hidden="false" outlineLevel="0" max="10" min="10" style="0" width="12"/>
  </cols>
  <sheetData>
    <row r="1" customFormat="false" ht="18.55" hidden="false" customHeight="false" outlineLevel="0" collapsed="false">
      <c r="A1" s="1" t="s">
        <v>2877</v>
      </c>
    </row>
    <row r="2" customFormat="false" ht="15" hidden="false" customHeight="false" outlineLevel="0" collapsed="false">
      <c r="A2" s="2" t="s">
        <v>2878</v>
      </c>
    </row>
    <row r="4" customFormat="false" ht="15" hidden="false" customHeight="false" outlineLevel="0" collapsed="false">
      <c r="A4" s="13" t="s">
        <v>279</v>
      </c>
      <c r="B4" s="13" t="s">
        <v>2879</v>
      </c>
      <c r="C4" s="13" t="s">
        <v>360</v>
      </c>
      <c r="D4" s="13" t="s">
        <v>2880</v>
      </c>
      <c r="E4" s="13" t="s">
        <v>2881</v>
      </c>
      <c r="F4" s="13" t="s">
        <v>2882</v>
      </c>
      <c r="G4" s="13" t="s">
        <v>2883</v>
      </c>
      <c r="H4" s="13" t="s">
        <v>2884</v>
      </c>
      <c r="I4" s="13" t="s">
        <v>2885</v>
      </c>
      <c r="J4" s="13" t="s">
        <v>264</v>
      </c>
    </row>
    <row r="5" customFormat="false" ht="63.75" hidden="false" customHeight="true" outlineLevel="0" collapsed="false">
      <c r="A5" s="16" t="s">
        <v>2886</v>
      </c>
      <c r="B5" s="16" t="s">
        <v>2887</v>
      </c>
      <c r="C5" s="16" t="s">
        <v>2888</v>
      </c>
      <c r="D5" s="16" t="s">
        <v>2889</v>
      </c>
      <c r="E5" s="16" t="s">
        <v>2890</v>
      </c>
      <c r="F5" s="16" t="s">
        <v>2891</v>
      </c>
      <c r="G5" s="16" t="s">
        <v>2892</v>
      </c>
      <c r="H5" s="16" t="s">
        <v>2893</v>
      </c>
      <c r="I5" s="16" t="n">
        <v>1</v>
      </c>
      <c r="J5" s="36" t="s">
        <v>1997</v>
      </c>
    </row>
    <row r="6" customFormat="false" ht="63.75" hidden="false" customHeight="true" outlineLevel="0" collapsed="false">
      <c r="A6" s="16" t="s">
        <v>2894</v>
      </c>
      <c r="B6" s="16" t="s">
        <v>2895</v>
      </c>
      <c r="C6" s="16" t="s">
        <v>2896</v>
      </c>
      <c r="D6" s="16" t="s">
        <v>2897</v>
      </c>
      <c r="E6" s="16" t="s">
        <v>2898</v>
      </c>
      <c r="F6" s="16" t="s">
        <v>2899</v>
      </c>
      <c r="G6" s="16" t="s">
        <v>2900</v>
      </c>
      <c r="H6" s="16" t="s">
        <v>2893</v>
      </c>
      <c r="I6" s="16" t="n">
        <v>2</v>
      </c>
      <c r="J6" s="36" t="s">
        <v>1997</v>
      </c>
    </row>
    <row r="7" customFormat="false" ht="63.75" hidden="false" customHeight="true" outlineLevel="0" collapsed="false">
      <c r="A7" s="16" t="s">
        <v>2901</v>
      </c>
      <c r="B7" s="16" t="s">
        <v>2902</v>
      </c>
      <c r="C7" s="16" t="s">
        <v>2903</v>
      </c>
      <c r="D7" s="16" t="s">
        <v>2904</v>
      </c>
      <c r="E7" s="16" t="s">
        <v>2905</v>
      </c>
      <c r="F7" s="16" t="s">
        <v>2906</v>
      </c>
      <c r="G7" s="16" t="s">
        <v>2907</v>
      </c>
      <c r="H7" s="16" t="s">
        <v>2908</v>
      </c>
      <c r="I7" s="16" t="n">
        <v>3</v>
      </c>
      <c r="J7" s="36" t="s">
        <v>1997</v>
      </c>
    </row>
    <row r="8" customFormat="false" ht="63.75" hidden="false" customHeight="true" outlineLevel="0" collapsed="false">
      <c r="A8" s="16" t="s">
        <v>2909</v>
      </c>
      <c r="B8" s="16" t="s">
        <v>2910</v>
      </c>
      <c r="C8" s="16" t="s">
        <v>2911</v>
      </c>
      <c r="D8" s="16" t="s">
        <v>2912</v>
      </c>
      <c r="E8" s="16" t="s">
        <v>2913</v>
      </c>
      <c r="F8" s="16" t="s">
        <v>2914</v>
      </c>
      <c r="G8" s="16" t="s">
        <v>2915</v>
      </c>
      <c r="H8" s="16" t="s">
        <v>2908</v>
      </c>
      <c r="I8" s="16" t="n">
        <v>4</v>
      </c>
      <c r="J8" s="36" t="s">
        <v>1997</v>
      </c>
    </row>
    <row r="9" customFormat="false" ht="63.75" hidden="false" customHeight="true" outlineLevel="0" collapsed="false">
      <c r="A9" s="16" t="s">
        <v>2916</v>
      </c>
      <c r="B9" s="16" t="s">
        <v>2917</v>
      </c>
      <c r="C9" s="16" t="s">
        <v>2918</v>
      </c>
      <c r="D9" s="16" t="s">
        <v>2919</v>
      </c>
      <c r="E9" s="16" t="s">
        <v>2920</v>
      </c>
      <c r="F9" s="16" t="s">
        <v>2921</v>
      </c>
      <c r="G9" s="16" t="s">
        <v>2922</v>
      </c>
      <c r="H9" s="16" t="s">
        <v>2908</v>
      </c>
      <c r="I9" s="16" t="n">
        <v>5</v>
      </c>
      <c r="J9" s="36" t="s">
        <v>1997</v>
      </c>
    </row>
    <row r="10" customFormat="false" ht="63.75" hidden="false" customHeight="true" outlineLevel="0" collapsed="false">
      <c r="A10" s="16" t="s">
        <v>2923</v>
      </c>
      <c r="B10" s="16" t="s">
        <v>2924</v>
      </c>
      <c r="C10" s="16" t="s">
        <v>2925</v>
      </c>
      <c r="D10" s="16" t="s">
        <v>2926</v>
      </c>
      <c r="E10" s="16" t="s">
        <v>2927</v>
      </c>
      <c r="F10" s="16" t="s">
        <v>2928</v>
      </c>
      <c r="G10" s="16" t="s">
        <v>2088</v>
      </c>
      <c r="H10" s="16" t="s">
        <v>2908</v>
      </c>
      <c r="I10" s="16" t="n">
        <v>6</v>
      </c>
      <c r="J10" s="36" t="s">
        <v>1997</v>
      </c>
    </row>
    <row r="11" customFormat="false" ht="63.75" hidden="false" customHeight="true" outlineLevel="0" collapsed="false">
      <c r="A11" s="16" t="s">
        <v>2929</v>
      </c>
      <c r="B11" s="16" t="s">
        <v>2930</v>
      </c>
      <c r="C11" s="16" t="s">
        <v>2931</v>
      </c>
      <c r="D11" s="16" t="s">
        <v>2932</v>
      </c>
      <c r="E11" s="16" t="s">
        <v>2933</v>
      </c>
      <c r="F11" s="16" t="s">
        <v>2934</v>
      </c>
      <c r="G11" s="16" t="s">
        <v>2935</v>
      </c>
      <c r="H11" s="16" t="s">
        <v>2908</v>
      </c>
      <c r="I11" s="16" t="n">
        <v>7</v>
      </c>
      <c r="J11" s="36" t="s">
        <v>1997</v>
      </c>
    </row>
    <row r="12" customFormat="false" ht="63.75" hidden="false" customHeight="true" outlineLevel="0" collapsed="false">
      <c r="A12" s="16" t="s">
        <v>2936</v>
      </c>
      <c r="B12" s="16" t="s">
        <v>2937</v>
      </c>
      <c r="C12" s="16" t="s">
        <v>2938</v>
      </c>
      <c r="D12" s="16" t="s">
        <v>2939</v>
      </c>
      <c r="E12" s="16" t="s">
        <v>2940</v>
      </c>
      <c r="F12" s="16" t="s">
        <v>2941</v>
      </c>
      <c r="G12" s="16" t="s">
        <v>2942</v>
      </c>
      <c r="H12" s="16" t="s">
        <v>2893</v>
      </c>
      <c r="I12" s="16" t="n">
        <v>8</v>
      </c>
      <c r="J12" s="36" t="s">
        <v>1997</v>
      </c>
    </row>
    <row r="13" customFormat="false" ht="63.75" hidden="false" customHeight="true" outlineLevel="0" collapsed="false">
      <c r="A13" s="16" t="s">
        <v>2943</v>
      </c>
      <c r="B13" s="16" t="s">
        <v>2944</v>
      </c>
      <c r="C13" s="16" t="s">
        <v>2945</v>
      </c>
      <c r="D13" s="16" t="s">
        <v>2946</v>
      </c>
      <c r="E13" s="16" t="s">
        <v>2947</v>
      </c>
      <c r="F13" s="16" t="s">
        <v>2948</v>
      </c>
      <c r="G13" s="16" t="s">
        <v>2907</v>
      </c>
      <c r="H13" s="16" t="s">
        <v>2949</v>
      </c>
      <c r="I13" s="16" t="n">
        <v>9</v>
      </c>
      <c r="J13" s="36" t="s">
        <v>1997</v>
      </c>
    </row>
    <row r="14" customFormat="false" ht="63.75" hidden="false" customHeight="true" outlineLevel="0" collapsed="false">
      <c r="A14" s="16" t="s">
        <v>2950</v>
      </c>
      <c r="B14" s="16" t="s">
        <v>2951</v>
      </c>
      <c r="C14" s="16" t="s">
        <v>2952</v>
      </c>
      <c r="D14" s="16" t="s">
        <v>2953</v>
      </c>
      <c r="E14" s="16" t="s">
        <v>2954</v>
      </c>
      <c r="F14" s="16" t="s">
        <v>2955</v>
      </c>
      <c r="G14" s="16" t="s">
        <v>2956</v>
      </c>
      <c r="H14" s="16" t="s">
        <v>2908</v>
      </c>
      <c r="I14" s="16" t="n">
        <v>10</v>
      </c>
      <c r="J14" s="36" t="s">
        <v>1997</v>
      </c>
    </row>
    <row r="15" customFormat="false" ht="63.75" hidden="false" customHeight="true" outlineLevel="0" collapsed="false">
      <c r="A15" s="16" t="s">
        <v>2957</v>
      </c>
      <c r="B15" s="16" t="s">
        <v>2958</v>
      </c>
      <c r="C15" s="16" t="s">
        <v>2959</v>
      </c>
      <c r="D15" s="16" t="s">
        <v>2960</v>
      </c>
      <c r="E15" s="16" t="s">
        <v>2961</v>
      </c>
      <c r="F15" s="16" t="s">
        <v>2962</v>
      </c>
      <c r="G15" s="16" t="s">
        <v>2963</v>
      </c>
      <c r="H15" s="16" t="s">
        <v>2893</v>
      </c>
      <c r="I15" s="16" t="n">
        <v>11</v>
      </c>
      <c r="J15" s="36" t="s">
        <v>1997</v>
      </c>
    </row>
    <row r="16" customFormat="false" ht="63.75" hidden="false" customHeight="true" outlineLevel="0" collapsed="false">
      <c r="A16" s="16" t="s">
        <v>2964</v>
      </c>
      <c r="B16" s="16" t="s">
        <v>2965</v>
      </c>
      <c r="C16" s="16" t="s">
        <v>2966</v>
      </c>
      <c r="D16" s="16" t="s">
        <v>2967</v>
      </c>
      <c r="E16" s="16" t="s">
        <v>2968</v>
      </c>
      <c r="F16" s="16" t="s">
        <v>2969</v>
      </c>
      <c r="G16" s="16" t="s">
        <v>2970</v>
      </c>
      <c r="H16" s="16" t="s">
        <v>2949</v>
      </c>
      <c r="I16" s="16" t="n">
        <v>12</v>
      </c>
      <c r="J16" s="36" t="s">
        <v>1997</v>
      </c>
    </row>
    <row r="17" customFormat="false" ht="63.75" hidden="false" customHeight="true" outlineLevel="0" collapsed="false">
      <c r="A17" s="16" t="s">
        <v>2971</v>
      </c>
      <c r="B17" s="16" t="s">
        <v>2972</v>
      </c>
      <c r="C17" s="16" t="s">
        <v>2973</v>
      </c>
      <c r="D17" s="16" t="s">
        <v>2974</v>
      </c>
      <c r="E17" s="16" t="s">
        <v>2975</v>
      </c>
      <c r="F17" s="16" t="s">
        <v>2976</v>
      </c>
      <c r="G17" s="16" t="s">
        <v>2977</v>
      </c>
      <c r="H17" s="16" t="s">
        <v>2908</v>
      </c>
      <c r="I17" s="16" t="n">
        <v>13</v>
      </c>
      <c r="J17" s="36" t="s">
        <v>1997</v>
      </c>
    </row>
    <row r="18" customFormat="false" ht="63.75" hidden="false" customHeight="true" outlineLevel="0" collapsed="false">
      <c r="A18" s="16" t="s">
        <v>2978</v>
      </c>
      <c r="B18" s="16" t="s">
        <v>2979</v>
      </c>
      <c r="C18" s="16" t="s">
        <v>2980</v>
      </c>
      <c r="D18" s="16" t="s">
        <v>2981</v>
      </c>
      <c r="E18" s="16" t="s">
        <v>2982</v>
      </c>
      <c r="F18" s="16" t="s">
        <v>2983</v>
      </c>
      <c r="G18" s="16" t="s">
        <v>2984</v>
      </c>
      <c r="H18" s="16" t="s">
        <v>2908</v>
      </c>
      <c r="I18" s="16" t="n">
        <v>14</v>
      </c>
      <c r="J18" s="36" t="s">
        <v>1997</v>
      </c>
    </row>
    <row r="19" customFormat="false" ht="63.75" hidden="false" customHeight="true" outlineLevel="0" collapsed="false">
      <c r="A19" s="16" t="s">
        <v>2985</v>
      </c>
      <c r="B19" s="16" t="s">
        <v>2986</v>
      </c>
      <c r="C19" s="16" t="s">
        <v>2987</v>
      </c>
      <c r="D19" s="16" t="s">
        <v>2988</v>
      </c>
      <c r="E19" s="16" t="s">
        <v>2989</v>
      </c>
      <c r="F19" s="16" t="s">
        <v>2990</v>
      </c>
      <c r="G19" s="16" t="s">
        <v>2991</v>
      </c>
      <c r="H19" s="16" t="s">
        <v>2949</v>
      </c>
      <c r="I19" s="16" t="n">
        <v>15</v>
      </c>
      <c r="J19" s="36" t="s">
        <v>1997</v>
      </c>
    </row>
    <row r="20" customFormat="false" ht="63.75" hidden="false" customHeight="true" outlineLevel="0" collapsed="false">
      <c r="A20" s="16" t="s">
        <v>2992</v>
      </c>
      <c r="B20" s="16" t="s">
        <v>2993</v>
      </c>
      <c r="C20" s="16" t="s">
        <v>2994</v>
      </c>
      <c r="D20" s="16" t="s">
        <v>2995</v>
      </c>
      <c r="E20" s="16" t="s">
        <v>2996</v>
      </c>
      <c r="F20" s="16" t="s">
        <v>2997</v>
      </c>
      <c r="G20" s="16" t="s">
        <v>2977</v>
      </c>
      <c r="H20" s="16" t="s">
        <v>2949</v>
      </c>
      <c r="I20" s="16" t="n">
        <v>16</v>
      </c>
      <c r="J20" s="36" t="s">
        <v>1997</v>
      </c>
    </row>
    <row r="21" customFormat="false" ht="63.75" hidden="false" customHeight="true" outlineLevel="0" collapsed="false">
      <c r="A21" s="16" t="s">
        <v>2998</v>
      </c>
      <c r="B21" s="16" t="s">
        <v>2999</v>
      </c>
      <c r="C21" s="16" t="s">
        <v>3000</v>
      </c>
      <c r="D21" s="16" t="s">
        <v>3001</v>
      </c>
      <c r="E21" s="16" t="s">
        <v>3002</v>
      </c>
      <c r="F21" s="16" t="s">
        <v>3003</v>
      </c>
      <c r="G21" s="16" t="s">
        <v>2088</v>
      </c>
      <c r="H21" s="16" t="s">
        <v>2949</v>
      </c>
      <c r="I21" s="16" t="n">
        <v>17</v>
      </c>
      <c r="J21" s="36" t="s">
        <v>1997</v>
      </c>
    </row>
    <row r="22" customFormat="false" ht="63.75" hidden="false" customHeight="true" outlineLevel="0" collapsed="false">
      <c r="A22" s="16" t="s">
        <v>3004</v>
      </c>
      <c r="B22" s="16" t="s">
        <v>3005</v>
      </c>
      <c r="C22" s="16" t="s">
        <v>315</v>
      </c>
      <c r="D22" s="16" t="s">
        <v>3006</v>
      </c>
      <c r="E22" s="16" t="s">
        <v>3007</v>
      </c>
      <c r="F22" s="16" t="s">
        <v>3008</v>
      </c>
      <c r="G22" s="16" t="s">
        <v>2088</v>
      </c>
      <c r="H22" s="16" t="s">
        <v>2949</v>
      </c>
      <c r="I22" s="16" t="n">
        <v>18</v>
      </c>
      <c r="J22" s="36" t="s">
        <v>1997</v>
      </c>
    </row>
    <row r="23" customFormat="false" ht="63.75" hidden="false" customHeight="true" outlineLevel="0" collapsed="false">
      <c r="A23" s="16" t="s">
        <v>3009</v>
      </c>
      <c r="B23" s="16" t="s">
        <v>3010</v>
      </c>
      <c r="C23" s="16" t="s">
        <v>3011</v>
      </c>
      <c r="D23" s="16" t="s">
        <v>3012</v>
      </c>
      <c r="E23" s="16" t="s">
        <v>3013</v>
      </c>
      <c r="F23" s="16" t="s">
        <v>3014</v>
      </c>
      <c r="G23" s="16" t="s">
        <v>3015</v>
      </c>
      <c r="H23" s="16" t="s">
        <v>2893</v>
      </c>
      <c r="I23" s="16" t="n">
        <v>19</v>
      </c>
      <c r="J23" s="36" t="s">
        <v>1997</v>
      </c>
    </row>
    <row r="25" customFormat="false" ht="15" hidden="false" customHeight="false" outlineLevel="0" collapsed="false">
      <c r="A25" s="3" t="s">
        <v>3016</v>
      </c>
      <c r="B25" s="4"/>
      <c r="C25" s="4"/>
      <c r="D25" s="4"/>
      <c r="E25" s="4"/>
      <c r="F25" s="4"/>
      <c r="G25" s="4"/>
      <c r="H25" s="4"/>
      <c r="I25" s="4"/>
      <c r="J25" s="4"/>
    </row>
    <row r="26" customFormat="false" ht="15" hidden="false" customHeight="false" outlineLevel="0" collapsed="false">
      <c r="A26" s="13" t="s">
        <v>3017</v>
      </c>
      <c r="B26" s="13" t="s">
        <v>3018</v>
      </c>
      <c r="C26" s="13" t="s">
        <v>3019</v>
      </c>
      <c r="D26" s="13" t="s">
        <v>264</v>
      </c>
      <c r="E26" s="13" t="s">
        <v>3020</v>
      </c>
    </row>
    <row r="27" customFormat="false" ht="23.85" hidden="false" customHeight="false" outlineLevel="0" collapsed="false">
      <c r="A27" s="16" t="s">
        <v>3021</v>
      </c>
      <c r="B27" s="16" t="s">
        <v>3022</v>
      </c>
      <c r="C27" s="16" t="s">
        <v>3023</v>
      </c>
      <c r="D27" s="16" t="s">
        <v>3024</v>
      </c>
      <c r="E27" s="16" t="s">
        <v>3025</v>
      </c>
    </row>
    <row r="28" customFormat="false" ht="23.85" hidden="false" customHeight="false" outlineLevel="0" collapsed="false">
      <c r="A28" s="16" t="s">
        <v>3026</v>
      </c>
      <c r="B28" s="16" t="s">
        <v>3027</v>
      </c>
      <c r="C28" s="16" t="s">
        <v>3028</v>
      </c>
      <c r="D28" s="16" t="s">
        <v>3024</v>
      </c>
      <c r="E28" s="16" t="s">
        <v>3029</v>
      </c>
    </row>
    <row r="29" customFormat="false" ht="23.85" hidden="false" customHeight="false" outlineLevel="0" collapsed="false">
      <c r="A29" s="16" t="s">
        <v>3030</v>
      </c>
      <c r="B29" s="16" t="s">
        <v>3031</v>
      </c>
      <c r="C29" s="16" t="s">
        <v>3032</v>
      </c>
      <c r="D29" s="16" t="s">
        <v>3024</v>
      </c>
      <c r="E29" s="16" t="s">
        <v>3033</v>
      </c>
    </row>
    <row r="30" customFormat="false" ht="23.85" hidden="false" customHeight="false" outlineLevel="0" collapsed="false">
      <c r="A30" s="16" t="s">
        <v>3034</v>
      </c>
      <c r="B30" s="16" t="s">
        <v>3035</v>
      </c>
      <c r="C30" s="16" t="s">
        <v>3036</v>
      </c>
      <c r="D30" s="16" t="s">
        <v>3024</v>
      </c>
      <c r="E30" s="16" t="s">
        <v>3037</v>
      </c>
    </row>
  </sheetData>
  <dataValidations count="1">
    <dataValidation allowBlank="false" error="Choose a value from the list" errorStyle="stop" errorTitle="Invalid entry" operator="between" showDropDown="false" showErrorMessage="false" showInputMessage="false" sqref="J5:J23" type="list">
      <formula1>"Open,Requested,Received,Resolved"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EG1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4"/>
    <col collapsed="false" customWidth="true" hidden="false" outlineLevel="0" max="137" min="3" style="0" width="11"/>
  </cols>
  <sheetData>
    <row r="1" customFormat="false" ht="18.55" hidden="false" customHeight="false" outlineLevel="0" collapsed="false">
      <c r="A1" s="1" t="s">
        <v>3038</v>
      </c>
    </row>
    <row r="2" customFormat="false" ht="15" hidden="false" customHeight="false" outlineLevel="0" collapsed="false">
      <c r="A2" s="2" t="s">
        <v>3039</v>
      </c>
    </row>
    <row r="4" customFormat="false" ht="35.05" hidden="false" customHeight="false" outlineLevel="0" collapsed="false">
      <c r="A4" s="13" t="s">
        <v>621</v>
      </c>
      <c r="B4" s="13" t="s">
        <v>3040</v>
      </c>
      <c r="C4" s="13" t="s">
        <v>666</v>
      </c>
      <c r="D4" s="13" t="s">
        <v>768</v>
      </c>
      <c r="E4" s="13" t="s">
        <v>3041</v>
      </c>
      <c r="F4" s="13" t="s">
        <v>722</v>
      </c>
      <c r="G4" s="13" t="s">
        <v>723</v>
      </c>
      <c r="H4" s="13" t="s">
        <v>1140</v>
      </c>
      <c r="I4" s="13" t="s">
        <v>3042</v>
      </c>
      <c r="J4" s="13" t="s">
        <v>3043</v>
      </c>
      <c r="K4" s="13" t="s">
        <v>3044</v>
      </c>
      <c r="L4" s="13" t="s">
        <v>3045</v>
      </c>
      <c r="M4" s="13" t="s">
        <v>3046</v>
      </c>
      <c r="N4" s="13" t="s">
        <v>3047</v>
      </c>
      <c r="O4" s="13" t="s">
        <v>3048</v>
      </c>
      <c r="P4" s="13" t="s">
        <v>3049</v>
      </c>
      <c r="Q4" s="13" t="s">
        <v>3050</v>
      </c>
      <c r="R4" s="13" t="s">
        <v>3051</v>
      </c>
      <c r="S4" s="13" t="s">
        <v>3052</v>
      </c>
      <c r="T4" s="13" t="s">
        <v>3053</v>
      </c>
      <c r="U4" s="13" t="s">
        <v>3054</v>
      </c>
      <c r="V4" s="13" t="s">
        <v>3055</v>
      </c>
      <c r="W4" s="13" t="s">
        <v>3056</v>
      </c>
      <c r="X4" s="13" t="s">
        <v>3057</v>
      </c>
      <c r="Y4" s="13" t="s">
        <v>3058</v>
      </c>
      <c r="Z4" s="13" t="s">
        <v>3059</v>
      </c>
      <c r="AA4" s="13" t="s">
        <v>3060</v>
      </c>
      <c r="AB4" s="13" t="s">
        <v>3061</v>
      </c>
      <c r="AC4" s="13" t="s">
        <v>3062</v>
      </c>
      <c r="AD4" s="13" t="s">
        <v>3063</v>
      </c>
      <c r="AE4" s="13" t="s">
        <v>3064</v>
      </c>
      <c r="AF4" s="13" t="s">
        <v>3065</v>
      </c>
      <c r="AG4" s="13" t="s">
        <v>3066</v>
      </c>
      <c r="AH4" s="13" t="s">
        <v>3067</v>
      </c>
      <c r="AI4" s="13" t="s">
        <v>3068</v>
      </c>
      <c r="AJ4" s="13" t="s">
        <v>3069</v>
      </c>
      <c r="AK4" s="13" t="s">
        <v>3070</v>
      </c>
      <c r="AL4" s="13" t="s">
        <v>3071</v>
      </c>
      <c r="AM4" s="13" t="s">
        <v>1813</v>
      </c>
      <c r="AN4" s="13" t="s">
        <v>3072</v>
      </c>
      <c r="AO4" s="13" t="s">
        <v>3073</v>
      </c>
      <c r="AP4" s="13" t="s">
        <v>3074</v>
      </c>
      <c r="AQ4" s="13" t="s">
        <v>3075</v>
      </c>
      <c r="AR4" s="13" t="s">
        <v>3076</v>
      </c>
      <c r="AS4" s="13" t="s">
        <v>3077</v>
      </c>
      <c r="AT4" s="13" t="s">
        <v>3078</v>
      </c>
      <c r="AU4" s="13" t="s">
        <v>3079</v>
      </c>
      <c r="AV4" s="13" t="s">
        <v>3080</v>
      </c>
      <c r="AW4" s="13" t="s">
        <v>3081</v>
      </c>
      <c r="AX4" s="13" t="s">
        <v>3082</v>
      </c>
      <c r="AY4" s="13" t="s">
        <v>1568</v>
      </c>
      <c r="AZ4" s="13" t="s">
        <v>1456</v>
      </c>
      <c r="BA4" s="13" t="s">
        <v>3083</v>
      </c>
      <c r="BB4" s="13" t="s">
        <v>1464</v>
      </c>
      <c r="BC4" s="13" t="s">
        <v>1034</v>
      </c>
      <c r="BD4" s="13" t="s">
        <v>1035</v>
      </c>
      <c r="BE4" s="13" t="s">
        <v>3084</v>
      </c>
      <c r="BF4" s="13" t="s">
        <v>3085</v>
      </c>
      <c r="BG4" s="13" t="s">
        <v>3086</v>
      </c>
      <c r="BH4" s="13" t="s">
        <v>1516</v>
      </c>
      <c r="BI4" s="13" t="s">
        <v>3087</v>
      </c>
      <c r="BJ4" s="13" t="s">
        <v>3088</v>
      </c>
      <c r="BK4" s="13" t="s">
        <v>1522</v>
      </c>
      <c r="BL4" s="13" t="s">
        <v>1186</v>
      </c>
      <c r="BM4" s="13" t="s">
        <v>3089</v>
      </c>
      <c r="BN4" s="13" t="s">
        <v>3090</v>
      </c>
      <c r="BO4" s="13" t="s">
        <v>3091</v>
      </c>
      <c r="BP4" s="13" t="s">
        <v>3092</v>
      </c>
      <c r="BQ4" s="13" t="s">
        <v>3093</v>
      </c>
      <c r="BR4" s="13" t="s">
        <v>3094</v>
      </c>
      <c r="BS4" s="13" t="s">
        <v>3095</v>
      </c>
      <c r="BT4" s="13" t="s">
        <v>3096</v>
      </c>
      <c r="BU4" s="13" t="s">
        <v>3097</v>
      </c>
      <c r="BV4" s="13" t="s">
        <v>3098</v>
      </c>
      <c r="BW4" s="13" t="s">
        <v>3099</v>
      </c>
      <c r="BX4" s="13" t="s">
        <v>3100</v>
      </c>
      <c r="BY4" s="13" t="s">
        <v>3101</v>
      </c>
      <c r="BZ4" s="13" t="s">
        <v>3102</v>
      </c>
      <c r="CA4" s="13" t="s">
        <v>3103</v>
      </c>
      <c r="CB4" s="13" t="s">
        <v>3104</v>
      </c>
      <c r="CC4" s="13" t="s">
        <v>3105</v>
      </c>
      <c r="CD4" s="13" t="s">
        <v>1658</v>
      </c>
      <c r="CE4" s="13" t="s">
        <v>39</v>
      </c>
      <c r="CF4" s="13" t="s">
        <v>40</v>
      </c>
      <c r="CG4" s="13" t="s">
        <v>3106</v>
      </c>
      <c r="CH4" s="13" t="s">
        <v>3107</v>
      </c>
      <c r="CI4" s="13" t="s">
        <v>3108</v>
      </c>
      <c r="CJ4" s="13" t="s">
        <v>3109</v>
      </c>
      <c r="CK4" s="13" t="s">
        <v>3110</v>
      </c>
      <c r="CL4" s="13" t="s">
        <v>3111</v>
      </c>
      <c r="CM4" s="13" t="s">
        <v>3112</v>
      </c>
      <c r="CN4" s="13" t="s">
        <v>3113</v>
      </c>
      <c r="CO4" s="13" t="s">
        <v>3114</v>
      </c>
      <c r="CP4" s="13" t="s">
        <v>3115</v>
      </c>
      <c r="CQ4" s="13" t="s">
        <v>3116</v>
      </c>
      <c r="CR4" s="13" t="s">
        <v>3117</v>
      </c>
      <c r="CS4" s="13" t="s">
        <v>3118</v>
      </c>
      <c r="CT4" s="13" t="s">
        <v>3119</v>
      </c>
      <c r="CU4" s="13" t="s">
        <v>3120</v>
      </c>
      <c r="CV4" s="13" t="s">
        <v>3121</v>
      </c>
      <c r="CW4" s="13" t="s">
        <v>3122</v>
      </c>
      <c r="CX4" s="13" t="s">
        <v>3123</v>
      </c>
      <c r="CY4" s="13" t="s">
        <v>3124</v>
      </c>
      <c r="CZ4" s="13" t="s">
        <v>3125</v>
      </c>
      <c r="DA4" s="13" t="s">
        <v>3126</v>
      </c>
      <c r="DB4" s="13" t="s">
        <v>109</v>
      </c>
      <c r="DC4" s="13" t="s">
        <v>3127</v>
      </c>
      <c r="DD4" s="13" t="s">
        <v>114</v>
      </c>
      <c r="DE4" s="13" t="s">
        <v>44</v>
      </c>
      <c r="DF4" s="13" t="s">
        <v>3128</v>
      </c>
      <c r="DG4" s="13" t="s">
        <v>3129</v>
      </c>
      <c r="DH4" s="13" t="s">
        <v>3130</v>
      </c>
      <c r="DI4" s="13" t="s">
        <v>3131</v>
      </c>
      <c r="DJ4" s="13" t="s">
        <v>3132</v>
      </c>
      <c r="DK4" s="13" t="s">
        <v>3133</v>
      </c>
      <c r="DL4" s="13" t="s">
        <v>3134</v>
      </c>
      <c r="DM4" s="13" t="s">
        <v>3135</v>
      </c>
      <c r="DN4" s="13" t="s">
        <v>3136</v>
      </c>
      <c r="DO4" s="13" t="s">
        <v>3137</v>
      </c>
      <c r="DP4" s="13" t="s">
        <v>3138</v>
      </c>
      <c r="DQ4" s="13" t="s">
        <v>3139</v>
      </c>
      <c r="DR4" s="13" t="s">
        <v>3140</v>
      </c>
      <c r="DS4" s="13" t="s">
        <v>3141</v>
      </c>
      <c r="DT4" s="13" t="s">
        <v>3142</v>
      </c>
      <c r="DU4" s="13" t="s">
        <v>3143</v>
      </c>
      <c r="DV4" s="13" t="s">
        <v>3144</v>
      </c>
      <c r="DW4" s="13" t="s">
        <v>3145</v>
      </c>
      <c r="DX4" s="13" t="s">
        <v>3146</v>
      </c>
      <c r="DY4" s="13" t="s">
        <v>3147</v>
      </c>
      <c r="DZ4" s="13" t="s">
        <v>3148</v>
      </c>
      <c r="EA4" s="13" t="s">
        <v>3149</v>
      </c>
      <c r="EB4" s="13" t="s">
        <v>3150</v>
      </c>
      <c r="EC4" s="13" t="s">
        <v>3151</v>
      </c>
      <c r="ED4" s="13" t="s">
        <v>3152</v>
      </c>
      <c r="EE4" s="13" t="s">
        <v>110</v>
      </c>
      <c r="EF4" s="13" t="s">
        <v>797</v>
      </c>
      <c r="EG4" s="13" t="s">
        <v>19</v>
      </c>
    </row>
    <row r="5" customFormat="false" ht="15" hidden="false" customHeight="false" outlineLevel="0" collapsed="false">
      <c r="A5" s="78" t="n">
        <v>1011</v>
      </c>
      <c r="B5" s="9" t="s">
        <v>3153</v>
      </c>
      <c r="C5" s="78" t="n">
        <v>1</v>
      </c>
      <c r="D5" s="78" t="n">
        <v>1</v>
      </c>
      <c r="E5" s="78" t="n">
        <v>1</v>
      </c>
      <c r="F5" s="79" t="n">
        <f aca="false">INDEX(cfg_ct,D5)</f>
        <v>3</v>
      </c>
      <c r="G5" s="79" t="n">
        <f aca="false">INDEX(cfg_n,D5)</f>
        <v>1</v>
      </c>
      <c r="H5" s="79" t="n">
        <f aca="false">INDEX(dest_port,E5)</f>
        <v>1</v>
      </c>
      <c r="I5" s="80" t="n">
        <f aca="false">INDEX(in_fx_cbe,1,C5)*(1-INDEX(in_fx_spread,1,C5))</f>
        <v>54.6</v>
      </c>
      <c r="J5" s="81" t="n">
        <f aca="false">1</f>
        <v>1</v>
      </c>
      <c r="K5" s="82" t="n">
        <f aca="false">INDEX(in_sup_vat_mode,1,C5)</f>
        <v>1</v>
      </c>
      <c r="L5" s="83" t="n">
        <f aca="false">INDEX(in_cus_s301,1,C5)</f>
        <v>0</v>
      </c>
      <c r="M5" s="84" t="n">
        <f aca="false">1</f>
        <v>1</v>
      </c>
      <c r="N5" s="81" t="n">
        <f aca="false">1</f>
        <v>1</v>
      </c>
      <c r="O5" s="81" t="n">
        <f aca="false">1</f>
        <v>1</v>
      </c>
      <c r="P5" s="81" t="n">
        <f aca="false">1</f>
        <v>1</v>
      </c>
      <c r="Q5" s="81" t="n">
        <f aca="false">1</f>
        <v>1</v>
      </c>
      <c r="R5" s="83" t="n">
        <f aca="false">INDEX(in_sel_damage,1,C5)</f>
        <v>0.005</v>
      </c>
      <c r="S5" s="83" t="n">
        <f aca="false">INDEX(in_mkt_dist_margin,1,C5)</f>
        <v>0.2</v>
      </c>
      <c r="T5" s="83" t="n">
        <f aca="false">INDEX(in_mkt_eflute_disc,1,C5)</f>
        <v>0.15</v>
      </c>
      <c r="U5" s="82" t="n">
        <f aca="false">INDEX(in_sel_credit_days,1,C5)</f>
        <v>30</v>
      </c>
      <c r="V5" s="81" t="n">
        <f aca="false">1</f>
        <v>1</v>
      </c>
      <c r="W5" s="83" t="n">
        <f aca="false">INDEX(in_sel_commission,1,C5)</f>
        <v>0.03</v>
      </c>
      <c r="X5" s="82" t="n">
        <f aca="false">1</f>
        <v>1</v>
      </c>
      <c r="Y5" s="85" t="n">
        <f aca="false">INDEX(cfg_u_3464,D5,C5)*O5</f>
        <v>20000</v>
      </c>
      <c r="Z5" s="85" t="n">
        <f aca="false">INDEX(cfg_u_3463,D5,C5)*O5</f>
        <v>20000</v>
      </c>
      <c r="AA5" s="85" t="n">
        <f aca="false">INDEX(cfg_u_3460,D5,C5)*O5</f>
        <v>20000</v>
      </c>
      <c r="AB5" s="85" t="n">
        <f aca="false">Y5+Z5+AA5</f>
        <v>60000</v>
      </c>
      <c r="AC5" s="86" t="n">
        <f aca="false">Y5*INDEX(lg_vpu_3464,C5)</f>
        <v>13.3386</v>
      </c>
      <c r="AD5" s="86" t="n">
        <f aca="false">Z5*INDEX(lg_vpu_3463,C5)</f>
        <v>16.3176</v>
      </c>
      <c r="AE5" s="86" t="n">
        <f aca="false">AA5*INDEX(lg_vpu_3460,C5)</f>
        <v>10.6596</v>
      </c>
      <c r="AF5" s="86" t="n">
        <f aca="false">AC5+AD5+AE5</f>
        <v>40.3158</v>
      </c>
      <c r="AG5" s="85" t="n">
        <f aca="false">Y5*INDEX(lg_kpu_3464,C5)+Z5*INDEX(lg_kpu_3463,C5)+AA5*INDEX(lg_kpu_3460,C5)</f>
        <v>9855.3664</v>
      </c>
      <c r="AH5" s="87" t="n">
        <f aca="false">INDEX(in_sup_requote,1,C5)</f>
        <v>-0.05</v>
      </c>
      <c r="AI5" s="88" t="n">
        <f aca="false">Y5*q_price_3464*(1+AH5)*J5/I5</f>
        <v>2910.89743589744</v>
      </c>
      <c r="AJ5" s="88" t="n">
        <f aca="false">Z5*q_price_3463*(1+AH5)*J5/I5</f>
        <v>2749.08424908425</v>
      </c>
      <c r="AK5" s="88" t="n">
        <f aca="false">AA5*q_price_3460*(1+AH5)*J5/I5</f>
        <v>2401.0989010989</v>
      </c>
      <c r="AL5" s="88" t="n">
        <f aca="false">AI5+AJ5+AK5</f>
        <v>8061.08058608059</v>
      </c>
      <c r="AM5" s="88" t="n">
        <f aca="false">IF(OR(K5=2,K5=3),AL5*INDEX(in_sup_vat_rate,1,C5),0)</f>
        <v>0</v>
      </c>
      <c r="AN5" s="88" t="n">
        <f aca="false">IF(K5=3,AM5,0)</f>
        <v>0</v>
      </c>
      <c r="AO5" s="88" t="n">
        <f aca="false">INDEX(in_sup_tooling_egp,1,C5)/I5</f>
        <v>0</v>
      </c>
      <c r="AP5" s="88" t="n">
        <f aca="false">IF(F5=4,INDEX(in_ori_lcl_truck,1,C5)*V5/I5+INDEX(in_ori_lcl_cfs_o,1,C5),G5*(IF(F5=1,INDEX(in_ori_truck_20,1,C5),INDEX(in_ori_truck_40,1,C5))*V5/I5+INDEX(in_ori_terminal,1,C5)+IF(F5=1,INDEX(in_ori_othc_20,1,C5),INDEX(in_ori_othc_40,1,C5))*(1-INDEX(in_ori_othc_in_freight,1,C5))+INDEX(in_ori_seal,1,C5)+INDEX(in_ori_inspection,1,C5)+INDEX(in_ori_dd_days,1,C5)*IF(F5=1,INDEX(in_ori_dd_20,1,C5),INDEX(in_ori_dd_40,1,C5))+INDEX(in_ori_loading_egp,1,C5)/I5))</f>
        <v>457.465201465201</v>
      </c>
      <c r="AQ5" s="88" t="n">
        <f aca="false">(INDEX(in_ori_clearance,1,C5)+INDEX(in_ori_coo,1,C5))/I5+INDEX(in_ori_bl_fee,1,C5)+INDEX(in_ori_fwd_fee,1,C5)+INDEX(in_ori_qc,1,C5)+INDEX(in_ori_wires,1,C5)*INDEX(in_ori_wire_fee,1,C5)</f>
        <v>298.260073260073</v>
      </c>
      <c r="AR5" s="88" t="n">
        <f aca="false">AP5+AQ5</f>
        <v>755.725274725275</v>
      </c>
      <c r="AS5" s="85" t="n">
        <f aca="false">INDEX(tbl_port_diff,H5,C5)</f>
        <v>0</v>
      </c>
      <c r="AT5" s="88" t="n">
        <f aca="false">IF(F5=4,MAX(AF5*INDEX(in_oce_lcl_factor,1,C5),AG5/1000,1)*INDEX(in_oce_lcl_rate,1,C5)*M5,G5*(INDEX(tbl_ocean_rate,MIN(F5,3),C5)+AS5)*M5)</f>
        <v>2900</v>
      </c>
      <c r="AU5" s="88" t="n">
        <f aca="false">AT5+INDEX(in_oce_ams,1,C5)</f>
        <v>2930</v>
      </c>
      <c r="AV5" s="88" t="n">
        <f aca="false">AI5*(1+IF(K5=3,INDEX(in_sup_vat_rate,1,C5),0))+AO5*Y5/AB5</f>
        <v>2910.89743589744</v>
      </c>
      <c r="AW5" s="88" t="n">
        <f aca="false">AJ5*(1+IF(K5=3,INDEX(in_sup_vat_rate,1,C5),0))+AO5*Z5/AB5</f>
        <v>2749.08424908425</v>
      </c>
      <c r="AX5" s="88" t="n">
        <f aca="false">AK5*(1+IF(K5=3,INDEX(in_sup_vat_rate,1,C5),0))+AO5*AA5/AB5</f>
        <v>2401.0989010989</v>
      </c>
      <c r="AY5" s="88" t="n">
        <f aca="false">AV5+AW5+AX5</f>
        <v>8061.08058608059</v>
      </c>
      <c r="AZ5" s="88" t="n">
        <f aca="false">MAX(INDEX(in_oce_ins_min,1,C5),INDEX(in_oce_ins_rate,1,C5)*(1+INDEX(in_oce_ins_uplift,1,C5))*(AL5+AO5+AR5+AU5))*(1-INDEX(in_oce_ins_in_other,1,C5))</f>
        <v>50</v>
      </c>
      <c r="BA5" s="87" t="n">
        <f aca="false">INDEX(in_cus_mfn,1,C5)+L5</f>
        <v>0</v>
      </c>
      <c r="BB5" s="88" t="n">
        <f aca="false">AY5*BA5</f>
        <v>0</v>
      </c>
      <c r="BC5" s="88" t="n">
        <f aca="false">MIN(MAX(AY5*INDEX(in_cus_mpf_rate,1,C5),INDEX(in_cus_mpf_min,1,C5)),INDEX(in_cus_mpf_max,1,C5))</f>
        <v>34.58</v>
      </c>
      <c r="BD5" s="88" t="n">
        <f aca="false">AY5*INDEX(in_cus_hmf,1,C5)</f>
        <v>10.0763507326007</v>
      </c>
      <c r="BE5" s="88" t="n">
        <f aca="false">MAX(INDEX(in_cus_stb_min,1,C5),INDEX(in_cus_stb_rate,1,C5)/1000*(AY5+BB5+BC5+BD5))</f>
        <v>50</v>
      </c>
      <c r="BF5" s="88" t="n">
        <f aca="false">INDEX(in_cus_broker,1,C5)+INDEX(in_cus_isf,1,C5)+INDEX(in_cus_do_fee,1,C5)+BE5+INDEX(in_cus_isf_bond,1,C5)</f>
        <v>385</v>
      </c>
      <c r="BG5" s="88" t="n">
        <f aca="false">IF(H5=1,INDEX(in_cus_cfc,1,C5)*INDEX(ct_teu,F5)*G5*(1-INDEX(in_cus_cfc_in_freight,1,C5)),0)</f>
        <v>29.6</v>
      </c>
      <c r="BH5" s="88" t="n">
        <f aca="false">IF(F5=4,1,G5)*(INDEX(in_cus_exam,1,C5)+INDEX(in_cus_exam_dray,1,C5))</f>
        <v>0</v>
      </c>
      <c r="BI5" s="88" t="n">
        <f aca="false">IF(F5=4,1,G5)*INDEX(in_cus_dem_days,1,C5)*INDEX(in_cus_dem_rate,1,C5)</f>
        <v>0</v>
      </c>
      <c r="BJ5" s="88" t="n">
        <f aca="false">BG5+BH5+BI5</f>
        <v>29.6</v>
      </c>
      <c r="BK5" s="88" t="n">
        <f aca="false">IF(F5=4,(INDEX(in_dra_lcl_cfs_d,1,C5)+INDEX(in_dra_lcl_deliv,1,C5))*P5,G5*(INDEX(tbl_dest_line,E5,C5)*P5*(1+INDEX(in_dra_fsc,1,C5))+INDEX(tbl_dest_tolls,E5,C5)+INDEX(in_dra_chassis_days,1,C5)*INDEX(tbl_dest_chassis,E5,C5)*(1-INDEX(in_dra_chassis_in_dray,1,C5))+INDEX(in_dra_wait_hours,1,C5)*INDEX(in_dra_wait_rate,1,C5)+INDEX(in_dra_split,1,C5)+INDEX(in_dra_prepull,1,C5)+INDEX(in_dra_dryrun,1,C5)))</f>
        <v>661</v>
      </c>
      <c r="BL5" s="88" t="n">
        <f aca="false">IF(F5=4,0,G5*IF(F5=1,INDEX(in_dra_unload_20,1,C5),INDEX(in_dra_unload_40,1,C5))*Q5*(1-INDEX(in_dra_unload_in_dray,1,C5)))</f>
        <v>250</v>
      </c>
      <c r="BM5" s="88" t="n">
        <f aca="false">AL5+AN5+AO5+AR5+AU5+AZ5+BB5+BC5+BD5+BF5+BJ5+BK5+BL5</f>
        <v>13167.0622115385</v>
      </c>
      <c r="BN5" s="88" t="n">
        <f aca="false">AP5+AU5+BJ5+BK5+BL5</f>
        <v>4328.0652014652</v>
      </c>
      <c r="BO5" s="88" t="n">
        <f aca="false">AQ5+BF5</f>
        <v>683.260073260073</v>
      </c>
      <c r="BP5" s="88" t="n">
        <f aca="false">AI5*(1+IF(K5=3,INDEX(in_sup_vat_rate,1,C5),0))+AO5*Y5/AB5+AV5*BA5+(BC5+BD5)*AV5/AY5+AZ5*AI5/AL5+BN5*AC5/AF5+BO5*Y5/AB5</f>
        <v>4604.78467963535</v>
      </c>
      <c r="BQ5" s="88" t="n">
        <f aca="false">AJ5*(1+IF(K5=3,INDEX(in_sup_vat_rate,1,C5),0))+AO5*Z5/AB5+AW5*BA5+(BC5+BD5)*AW5/AY5+AZ5*AJ5/AL5+BN5*AD5/AF5+BO5*Z5/AB5</f>
        <v>4760.87919280945</v>
      </c>
      <c r="BR5" s="88" t="n">
        <f aca="false">AK5*(1+IF(K5=3,INDEX(in_sup_vat_rate,1,C5),0))+AO5*AA5/AB5+AX5*BA5+(BC5+BD5)*AX5/AY5+AZ5*AK5/AL5+BN5*AE5/AF5+BO5*AA5/AB5</f>
        <v>3801.39833909366</v>
      </c>
      <c r="BS5" s="89" t="n">
        <f aca="false">BP5+BQ5+BR5-BM5</f>
        <v>0</v>
      </c>
      <c r="BT5" s="85" t="n">
        <f aca="false">Y5*(1-R5)</f>
        <v>19900</v>
      </c>
      <c r="BU5" s="85" t="n">
        <f aca="false">Z5*(1-R5)</f>
        <v>19900</v>
      </c>
      <c r="BV5" s="85" t="n">
        <f aca="false">AA5*(1-R5)</f>
        <v>19900</v>
      </c>
      <c r="BW5" s="85" t="n">
        <f aca="false">BT5+BU5+BV5</f>
        <v>59700</v>
      </c>
      <c r="BX5" s="90" t="n">
        <f aca="false">IF(BT5&gt;0,BP5/BT5,0)</f>
        <v>0.231396215057053</v>
      </c>
      <c r="BY5" s="90" t="n">
        <f aca="false">IF(BU5&gt;0,BQ5/BU5,0)</f>
        <v>0.239240160442686</v>
      </c>
      <c r="BZ5" s="90" t="n">
        <f aca="false">IF(BV5&gt;0,BR5/BV5,0)</f>
        <v>0.191025042165511</v>
      </c>
      <c r="CA5" s="90" t="n">
        <f aca="false">INDEX(in_mkt_listing_3464,1,C5)*(1-IF(sku_flute_3464="B",T5,0))*(1-S5)*N5</f>
        <v>0.2856</v>
      </c>
      <c r="CB5" s="90" t="n">
        <f aca="false">INDEX(in_mkt_listing_3463,1,C5)*(1-IF(sku_flute_3463="B",T5,0))*(1-S5)*N5</f>
        <v>0.3128</v>
      </c>
      <c r="CC5" s="90" t="n">
        <f aca="false">INDEX(in_mkt_listing_3460,1,C5)*(1-IF(sku_flute_3460="B",T5,0))*(1-S5)*N5</f>
        <v>0.256</v>
      </c>
      <c r="CD5" s="88" t="n">
        <f aca="false">BT5*CA5+BU5*CB5+BV5*CC5</f>
        <v>17002.56</v>
      </c>
      <c r="CE5" s="88" t="n">
        <f aca="false">CD5-BM5</f>
        <v>3835.49778846154</v>
      </c>
      <c r="CF5" s="87" t="n">
        <f aca="false">IF(CD5&gt;0,CE5/CD5,0)</f>
        <v>0.225583546740111</v>
      </c>
      <c r="CG5" s="87" t="n">
        <f aca="false">W5+INDEX(in_sel_processing,1,C5)+INDEX(in_sel_bad_debt,1,C5)</f>
        <v>0.0325</v>
      </c>
      <c r="CH5" s="88" t="n">
        <f aca="false">CD5*CG5</f>
        <v>552.5832</v>
      </c>
      <c r="CI5" s="88" t="n">
        <f aca="false">INDEX(in_sel_testing,1,C5)*X5+INDEX(in_sel_admin,1,C5)</f>
        <v>1250</v>
      </c>
      <c r="CJ5" s="79" t="n">
        <f aca="false">INDEX(in_sup_lead_days,1,C5)</f>
        <v>14</v>
      </c>
      <c r="CK5" s="79" t="n">
        <f aca="false">CJ5+INDEX(in_oce_transit,1,C5)+IF(F5=4,INDEX(in_oce_lcl_extra_days,1,C5),0)</f>
        <v>39</v>
      </c>
      <c r="CL5" s="79" t="n">
        <f aca="false">CK5+2+INDEX(in_cus_dem_days,1,C5)</f>
        <v>41</v>
      </c>
      <c r="CM5" s="79" t="n">
        <f aca="false">CL5+U5</f>
        <v>71</v>
      </c>
      <c r="CN5" s="79" t="n">
        <f aca="false">CJ5+INDEX(in_sup_vat_lag,1,C5)</f>
        <v>44</v>
      </c>
      <c r="CO5" s="91" t="n">
        <f aca="false">INDEX(in_sup_advance,1,C5)</f>
        <v>0.5</v>
      </c>
      <c r="CP5" s="88" t="n">
        <f aca="false">CO5*(AL5+AM5)+AO5+INDEX(in_sel_testing,1,C5)*X5</f>
        <v>5030.54029304029</v>
      </c>
      <c r="CQ5" s="88" t="n">
        <f aca="false">(1-CO5)*(AL5+AM5)+AR5+AU5+AZ5</f>
        <v>7766.26556776557</v>
      </c>
      <c r="CR5" s="88" t="n">
        <f aca="false">BB5+BC5+BD5+BF5+BJ5</f>
        <v>459.256350732601</v>
      </c>
      <c r="CS5" s="88" t="n">
        <f aca="false">BK5+BL5</f>
        <v>911</v>
      </c>
      <c r="CT5" s="88" t="n">
        <f aca="false">IF(K5=2,AM5,0)</f>
        <v>0</v>
      </c>
      <c r="CU5" s="85" t="n">
        <f aca="false">IF(K5=2,CO5*AM5*(CN5-0)+(1-CO5)*AM5*(CN5-CJ5),0)</f>
        <v>0</v>
      </c>
      <c r="CV5" s="85" t="n">
        <f aca="false">(CP5-CO5*CT5)*(CM5-0)+(CQ5-(1-CO5)*CT5)*(CM5-CJ5)+CR5*(CM5-CK5)+CS5*(CM5-CL5)</f>
        <v>841871.701391941</v>
      </c>
      <c r="CW5" s="88" t="n">
        <f aca="false">INDEX(in_sel_fin_rate,1,C5)/365*(CU5+CV5)</f>
        <v>184.519824962617</v>
      </c>
      <c r="CX5" s="85" t="n">
        <f aca="false">CP5-IF(CN5&lt;=0,CT5,0)</f>
        <v>5030.54029304029</v>
      </c>
      <c r="CY5" s="85" t="n">
        <f aca="false">CP5+CQ5-IF(CN5&lt;=CJ5,CT5,0)</f>
        <v>12796.8058608059</v>
      </c>
      <c r="CZ5" s="85" t="n">
        <f aca="false">CP5+CQ5+CR5-IF(CN5&lt;=CK5,CT5,0)</f>
        <v>13256.0622115385</v>
      </c>
      <c r="DA5" s="85" t="n">
        <f aca="false">CP5+CQ5+CR5+CS5-IF(CN5&lt;=CL5,CT5,0)</f>
        <v>14167.0622115385</v>
      </c>
      <c r="DB5" s="88" t="n">
        <f aca="false">MAX(CX5,CY5,CZ5,DA5)</f>
        <v>14167.0622115385</v>
      </c>
      <c r="DC5" s="88" t="n">
        <f aca="false">CP5+CQ5+CR5+CS5</f>
        <v>14167.0622115385</v>
      </c>
      <c r="DD5" s="88" t="n">
        <f aca="false">CE5-CH5-CI5-CW5</f>
        <v>1848.39476349892</v>
      </c>
      <c r="DE5" s="87" t="n">
        <f aca="false">IF(CD5&gt;0,DD5/CD5,0)</f>
        <v>0.108712732876633</v>
      </c>
      <c r="DF5" s="86" t="n">
        <f aca="false">IF(CD5&gt;0,(BM5+CI5+CW5)/(CD5*(1-CG5)),0)</f>
        <v>0.887635418215367</v>
      </c>
      <c r="DG5" s="90" t="n">
        <f aca="false">IF(BW5&gt;0,BM5/BW5,0)</f>
        <v>0.220553805888416</v>
      </c>
      <c r="DH5" s="90" t="n">
        <f aca="false">IF(BW5&gt;0,CD5/BW5,0)</f>
        <v>0.2848</v>
      </c>
      <c r="DI5" s="90" t="n">
        <f aca="false">IF(AI5&gt;0,(AI5*IF(K5=3,INDEX(in_sup_vat_rate,1,C5),0)+AV5*BA5+(BC5+BD5)*AV5/AY5+AZ5*AI5/AL5)/AI5,0)</f>
        <v>0.011742389834937</v>
      </c>
      <c r="DJ5" s="90" t="n">
        <f aca="false">IF(AJ5&gt;0,(AJ5*IF(K5=3,INDEX(in_sup_vat_rate,1,C5),0)+AW5*BA5+(BC5+BD5)*AW5/AY5+AZ5*AJ5/AL5)/AJ5,0)</f>
        <v>0.011742389834937</v>
      </c>
      <c r="DK5" s="90" t="n">
        <f aca="false">IF(AK5&gt;0,(AK5*IF(K5=3,INDEX(in_sup_vat_rate,1,C5),0)+AX5*BA5+(BC5+BD5)*AX5/AY5+AZ5*AK5/AL5)/AK5,0)</f>
        <v>0.011742389834937</v>
      </c>
      <c r="DL5" s="90" t="n">
        <f aca="false">IF(Y5&gt;0,(BP5-AI5*(1+DI5))/Y5,0)</f>
        <v>0.0829853175638045</v>
      </c>
      <c r="DM5" s="90" t="n">
        <f aca="false">IF(Z5&gt;0,(BQ5-AJ5*(1+DJ5))/Z5,0)</f>
        <v>0.0989757062391685</v>
      </c>
      <c r="DN5" s="90" t="n">
        <f aca="false">IF(AA5&gt;0,(BR5-AK5*(1+DK5))/AA5,0)</f>
        <v>0.0686052399332908</v>
      </c>
      <c r="DO5" s="86" t="n">
        <f aca="false">IF(Y5&gt;0,(CA5*(1-thr_gm_go)*(1-R5)-DL5)/(1+DI5)*I5/((1+AH5)*J5),"")</f>
        <v>7.39302512327593</v>
      </c>
      <c r="DP5" s="86" t="n">
        <f aca="false">IF(Z5&gt;0,(CB5*(1-thr_gm_go)*(1-R5)-DM5)/(1+DJ5)*I5/((1+AH5)*J5),"")</f>
        <v>7.63772604266136</v>
      </c>
      <c r="DQ5" s="86" t="n">
        <f aca="false">IF(AA5&gt;0,(CC5*(1-thr_gm_go)*(1-R5)-DN5)/(1+DK5)*I5/((1+AH5)*J5),"")</f>
        <v>6.95510715688569</v>
      </c>
      <c r="DR5" s="92" t="n">
        <f aca="false">IF(AND(AY5*INDEX(in_cus_mpf_rate,1,C5)&gt;INDEX(in_cus_mpf_min,1,C5),AY5*INDEX(in_cus_mpf_rate,1,C5)&lt;INDEX(in_cus_mpf_max,1,C5)),INDEX(in_cus_mpf_rate,1,C5),0)</f>
        <v>0</v>
      </c>
      <c r="DS5" s="88" t="n">
        <f aca="false">IF(AZ5&gt;INDEX(in_oce_ins_min,1,C5),INDEX(in_oce_ins_rate,1,C5)*(1+INDEX(in_oce_ins_uplift,1,C5))*AL5,0)</f>
        <v>0</v>
      </c>
      <c r="DT5" s="88" t="n">
        <f aca="false">(AL5+AN5)*(1+BA5+INDEX(in_cus_hmf,1,C5)+DR5)+DS5</f>
        <v>8071.15693681319</v>
      </c>
      <c r="DU5" s="86" t="n">
        <f aca="false">IF(DT5&gt;0,(CD5*(1-thr_gm_go)-(BM5-DT5))/DT5,0)</f>
        <v>0.948564720672824</v>
      </c>
      <c r="DV5" s="86" t="n">
        <f aca="false">IF(DT5&gt;0,(CD5-(BM5-DT5))/DT5,0)</f>
        <v>1.47521040892756</v>
      </c>
      <c r="DW5" s="87" t="n">
        <f aca="false">(1+AH5)*J5*DU5-1</f>
        <v>-0.0988635153608173</v>
      </c>
      <c r="DX5" s="87" t="n">
        <f aca="false">(1+AH5)*J5*DV5-1</f>
        <v>0.401449888481186</v>
      </c>
      <c r="DY5" s="85" t="n">
        <f aca="false">IF(G5&gt;0,(CD5*(1-thr_gm_go)-(BM5-AT5))/G5,"")</f>
        <v>2484.85778846154</v>
      </c>
      <c r="DZ5" s="90" t="n">
        <f aca="false">IF(AB5&gt;0,(AL5+AN5+BB5+BC5+BD5)/AB5,0)</f>
        <v>0.135095615613553</v>
      </c>
      <c r="EA5" s="88" t="n">
        <f aca="false">BM5-DZ5*AB5</f>
        <v>5061.32527472528</v>
      </c>
      <c r="EB5" s="90" t="n">
        <f aca="false">IF(AB5&gt;0,CD5/AB5,0)</f>
        <v>0.283376</v>
      </c>
      <c r="EC5" s="85" t="n">
        <f aca="false">IF(EB5*(1-thr_gm_go)-DZ5&gt;0,EA5/(EB5*(1-thr_gm_go)-DZ5),"n/a")</f>
        <v>65361.074317038</v>
      </c>
      <c r="ED5" s="85" t="n">
        <f aca="false">IF(EB5-DZ5&gt;0,EA5/(EB5-DZ5),"n/a")</f>
        <v>34133.4782457435</v>
      </c>
      <c r="EE5" s="93" t="b">
        <f aca="false">INDEX(cfg_fits,D5,C5)</f>
        <v>1</v>
      </c>
      <c r="EF5" s="87" t="n">
        <f aca="false">IF(F5=4,"",INDEX(cfg_lenutil,D5,C5))</f>
        <v>0.795641240569992</v>
      </c>
      <c r="EG5" s="31" t="str">
        <f aca="false">IF(O5&gt;1,"Check fit (units scaled up)","")</f>
        <v/>
      </c>
    </row>
    <row r="6" customFormat="false" ht="15" hidden="false" customHeight="false" outlineLevel="0" collapsed="false">
      <c r="A6" s="78" t="n">
        <v>1012</v>
      </c>
      <c r="B6" s="9" t="s">
        <v>3154</v>
      </c>
      <c r="C6" s="78" t="n">
        <v>1</v>
      </c>
      <c r="D6" s="78" t="n">
        <v>1</v>
      </c>
      <c r="E6" s="78" t="n">
        <v>2</v>
      </c>
      <c r="F6" s="79" t="n">
        <f aca="false">INDEX(cfg_ct,D6)</f>
        <v>3</v>
      </c>
      <c r="G6" s="79" t="n">
        <f aca="false">INDEX(cfg_n,D6)</f>
        <v>1</v>
      </c>
      <c r="H6" s="79" t="n">
        <f aca="false">INDEX(dest_port,E6)</f>
        <v>1</v>
      </c>
      <c r="I6" s="80" t="n">
        <f aca="false">INDEX(in_fx_cbe,1,C6)*(1-INDEX(in_fx_spread,1,C6))</f>
        <v>54.6</v>
      </c>
      <c r="J6" s="81" t="n">
        <f aca="false">1</f>
        <v>1</v>
      </c>
      <c r="K6" s="82" t="n">
        <f aca="false">INDEX(in_sup_vat_mode,1,C6)</f>
        <v>1</v>
      </c>
      <c r="L6" s="83" t="n">
        <f aca="false">INDEX(in_cus_s301,1,C6)</f>
        <v>0</v>
      </c>
      <c r="M6" s="84" t="n">
        <f aca="false">1</f>
        <v>1</v>
      </c>
      <c r="N6" s="81" t="n">
        <f aca="false">1</f>
        <v>1</v>
      </c>
      <c r="O6" s="81" t="n">
        <f aca="false">1</f>
        <v>1</v>
      </c>
      <c r="P6" s="81" t="n">
        <f aca="false">1</f>
        <v>1</v>
      </c>
      <c r="Q6" s="81" t="n">
        <f aca="false">1</f>
        <v>1</v>
      </c>
      <c r="R6" s="83" t="n">
        <f aca="false">INDEX(in_sel_damage,1,C6)</f>
        <v>0.005</v>
      </c>
      <c r="S6" s="83" t="n">
        <f aca="false">INDEX(in_mkt_dist_margin,1,C6)</f>
        <v>0.2</v>
      </c>
      <c r="T6" s="83" t="n">
        <f aca="false">INDEX(in_mkt_eflute_disc,1,C6)</f>
        <v>0.15</v>
      </c>
      <c r="U6" s="82" t="n">
        <f aca="false">INDEX(in_sel_credit_days,1,C6)</f>
        <v>30</v>
      </c>
      <c r="V6" s="81" t="n">
        <f aca="false">1</f>
        <v>1</v>
      </c>
      <c r="W6" s="83" t="n">
        <f aca="false">INDEX(in_sel_commission,1,C6)</f>
        <v>0.03</v>
      </c>
      <c r="X6" s="82" t="n">
        <f aca="false">1</f>
        <v>1</v>
      </c>
      <c r="Y6" s="85" t="n">
        <f aca="false">INDEX(cfg_u_3464,D6,C6)*O6</f>
        <v>20000</v>
      </c>
      <c r="Z6" s="85" t="n">
        <f aca="false">INDEX(cfg_u_3463,D6,C6)*O6</f>
        <v>20000</v>
      </c>
      <c r="AA6" s="85" t="n">
        <f aca="false">INDEX(cfg_u_3460,D6,C6)*O6</f>
        <v>20000</v>
      </c>
      <c r="AB6" s="85" t="n">
        <f aca="false">Y6+Z6+AA6</f>
        <v>60000</v>
      </c>
      <c r="AC6" s="86" t="n">
        <f aca="false">Y6*INDEX(lg_vpu_3464,C6)</f>
        <v>13.3386</v>
      </c>
      <c r="AD6" s="86" t="n">
        <f aca="false">Z6*INDEX(lg_vpu_3463,C6)</f>
        <v>16.3176</v>
      </c>
      <c r="AE6" s="86" t="n">
        <f aca="false">AA6*INDEX(lg_vpu_3460,C6)</f>
        <v>10.6596</v>
      </c>
      <c r="AF6" s="86" t="n">
        <f aca="false">AC6+AD6+AE6</f>
        <v>40.3158</v>
      </c>
      <c r="AG6" s="85" t="n">
        <f aca="false">Y6*INDEX(lg_kpu_3464,C6)+Z6*INDEX(lg_kpu_3463,C6)+AA6*INDEX(lg_kpu_3460,C6)</f>
        <v>9855.3664</v>
      </c>
      <c r="AH6" s="87" t="n">
        <f aca="false">INDEX(in_sup_requote,1,C6)</f>
        <v>-0.05</v>
      </c>
      <c r="AI6" s="88" t="n">
        <f aca="false">Y6*q_price_3464*(1+AH6)*J6/I6</f>
        <v>2910.89743589744</v>
      </c>
      <c r="AJ6" s="88" t="n">
        <f aca="false">Z6*q_price_3463*(1+AH6)*J6/I6</f>
        <v>2749.08424908425</v>
      </c>
      <c r="AK6" s="88" t="n">
        <f aca="false">AA6*q_price_3460*(1+AH6)*J6/I6</f>
        <v>2401.0989010989</v>
      </c>
      <c r="AL6" s="88" t="n">
        <f aca="false">AI6+AJ6+AK6</f>
        <v>8061.08058608059</v>
      </c>
      <c r="AM6" s="88" t="n">
        <f aca="false">IF(OR(K6=2,K6=3),AL6*INDEX(in_sup_vat_rate,1,C6),0)</f>
        <v>0</v>
      </c>
      <c r="AN6" s="88" t="n">
        <f aca="false">IF(K6=3,AM6,0)</f>
        <v>0</v>
      </c>
      <c r="AO6" s="88" t="n">
        <f aca="false">INDEX(in_sup_tooling_egp,1,C6)/I6</f>
        <v>0</v>
      </c>
      <c r="AP6" s="88" t="n">
        <f aca="false">IF(F6=4,INDEX(in_ori_lcl_truck,1,C6)*V6/I6+INDEX(in_ori_lcl_cfs_o,1,C6),G6*(IF(F6=1,INDEX(in_ori_truck_20,1,C6),INDEX(in_ori_truck_40,1,C6))*V6/I6+INDEX(in_ori_terminal,1,C6)+IF(F6=1,INDEX(in_ori_othc_20,1,C6),INDEX(in_ori_othc_40,1,C6))*(1-INDEX(in_ori_othc_in_freight,1,C6))+INDEX(in_ori_seal,1,C6)+INDEX(in_ori_inspection,1,C6)+INDEX(in_ori_dd_days,1,C6)*IF(F6=1,INDEX(in_ori_dd_20,1,C6),INDEX(in_ori_dd_40,1,C6))+INDEX(in_ori_loading_egp,1,C6)/I6))</f>
        <v>457.465201465201</v>
      </c>
      <c r="AQ6" s="88" t="n">
        <f aca="false">(INDEX(in_ori_clearance,1,C6)+INDEX(in_ori_coo,1,C6))/I6+INDEX(in_ori_bl_fee,1,C6)+INDEX(in_ori_fwd_fee,1,C6)+INDEX(in_ori_qc,1,C6)+INDEX(in_ori_wires,1,C6)*INDEX(in_ori_wire_fee,1,C6)</f>
        <v>298.260073260073</v>
      </c>
      <c r="AR6" s="88" t="n">
        <f aca="false">AP6+AQ6</f>
        <v>755.725274725275</v>
      </c>
      <c r="AS6" s="85" t="n">
        <f aca="false">INDEX(tbl_port_diff,H6,C6)</f>
        <v>0</v>
      </c>
      <c r="AT6" s="88" t="n">
        <f aca="false">IF(F6=4,MAX(AF6*INDEX(in_oce_lcl_factor,1,C6),AG6/1000,1)*INDEX(in_oce_lcl_rate,1,C6)*M6,G6*(INDEX(tbl_ocean_rate,MIN(F6,3),C6)+AS6)*M6)</f>
        <v>2900</v>
      </c>
      <c r="AU6" s="88" t="n">
        <f aca="false">AT6+INDEX(in_oce_ams,1,C6)</f>
        <v>2930</v>
      </c>
      <c r="AV6" s="88" t="n">
        <f aca="false">AI6*(1+IF(K6=3,INDEX(in_sup_vat_rate,1,C6),0))+AO6*Y6/AB6</f>
        <v>2910.89743589744</v>
      </c>
      <c r="AW6" s="88" t="n">
        <f aca="false">AJ6*(1+IF(K6=3,INDEX(in_sup_vat_rate,1,C6),0))+AO6*Z6/AB6</f>
        <v>2749.08424908425</v>
      </c>
      <c r="AX6" s="88" t="n">
        <f aca="false">AK6*(1+IF(K6=3,INDEX(in_sup_vat_rate,1,C6),0))+AO6*AA6/AB6</f>
        <v>2401.0989010989</v>
      </c>
      <c r="AY6" s="88" t="n">
        <f aca="false">AV6+AW6+AX6</f>
        <v>8061.08058608059</v>
      </c>
      <c r="AZ6" s="88" t="n">
        <f aca="false">MAX(INDEX(in_oce_ins_min,1,C6),INDEX(in_oce_ins_rate,1,C6)*(1+INDEX(in_oce_ins_uplift,1,C6))*(AL6+AO6+AR6+AU6))*(1-INDEX(in_oce_ins_in_other,1,C6))</f>
        <v>50</v>
      </c>
      <c r="BA6" s="87" t="n">
        <f aca="false">INDEX(in_cus_mfn,1,C6)+L6</f>
        <v>0</v>
      </c>
      <c r="BB6" s="88" t="n">
        <f aca="false">AY6*BA6</f>
        <v>0</v>
      </c>
      <c r="BC6" s="88" t="n">
        <f aca="false">MIN(MAX(AY6*INDEX(in_cus_mpf_rate,1,C6),INDEX(in_cus_mpf_min,1,C6)),INDEX(in_cus_mpf_max,1,C6))</f>
        <v>34.58</v>
      </c>
      <c r="BD6" s="88" t="n">
        <f aca="false">AY6*INDEX(in_cus_hmf,1,C6)</f>
        <v>10.0763507326007</v>
      </c>
      <c r="BE6" s="88" t="n">
        <f aca="false">MAX(INDEX(in_cus_stb_min,1,C6),INDEX(in_cus_stb_rate,1,C6)/1000*(AY6+BB6+BC6+BD6))</f>
        <v>50</v>
      </c>
      <c r="BF6" s="88" t="n">
        <f aca="false">INDEX(in_cus_broker,1,C6)+INDEX(in_cus_isf,1,C6)+INDEX(in_cus_do_fee,1,C6)+BE6+INDEX(in_cus_isf_bond,1,C6)</f>
        <v>385</v>
      </c>
      <c r="BG6" s="88" t="n">
        <f aca="false">IF(H6=1,INDEX(in_cus_cfc,1,C6)*INDEX(ct_teu,F6)*G6*(1-INDEX(in_cus_cfc_in_freight,1,C6)),0)</f>
        <v>29.6</v>
      </c>
      <c r="BH6" s="88" t="n">
        <f aca="false">IF(F6=4,1,G6)*(INDEX(in_cus_exam,1,C6)+INDEX(in_cus_exam_dray,1,C6))</f>
        <v>0</v>
      </c>
      <c r="BI6" s="88" t="n">
        <f aca="false">IF(F6=4,1,G6)*INDEX(in_cus_dem_days,1,C6)*INDEX(in_cus_dem_rate,1,C6)</f>
        <v>0</v>
      </c>
      <c r="BJ6" s="88" t="n">
        <f aca="false">BG6+BH6+BI6</f>
        <v>29.6</v>
      </c>
      <c r="BK6" s="88" t="n">
        <f aca="false">IF(F6=4,(INDEX(in_dra_lcl_cfs_d,1,C6)+INDEX(in_dra_lcl_deliv,1,C6))*P6,G6*(INDEX(tbl_dest_line,E6,C6)*P6*(1+INDEX(in_dra_fsc,1,C6))+INDEX(tbl_dest_tolls,E6,C6)+INDEX(in_dra_chassis_days,1,C6)*INDEX(tbl_dest_chassis,E6,C6)*(1-INDEX(in_dra_chassis_in_dray,1,C6))+INDEX(in_dra_wait_hours,1,C6)*INDEX(in_dra_wait_rate,1,C6)+INDEX(in_dra_split,1,C6)+INDEX(in_dra_prepull,1,C6)+INDEX(in_dra_dryrun,1,C6)))</f>
        <v>866</v>
      </c>
      <c r="BL6" s="88" t="n">
        <f aca="false">IF(F6=4,0,G6*IF(F6=1,INDEX(in_dra_unload_20,1,C6),INDEX(in_dra_unload_40,1,C6))*Q6*(1-INDEX(in_dra_unload_in_dray,1,C6)))</f>
        <v>250</v>
      </c>
      <c r="BM6" s="88" t="n">
        <f aca="false">AL6+AN6+AO6+AR6+AU6+AZ6+BB6+BC6+BD6+BF6+BJ6+BK6+BL6</f>
        <v>13372.0622115385</v>
      </c>
      <c r="BN6" s="88" t="n">
        <f aca="false">AP6+AU6+BJ6+BK6+BL6</f>
        <v>4533.0652014652</v>
      </c>
      <c r="BO6" s="88" t="n">
        <f aca="false">AQ6+BF6</f>
        <v>683.260073260073</v>
      </c>
      <c r="BP6" s="88" t="n">
        <f aca="false">AI6*(1+IF(K6=3,INDEX(in_sup_vat_rate,1,C6),0))+AO6*Y6/AB6+AV6*BA6+(BC6+BD6)*AV6/AY6+AZ6*AI6/AL6+BN6*AC6/AF6+BO6*Y6/AB6</f>
        <v>4672.60952746176</v>
      </c>
      <c r="BQ6" s="88" t="n">
        <f aca="false">AJ6*(1+IF(K6=3,INDEX(in_sup_vat_rate,1,C6),0))+AO6*Z6/AB6+AW6*BA6+(BC6+BD6)*AW6/AY6+AZ6*AJ6/AL6+BN6*AD6/AF6+BO6*Z6/AB6</f>
        <v>4843.85182388709</v>
      </c>
      <c r="BR6" s="88" t="n">
        <f aca="false">AK6*(1+IF(K6=3,INDEX(in_sup_vat_rate,1,C6),0))+AO6*AA6/AB6+AX6*BA6+(BC6+BD6)*AX6/AY6+AZ6*AK6/AL6+BN6*AE6/AF6+BO6*AA6/AB6</f>
        <v>3855.60086018961</v>
      </c>
      <c r="BS6" s="89" t="n">
        <f aca="false">BP6+BQ6+BR6-BM6</f>
        <v>0</v>
      </c>
      <c r="BT6" s="85" t="n">
        <f aca="false">Y6*(1-R6)</f>
        <v>19900</v>
      </c>
      <c r="BU6" s="85" t="n">
        <f aca="false">Z6*(1-R6)</f>
        <v>19900</v>
      </c>
      <c r="BV6" s="85" t="n">
        <f aca="false">AA6*(1-R6)</f>
        <v>19900</v>
      </c>
      <c r="BW6" s="85" t="n">
        <f aca="false">BT6+BU6+BV6</f>
        <v>59700</v>
      </c>
      <c r="BX6" s="90" t="n">
        <f aca="false">IF(BT6&gt;0,BP6/BT6,0)</f>
        <v>0.234804498867425</v>
      </c>
      <c r="BY6" s="90" t="n">
        <f aca="false">IF(BU6&gt;0,BQ6/BU6,0)</f>
        <v>0.243409639391311</v>
      </c>
      <c r="BZ6" s="90" t="n">
        <f aca="false">IF(BV6&gt;0,BR6/BV6,0)</f>
        <v>0.193748786944201</v>
      </c>
      <c r="CA6" s="90" t="n">
        <f aca="false">INDEX(in_mkt_listing_3464,1,C6)*(1-IF(sku_flute_3464="B",T6,0))*(1-S6)*N6</f>
        <v>0.2856</v>
      </c>
      <c r="CB6" s="90" t="n">
        <f aca="false">INDEX(in_mkt_listing_3463,1,C6)*(1-IF(sku_flute_3463="B",T6,0))*(1-S6)*N6</f>
        <v>0.3128</v>
      </c>
      <c r="CC6" s="90" t="n">
        <f aca="false">INDEX(in_mkt_listing_3460,1,C6)*(1-IF(sku_flute_3460="B",T6,0))*(1-S6)*N6</f>
        <v>0.256</v>
      </c>
      <c r="CD6" s="88" t="n">
        <f aca="false">BT6*CA6+BU6*CB6+BV6*CC6</f>
        <v>17002.56</v>
      </c>
      <c r="CE6" s="88" t="n">
        <f aca="false">CD6-BM6</f>
        <v>3630.49778846154</v>
      </c>
      <c r="CF6" s="87" t="n">
        <f aca="false">IF(CD6&gt;0,CE6/CD6,0)</f>
        <v>0.213526538854239</v>
      </c>
      <c r="CG6" s="87" t="n">
        <f aca="false">W6+INDEX(in_sel_processing,1,C6)+INDEX(in_sel_bad_debt,1,C6)</f>
        <v>0.0325</v>
      </c>
      <c r="CH6" s="88" t="n">
        <f aca="false">CD6*CG6</f>
        <v>552.5832</v>
      </c>
      <c r="CI6" s="88" t="n">
        <f aca="false">INDEX(in_sel_testing,1,C6)*X6+INDEX(in_sel_admin,1,C6)</f>
        <v>1250</v>
      </c>
      <c r="CJ6" s="79" t="n">
        <f aca="false">INDEX(in_sup_lead_days,1,C6)</f>
        <v>14</v>
      </c>
      <c r="CK6" s="79" t="n">
        <f aca="false">CJ6+INDEX(in_oce_transit,1,C6)+IF(F6=4,INDEX(in_oce_lcl_extra_days,1,C6),0)</f>
        <v>39</v>
      </c>
      <c r="CL6" s="79" t="n">
        <f aca="false">CK6+2+INDEX(in_cus_dem_days,1,C6)</f>
        <v>41</v>
      </c>
      <c r="CM6" s="79" t="n">
        <f aca="false">CL6+U6</f>
        <v>71</v>
      </c>
      <c r="CN6" s="79" t="n">
        <f aca="false">CJ6+INDEX(in_sup_vat_lag,1,C6)</f>
        <v>44</v>
      </c>
      <c r="CO6" s="91" t="n">
        <f aca="false">INDEX(in_sup_advance,1,C6)</f>
        <v>0.5</v>
      </c>
      <c r="CP6" s="88" t="n">
        <f aca="false">CO6*(AL6+AM6)+AO6+INDEX(in_sel_testing,1,C6)*X6</f>
        <v>5030.54029304029</v>
      </c>
      <c r="CQ6" s="88" t="n">
        <f aca="false">(1-CO6)*(AL6+AM6)+AR6+AU6+AZ6</f>
        <v>7766.26556776557</v>
      </c>
      <c r="CR6" s="88" t="n">
        <f aca="false">BB6+BC6+BD6+BF6+BJ6</f>
        <v>459.256350732601</v>
      </c>
      <c r="CS6" s="88" t="n">
        <f aca="false">BK6+BL6</f>
        <v>1116</v>
      </c>
      <c r="CT6" s="88" t="n">
        <f aca="false">IF(K6=2,AM6,0)</f>
        <v>0</v>
      </c>
      <c r="CU6" s="85" t="n">
        <f aca="false">IF(K6=2,CO6*AM6*(CN6-0)+(1-CO6)*AM6*(CN6-CJ6),0)</f>
        <v>0</v>
      </c>
      <c r="CV6" s="85" t="n">
        <f aca="false">(CP6-CO6*CT6)*(CM6-0)+(CQ6-(1-CO6)*CT6)*(CM6-CJ6)+CR6*(CM6-CK6)+CS6*(CM6-CL6)</f>
        <v>848021.701391941</v>
      </c>
      <c r="CW6" s="88" t="n">
        <f aca="false">INDEX(in_sel_fin_rate,1,C6)/365*(CU6+CV6)</f>
        <v>185.867770168097</v>
      </c>
      <c r="CX6" s="85" t="n">
        <f aca="false">CP6-IF(CN6&lt;=0,CT6,0)</f>
        <v>5030.54029304029</v>
      </c>
      <c r="CY6" s="85" t="n">
        <f aca="false">CP6+CQ6-IF(CN6&lt;=CJ6,CT6,0)</f>
        <v>12796.8058608059</v>
      </c>
      <c r="CZ6" s="85" t="n">
        <f aca="false">CP6+CQ6+CR6-IF(CN6&lt;=CK6,CT6,0)</f>
        <v>13256.0622115385</v>
      </c>
      <c r="DA6" s="85" t="n">
        <f aca="false">CP6+CQ6+CR6+CS6-IF(CN6&lt;=CL6,CT6,0)</f>
        <v>14372.0622115385</v>
      </c>
      <c r="DB6" s="88" t="n">
        <f aca="false">MAX(CX6,CY6,CZ6,DA6)</f>
        <v>14372.0622115385</v>
      </c>
      <c r="DC6" s="88" t="n">
        <f aca="false">CP6+CQ6+CR6+CS6</f>
        <v>14372.0622115385</v>
      </c>
      <c r="DD6" s="88" t="n">
        <f aca="false">CE6-CH6-CI6-CW6</f>
        <v>1642.04681829344</v>
      </c>
      <c r="DE6" s="87" t="n">
        <f aca="false">IF(CD6&gt;0,DD6/CD6,0)</f>
        <v>0.0965764460347996</v>
      </c>
      <c r="DF6" s="86" t="n">
        <f aca="false">IF(CD6&gt;0,(BM6+CI6+CW6)/(CD6*(1-CG6)),0)</f>
        <v>0.90017938394336</v>
      </c>
      <c r="DG6" s="90" t="n">
        <f aca="false">IF(BW6&gt;0,BM6/BW6,0)</f>
        <v>0.223987641734313</v>
      </c>
      <c r="DH6" s="90" t="n">
        <f aca="false">IF(BW6&gt;0,CD6/BW6,0)</f>
        <v>0.2848</v>
      </c>
      <c r="DI6" s="90" t="n">
        <f aca="false">IF(AI6&gt;0,(AI6*IF(K6=3,INDEX(in_sup_vat_rate,1,C6),0)+AV6*BA6+(BC6+BD6)*AV6/AY6+AZ6*AI6/AL6)/AI6,0)</f>
        <v>0.011742389834937</v>
      </c>
      <c r="DJ6" s="90" t="n">
        <f aca="false">IF(AJ6&gt;0,(AJ6*IF(K6=3,INDEX(in_sup_vat_rate,1,C6),0)+AW6*BA6+(BC6+BD6)*AW6/AY6+AZ6*AJ6/AL6)/AJ6,0)</f>
        <v>0.011742389834937</v>
      </c>
      <c r="DK6" s="90" t="n">
        <f aca="false">IF(AK6&gt;0,(AK6*IF(K6=3,INDEX(in_sup_vat_rate,1,C6),0)+AX6*BA6+(BC6+BD6)*AX6/AY6+AZ6*AK6/AL6)/AK6,0)</f>
        <v>0.011742389834937</v>
      </c>
      <c r="DL6" s="90" t="n">
        <f aca="false">IF(Y6&gt;0,(BP6-AI6*(1+DI6))/Y6,0)</f>
        <v>0.086376559955125</v>
      </c>
      <c r="DM6" s="90" t="n">
        <f aca="false">IF(Z6&gt;0,(BQ6-AJ6*(1+DJ6))/Z6,0)</f>
        <v>0.103124337793051</v>
      </c>
      <c r="DN6" s="90" t="n">
        <f aca="false">IF(AA6&gt;0,(BR6-AK6*(1+DK6))/AA6,0)</f>
        <v>0.0713153659880882</v>
      </c>
      <c r="DO6" s="86" t="n">
        <f aca="false">IF(Y6&gt;0,(CA6*(1-thr_gm_go)*(1-R6)-DL6)/(1+DI6)*I6/((1+AH6)*J6),"")</f>
        <v>7.20038004263253</v>
      </c>
      <c r="DP6" s="86" t="n">
        <f aca="false">IF(Z6&gt;0,(CB6*(1-thr_gm_go)*(1-R6)-DM6)/(1+DJ6)*I6/((1+AH6)*J6),"")</f>
        <v>7.40205622964448</v>
      </c>
      <c r="DQ6" s="86" t="n">
        <f aca="false">IF(AA6&gt;0,(CC6*(1-thr_gm_go)*(1-R6)-DN6)/(1+DK6)*I6/((1+AH6)*J6),"")</f>
        <v>6.8011540057584</v>
      </c>
      <c r="DR6" s="92" t="n">
        <f aca="false">IF(AND(AY6*INDEX(in_cus_mpf_rate,1,C6)&gt;INDEX(in_cus_mpf_min,1,C6),AY6*INDEX(in_cus_mpf_rate,1,C6)&lt;INDEX(in_cus_mpf_max,1,C6)),INDEX(in_cus_mpf_rate,1,C6),0)</f>
        <v>0</v>
      </c>
      <c r="DS6" s="88" t="n">
        <f aca="false">IF(AZ6&gt;INDEX(in_oce_ins_min,1,C6),INDEX(in_oce_ins_rate,1,C6)*(1+INDEX(in_oce_ins_uplift,1,C6))*AL6,0)</f>
        <v>0</v>
      </c>
      <c r="DT6" s="88" t="n">
        <f aca="false">(AL6+AN6)*(1+BA6+INDEX(in_cus_hmf,1,C6)+DR6)+DS6</f>
        <v>8071.15693681319</v>
      </c>
      <c r="DU6" s="86" t="n">
        <f aca="false">IF(DT6&gt;0,(CD6*(1-thr_gm_go)-(BM6-DT6))/DT6,0)</f>
        <v>0.923165635807434</v>
      </c>
      <c r="DV6" s="86" t="n">
        <f aca="false">IF(DT6&gt;0,(CD6-(BM6-DT6))/DT6,0)</f>
        <v>1.44981132406217</v>
      </c>
      <c r="DW6" s="87" t="n">
        <f aca="false">(1+AH6)*J6*DU6-1</f>
        <v>-0.122992645982938</v>
      </c>
      <c r="DX6" s="87" t="n">
        <f aca="false">(1+AH6)*J6*DV6-1</f>
        <v>0.377320757859065</v>
      </c>
      <c r="DY6" s="85" t="n">
        <f aca="false">IF(G6&gt;0,(CD6*(1-thr_gm_go)-(BM6-AT6))/G6,"")</f>
        <v>2279.85778846154</v>
      </c>
      <c r="DZ6" s="90" t="n">
        <f aca="false">IF(AB6&gt;0,(AL6+AN6+BB6+BC6+BD6)/AB6,0)</f>
        <v>0.135095615613553</v>
      </c>
      <c r="EA6" s="88" t="n">
        <f aca="false">BM6-DZ6*AB6</f>
        <v>5266.32527472528</v>
      </c>
      <c r="EB6" s="90" t="n">
        <f aca="false">IF(AB6&gt;0,CD6/AB6,0)</f>
        <v>0.283376</v>
      </c>
      <c r="EC6" s="85" t="n">
        <f aca="false">IF(EB6*(1-thr_gm_go)-DZ6&gt;0,EA6/(EB6*(1-thr_gm_go)-DZ6),"n/a")</f>
        <v>68008.4086628275</v>
      </c>
      <c r="ED6" s="85" t="n">
        <f aca="false">IF(EB6-DZ6&gt;0,EA6/(EB6-DZ6),"n/a")</f>
        <v>35515.9942194392</v>
      </c>
      <c r="EE6" s="93" t="b">
        <f aca="false">INDEX(cfg_fits,D6,C6)</f>
        <v>1</v>
      </c>
      <c r="EF6" s="87" t="n">
        <f aca="false">IF(F6=4,"",INDEX(cfg_lenutil,D6,C6))</f>
        <v>0.795641240569992</v>
      </c>
      <c r="EG6" s="31" t="str">
        <f aca="false">IF(O6&gt;1,"Check fit (units scaled up)","")</f>
        <v/>
      </c>
    </row>
    <row r="7" customFormat="false" ht="15" hidden="false" customHeight="false" outlineLevel="0" collapsed="false">
      <c r="A7" s="78" t="n">
        <v>1013</v>
      </c>
      <c r="B7" s="9" t="s">
        <v>3155</v>
      </c>
      <c r="C7" s="78" t="n">
        <v>1</v>
      </c>
      <c r="D7" s="78" t="n">
        <v>1</v>
      </c>
      <c r="E7" s="78" t="n">
        <v>3</v>
      </c>
      <c r="F7" s="79" t="n">
        <f aca="false">INDEX(cfg_ct,D7)</f>
        <v>3</v>
      </c>
      <c r="G7" s="79" t="n">
        <f aca="false">INDEX(cfg_n,D7)</f>
        <v>1</v>
      </c>
      <c r="H7" s="79" t="n">
        <f aca="false">INDEX(dest_port,E7)</f>
        <v>2</v>
      </c>
      <c r="I7" s="80" t="n">
        <f aca="false">INDEX(in_fx_cbe,1,C7)*(1-INDEX(in_fx_spread,1,C7))</f>
        <v>54.6</v>
      </c>
      <c r="J7" s="81" t="n">
        <f aca="false">1</f>
        <v>1</v>
      </c>
      <c r="K7" s="82" t="n">
        <f aca="false">INDEX(in_sup_vat_mode,1,C7)</f>
        <v>1</v>
      </c>
      <c r="L7" s="83" t="n">
        <f aca="false">INDEX(in_cus_s301,1,C7)</f>
        <v>0</v>
      </c>
      <c r="M7" s="84" t="n">
        <f aca="false">1</f>
        <v>1</v>
      </c>
      <c r="N7" s="81" t="n">
        <f aca="false">1</f>
        <v>1</v>
      </c>
      <c r="O7" s="81" t="n">
        <f aca="false">1</f>
        <v>1</v>
      </c>
      <c r="P7" s="81" t="n">
        <f aca="false">1</f>
        <v>1</v>
      </c>
      <c r="Q7" s="81" t="n">
        <f aca="false">1</f>
        <v>1</v>
      </c>
      <c r="R7" s="83" t="n">
        <f aca="false">INDEX(in_sel_damage,1,C7)</f>
        <v>0.005</v>
      </c>
      <c r="S7" s="83" t="n">
        <f aca="false">INDEX(in_mkt_dist_margin,1,C7)</f>
        <v>0.2</v>
      </c>
      <c r="T7" s="83" t="n">
        <f aca="false">INDEX(in_mkt_eflute_disc,1,C7)</f>
        <v>0.15</v>
      </c>
      <c r="U7" s="82" t="n">
        <f aca="false">INDEX(in_sel_credit_days,1,C7)</f>
        <v>30</v>
      </c>
      <c r="V7" s="81" t="n">
        <f aca="false">1</f>
        <v>1</v>
      </c>
      <c r="W7" s="83" t="n">
        <f aca="false">INDEX(in_sel_commission,1,C7)</f>
        <v>0.03</v>
      </c>
      <c r="X7" s="82" t="n">
        <f aca="false">1</f>
        <v>1</v>
      </c>
      <c r="Y7" s="85" t="n">
        <f aca="false">INDEX(cfg_u_3464,D7,C7)*O7</f>
        <v>20000</v>
      </c>
      <c r="Z7" s="85" t="n">
        <f aca="false">INDEX(cfg_u_3463,D7,C7)*O7</f>
        <v>20000</v>
      </c>
      <c r="AA7" s="85" t="n">
        <f aca="false">INDEX(cfg_u_3460,D7,C7)*O7</f>
        <v>20000</v>
      </c>
      <c r="AB7" s="85" t="n">
        <f aca="false">Y7+Z7+AA7</f>
        <v>60000</v>
      </c>
      <c r="AC7" s="86" t="n">
        <f aca="false">Y7*INDEX(lg_vpu_3464,C7)</f>
        <v>13.3386</v>
      </c>
      <c r="AD7" s="86" t="n">
        <f aca="false">Z7*INDEX(lg_vpu_3463,C7)</f>
        <v>16.3176</v>
      </c>
      <c r="AE7" s="86" t="n">
        <f aca="false">AA7*INDEX(lg_vpu_3460,C7)</f>
        <v>10.6596</v>
      </c>
      <c r="AF7" s="86" t="n">
        <f aca="false">AC7+AD7+AE7</f>
        <v>40.3158</v>
      </c>
      <c r="AG7" s="85" t="n">
        <f aca="false">Y7*INDEX(lg_kpu_3464,C7)+Z7*INDEX(lg_kpu_3463,C7)+AA7*INDEX(lg_kpu_3460,C7)</f>
        <v>9855.3664</v>
      </c>
      <c r="AH7" s="87" t="n">
        <f aca="false">INDEX(in_sup_requote,1,C7)</f>
        <v>-0.05</v>
      </c>
      <c r="AI7" s="88" t="n">
        <f aca="false">Y7*q_price_3464*(1+AH7)*J7/I7</f>
        <v>2910.89743589744</v>
      </c>
      <c r="AJ7" s="88" t="n">
        <f aca="false">Z7*q_price_3463*(1+AH7)*J7/I7</f>
        <v>2749.08424908425</v>
      </c>
      <c r="AK7" s="88" t="n">
        <f aca="false">AA7*q_price_3460*(1+AH7)*J7/I7</f>
        <v>2401.0989010989</v>
      </c>
      <c r="AL7" s="88" t="n">
        <f aca="false">AI7+AJ7+AK7</f>
        <v>8061.08058608059</v>
      </c>
      <c r="AM7" s="88" t="n">
        <f aca="false">IF(OR(K7=2,K7=3),AL7*INDEX(in_sup_vat_rate,1,C7),0)</f>
        <v>0</v>
      </c>
      <c r="AN7" s="88" t="n">
        <f aca="false">IF(K7=3,AM7,0)</f>
        <v>0</v>
      </c>
      <c r="AO7" s="88" t="n">
        <f aca="false">INDEX(in_sup_tooling_egp,1,C7)/I7</f>
        <v>0</v>
      </c>
      <c r="AP7" s="88" t="n">
        <f aca="false">IF(F7=4,INDEX(in_ori_lcl_truck,1,C7)*V7/I7+INDEX(in_ori_lcl_cfs_o,1,C7),G7*(IF(F7=1,INDEX(in_ori_truck_20,1,C7),INDEX(in_ori_truck_40,1,C7))*V7/I7+INDEX(in_ori_terminal,1,C7)+IF(F7=1,INDEX(in_ori_othc_20,1,C7),INDEX(in_ori_othc_40,1,C7))*(1-INDEX(in_ori_othc_in_freight,1,C7))+INDEX(in_ori_seal,1,C7)+INDEX(in_ori_inspection,1,C7)+INDEX(in_ori_dd_days,1,C7)*IF(F7=1,INDEX(in_ori_dd_20,1,C7),INDEX(in_ori_dd_40,1,C7))+INDEX(in_ori_loading_egp,1,C7)/I7))</f>
        <v>457.465201465201</v>
      </c>
      <c r="AQ7" s="88" t="n">
        <f aca="false">(INDEX(in_ori_clearance,1,C7)+INDEX(in_ori_coo,1,C7))/I7+INDEX(in_ori_bl_fee,1,C7)+INDEX(in_ori_fwd_fee,1,C7)+INDEX(in_ori_qc,1,C7)+INDEX(in_ori_wires,1,C7)*INDEX(in_ori_wire_fee,1,C7)</f>
        <v>298.260073260073</v>
      </c>
      <c r="AR7" s="88" t="n">
        <f aca="false">AP7+AQ7</f>
        <v>755.725274725275</v>
      </c>
      <c r="AS7" s="85" t="n">
        <f aca="false">INDEX(tbl_port_diff,H7,C7)</f>
        <v>0</v>
      </c>
      <c r="AT7" s="88" t="n">
        <f aca="false">IF(F7=4,MAX(AF7*INDEX(in_oce_lcl_factor,1,C7),AG7/1000,1)*INDEX(in_oce_lcl_rate,1,C7)*M7,G7*(INDEX(tbl_ocean_rate,MIN(F7,3),C7)+AS7)*M7)</f>
        <v>2900</v>
      </c>
      <c r="AU7" s="88" t="n">
        <f aca="false">AT7+INDEX(in_oce_ams,1,C7)</f>
        <v>2930</v>
      </c>
      <c r="AV7" s="88" t="n">
        <f aca="false">AI7*(1+IF(K7=3,INDEX(in_sup_vat_rate,1,C7),0))+AO7*Y7/AB7</f>
        <v>2910.89743589744</v>
      </c>
      <c r="AW7" s="88" t="n">
        <f aca="false">AJ7*(1+IF(K7=3,INDEX(in_sup_vat_rate,1,C7),0))+AO7*Z7/AB7</f>
        <v>2749.08424908425</v>
      </c>
      <c r="AX7" s="88" t="n">
        <f aca="false">AK7*(1+IF(K7=3,INDEX(in_sup_vat_rate,1,C7),0))+AO7*AA7/AB7</f>
        <v>2401.0989010989</v>
      </c>
      <c r="AY7" s="88" t="n">
        <f aca="false">AV7+AW7+AX7</f>
        <v>8061.08058608059</v>
      </c>
      <c r="AZ7" s="88" t="n">
        <f aca="false">MAX(INDEX(in_oce_ins_min,1,C7),INDEX(in_oce_ins_rate,1,C7)*(1+INDEX(in_oce_ins_uplift,1,C7))*(AL7+AO7+AR7+AU7))*(1-INDEX(in_oce_ins_in_other,1,C7))</f>
        <v>50</v>
      </c>
      <c r="BA7" s="87" t="n">
        <f aca="false">INDEX(in_cus_mfn,1,C7)+L7</f>
        <v>0</v>
      </c>
      <c r="BB7" s="88" t="n">
        <f aca="false">AY7*BA7</f>
        <v>0</v>
      </c>
      <c r="BC7" s="88" t="n">
        <f aca="false">MIN(MAX(AY7*INDEX(in_cus_mpf_rate,1,C7),INDEX(in_cus_mpf_min,1,C7)),INDEX(in_cus_mpf_max,1,C7))</f>
        <v>34.58</v>
      </c>
      <c r="BD7" s="88" t="n">
        <f aca="false">AY7*INDEX(in_cus_hmf,1,C7)</f>
        <v>10.0763507326007</v>
      </c>
      <c r="BE7" s="88" t="n">
        <f aca="false">MAX(INDEX(in_cus_stb_min,1,C7),INDEX(in_cus_stb_rate,1,C7)/1000*(AY7+BB7+BC7+BD7))</f>
        <v>50</v>
      </c>
      <c r="BF7" s="88" t="n">
        <f aca="false">INDEX(in_cus_broker,1,C7)+INDEX(in_cus_isf,1,C7)+INDEX(in_cus_do_fee,1,C7)+BE7+INDEX(in_cus_isf_bond,1,C7)</f>
        <v>385</v>
      </c>
      <c r="BG7" s="88" t="n">
        <f aca="false">IF(H7=1,INDEX(in_cus_cfc,1,C7)*INDEX(ct_teu,F7)*G7*(1-INDEX(in_cus_cfc_in_freight,1,C7)),0)</f>
        <v>0</v>
      </c>
      <c r="BH7" s="88" t="n">
        <f aca="false">IF(F7=4,1,G7)*(INDEX(in_cus_exam,1,C7)+INDEX(in_cus_exam_dray,1,C7))</f>
        <v>0</v>
      </c>
      <c r="BI7" s="88" t="n">
        <f aca="false">IF(F7=4,1,G7)*INDEX(in_cus_dem_days,1,C7)*INDEX(in_cus_dem_rate,1,C7)</f>
        <v>0</v>
      </c>
      <c r="BJ7" s="88" t="n">
        <f aca="false">BG7+BH7+BI7</f>
        <v>0</v>
      </c>
      <c r="BK7" s="88" t="n">
        <f aca="false">IF(F7=4,(INDEX(in_dra_lcl_cfs_d,1,C7)+INDEX(in_dra_lcl_deliv,1,C7))*P7,G7*(INDEX(tbl_dest_line,E7,C7)*P7*(1+INDEX(in_dra_fsc,1,C7))+INDEX(tbl_dest_tolls,E7,C7)+INDEX(in_dra_chassis_days,1,C7)*INDEX(tbl_dest_chassis,E7,C7)*(1-INDEX(in_dra_chassis_in_dray,1,C7))+INDEX(in_dra_wait_hours,1,C7)*INDEX(in_dra_wait_rate,1,C7)+INDEX(in_dra_split,1,C7)+INDEX(in_dra_prepull,1,C7)+INDEX(in_dra_dryrun,1,C7)))</f>
        <v>567.5</v>
      </c>
      <c r="BL7" s="88" t="n">
        <f aca="false">IF(F7=4,0,G7*IF(F7=1,INDEX(in_dra_unload_20,1,C7),INDEX(in_dra_unload_40,1,C7))*Q7*(1-INDEX(in_dra_unload_in_dray,1,C7)))</f>
        <v>250</v>
      </c>
      <c r="BM7" s="88" t="n">
        <f aca="false">AL7+AN7+AO7+AR7+AU7+AZ7+BB7+BC7+BD7+BF7+BJ7+BK7+BL7</f>
        <v>13043.9622115385</v>
      </c>
      <c r="BN7" s="88" t="n">
        <f aca="false">AP7+AU7+BJ7+BK7+BL7</f>
        <v>4204.9652014652</v>
      </c>
      <c r="BO7" s="88" t="n">
        <f aca="false">AQ7+BF7</f>
        <v>683.260073260073</v>
      </c>
      <c r="BP7" s="88" t="n">
        <f aca="false">AI7*(1+IF(K7=3,INDEX(in_sup_vat_rate,1,C7),0))+AO7*Y7/AB7+AV7*BA7+(BC7+BD7)*AV7/AY7+AZ7*AI7/AL7+BN7*AC7/AF7+BO7*Y7/AB7</f>
        <v>4564.05668564788</v>
      </c>
      <c r="BQ7" s="88" t="n">
        <f aca="false">AJ7*(1+IF(K7=3,INDEX(in_sup_vat_rate,1,C7),0))+AO7*Z7/AB7+AW7*BA7+(BC7+BD7)*AW7/AY7+AZ7*AJ7/AL7+BN7*AD7/AF7+BO7*Z7/AB7</f>
        <v>4711.05513970868</v>
      </c>
      <c r="BR7" s="88" t="n">
        <f aca="false">AK7*(1+IF(K7=3,INDEX(in_sup_vat_rate,1,C7),0))+AO7*AA7/AB7+AX7*BA7+(BC7+BD7)*AX7/AY7+AZ7*AK7/AL7+BN7*AE7/AF7+BO7*AA7/AB7</f>
        <v>3768.8503861819</v>
      </c>
      <c r="BS7" s="89" t="n">
        <f aca="false">BP7+BQ7+BR7-BM7</f>
        <v>0</v>
      </c>
      <c r="BT7" s="85" t="n">
        <f aca="false">Y7*(1-R7)</f>
        <v>19900</v>
      </c>
      <c r="BU7" s="85" t="n">
        <f aca="false">Z7*(1-R7)</f>
        <v>19900</v>
      </c>
      <c r="BV7" s="85" t="n">
        <f aca="false">AA7*(1-R7)</f>
        <v>19900</v>
      </c>
      <c r="BW7" s="85" t="n">
        <f aca="false">BT7+BU7+BV7</f>
        <v>59700</v>
      </c>
      <c r="BX7" s="90" t="n">
        <f aca="false">IF(BT7&gt;0,BP7/BT7,0)</f>
        <v>0.229349582193361</v>
      </c>
      <c r="BY7" s="90" t="n">
        <f aca="false">IF(BU7&gt;0,BQ7/BU7,0)</f>
        <v>0.236736439181341</v>
      </c>
      <c r="BZ7" s="90" t="n">
        <f aca="false">IF(BV7&gt;0,BR7/BV7,0)</f>
        <v>0.189389466642306</v>
      </c>
      <c r="CA7" s="90" t="n">
        <f aca="false">INDEX(in_mkt_listing_3464,1,C7)*(1-IF(sku_flute_3464="B",T7,0))*(1-S7)*N7</f>
        <v>0.2856</v>
      </c>
      <c r="CB7" s="90" t="n">
        <f aca="false">INDEX(in_mkt_listing_3463,1,C7)*(1-IF(sku_flute_3463="B",T7,0))*(1-S7)*N7</f>
        <v>0.3128</v>
      </c>
      <c r="CC7" s="90" t="n">
        <f aca="false">INDEX(in_mkt_listing_3460,1,C7)*(1-IF(sku_flute_3460="B",T7,0))*(1-S7)*N7</f>
        <v>0.256</v>
      </c>
      <c r="CD7" s="88" t="n">
        <f aca="false">BT7*CA7+BU7*CB7+BV7*CC7</f>
        <v>17002.56</v>
      </c>
      <c r="CE7" s="88" t="n">
        <f aca="false">CD7-BM7</f>
        <v>3958.59778846154</v>
      </c>
      <c r="CF7" s="87" t="n">
        <f aca="false">IF(CD7&gt;0,CE7/CD7,0)</f>
        <v>0.232823632938895</v>
      </c>
      <c r="CG7" s="87" t="n">
        <f aca="false">W7+INDEX(in_sel_processing,1,C7)+INDEX(in_sel_bad_debt,1,C7)</f>
        <v>0.0325</v>
      </c>
      <c r="CH7" s="88" t="n">
        <f aca="false">CD7*CG7</f>
        <v>552.5832</v>
      </c>
      <c r="CI7" s="88" t="n">
        <f aca="false">INDEX(in_sel_testing,1,C7)*X7+INDEX(in_sel_admin,1,C7)</f>
        <v>1250</v>
      </c>
      <c r="CJ7" s="79" t="n">
        <f aca="false">INDEX(in_sup_lead_days,1,C7)</f>
        <v>14</v>
      </c>
      <c r="CK7" s="79" t="n">
        <f aca="false">CJ7+INDEX(in_oce_transit,1,C7)+IF(F7=4,INDEX(in_oce_lcl_extra_days,1,C7),0)</f>
        <v>39</v>
      </c>
      <c r="CL7" s="79" t="n">
        <f aca="false">CK7+2+INDEX(in_cus_dem_days,1,C7)</f>
        <v>41</v>
      </c>
      <c r="CM7" s="79" t="n">
        <f aca="false">CL7+U7</f>
        <v>71</v>
      </c>
      <c r="CN7" s="79" t="n">
        <f aca="false">CJ7+INDEX(in_sup_vat_lag,1,C7)</f>
        <v>44</v>
      </c>
      <c r="CO7" s="91" t="n">
        <f aca="false">INDEX(in_sup_advance,1,C7)</f>
        <v>0.5</v>
      </c>
      <c r="CP7" s="88" t="n">
        <f aca="false">CO7*(AL7+AM7)+AO7+INDEX(in_sel_testing,1,C7)*X7</f>
        <v>5030.54029304029</v>
      </c>
      <c r="CQ7" s="88" t="n">
        <f aca="false">(1-CO7)*(AL7+AM7)+AR7+AU7+AZ7</f>
        <v>7766.26556776557</v>
      </c>
      <c r="CR7" s="88" t="n">
        <f aca="false">BB7+BC7+BD7+BF7+BJ7</f>
        <v>429.656350732601</v>
      </c>
      <c r="CS7" s="88" t="n">
        <f aca="false">BK7+BL7</f>
        <v>817.5</v>
      </c>
      <c r="CT7" s="88" t="n">
        <f aca="false">IF(K7=2,AM7,0)</f>
        <v>0</v>
      </c>
      <c r="CU7" s="85" t="n">
        <f aca="false">IF(K7=2,CO7*AM7*(CN7-0)+(1-CO7)*AM7*(CN7-CJ7),0)</f>
        <v>0</v>
      </c>
      <c r="CV7" s="85" t="n">
        <f aca="false">(CP7-CO7*CT7)*(CM7-0)+(CQ7-(1-CO7)*CT7)*(CM7-CJ7)+CR7*(CM7-CK7)+CS7*(CM7-CL7)</f>
        <v>838119.501391941</v>
      </c>
      <c r="CW7" s="88" t="n">
        <f aca="false">INDEX(in_sel_fin_rate,1,C7)/365*(CU7+CV7)</f>
        <v>183.697424962617</v>
      </c>
      <c r="CX7" s="85" t="n">
        <f aca="false">CP7-IF(CN7&lt;=0,CT7,0)</f>
        <v>5030.54029304029</v>
      </c>
      <c r="CY7" s="85" t="n">
        <f aca="false">CP7+CQ7-IF(CN7&lt;=CJ7,CT7,0)</f>
        <v>12796.8058608059</v>
      </c>
      <c r="CZ7" s="85" t="n">
        <f aca="false">CP7+CQ7+CR7-IF(CN7&lt;=CK7,CT7,0)</f>
        <v>13226.4622115385</v>
      </c>
      <c r="DA7" s="85" t="n">
        <f aca="false">CP7+CQ7+CR7+CS7-IF(CN7&lt;=CL7,CT7,0)</f>
        <v>14043.9622115385</v>
      </c>
      <c r="DB7" s="88" t="n">
        <f aca="false">MAX(CX7,CY7,CZ7,DA7)</f>
        <v>14043.9622115385</v>
      </c>
      <c r="DC7" s="88" t="n">
        <f aca="false">CP7+CQ7+CR7+CS7</f>
        <v>14043.9622115385</v>
      </c>
      <c r="DD7" s="88" t="n">
        <f aca="false">CE7-CH7-CI7-CW7</f>
        <v>1972.31716349892</v>
      </c>
      <c r="DE7" s="87" t="n">
        <f aca="false">IF(CD7&gt;0,DD7/CD7,0)</f>
        <v>0.116001188262175</v>
      </c>
      <c r="DF7" s="86" t="n">
        <f aca="false">IF(CD7&gt;0,(BM7+CI7+CW7)/(CD7*(1-CG7)),0)</f>
        <v>0.880102130995168</v>
      </c>
      <c r="DG7" s="90" t="n">
        <f aca="false">IF(BW7&gt;0,BM7/BW7,0)</f>
        <v>0.218491829339003</v>
      </c>
      <c r="DH7" s="90" t="n">
        <f aca="false">IF(BW7&gt;0,CD7/BW7,0)</f>
        <v>0.2848</v>
      </c>
      <c r="DI7" s="90" t="n">
        <f aca="false">IF(AI7&gt;0,(AI7*IF(K7=3,INDEX(in_sup_vat_rate,1,C7),0)+AV7*BA7+(BC7+BD7)*AV7/AY7+AZ7*AI7/AL7)/AI7,0)</f>
        <v>0.011742389834937</v>
      </c>
      <c r="DJ7" s="90" t="n">
        <f aca="false">IF(AJ7&gt;0,(AJ7*IF(K7=3,INDEX(in_sup_vat_rate,1,C7),0)+AW7*BA7+(BC7+BD7)*AW7/AY7+AZ7*AJ7/AL7)/AJ7,0)</f>
        <v>0.011742389834937</v>
      </c>
      <c r="DK7" s="90" t="n">
        <f aca="false">IF(AK7&gt;0,(AK7*IF(K7=3,INDEX(in_sup_vat_rate,1,C7),0)+AX7*BA7+(BC7+BD7)*AX7/AY7+AZ7*AK7/AL7)/AK7,0)</f>
        <v>0.011742389834937</v>
      </c>
      <c r="DL7" s="90" t="n">
        <f aca="false">IF(Y7&gt;0,(BP7-AI7*(1+DI7))/Y7,0)</f>
        <v>0.0809489178644311</v>
      </c>
      <c r="DM7" s="90" t="n">
        <f aca="false">IF(Z7&gt;0,(BQ7-AJ7*(1+DJ7))/Z7,0)</f>
        <v>0.0964845035841301</v>
      </c>
      <c r="DN7" s="90" t="n">
        <f aca="false">IF(AA7&gt;0,(BR7-AK7*(1+DK7))/AA7,0)</f>
        <v>0.0669778422877027</v>
      </c>
      <c r="DO7" s="86" t="n">
        <f aca="false">IF(Y7&gt;0,(CA7*(1-thr_gm_go)*(1-R7)-DL7)/(1+DI7)*I7/((1+AH7)*J7),"")</f>
        <v>7.50870614487205</v>
      </c>
      <c r="DP7" s="86" t="n">
        <f aca="false">IF(Z7&gt;0,(CB7*(1-thr_gm_go)*(1-R7)-DM7)/(1+DJ7)*I7/((1+AH7)*J7),"")</f>
        <v>7.77924289135588</v>
      </c>
      <c r="DQ7" s="86" t="n">
        <f aca="false">IF(AA7&gt;0,(CC7*(1-thr_gm_go)*(1-R7)-DN7)/(1+DK7)*I7/((1+AH7)*J7),"")</f>
        <v>7.04755414666018</v>
      </c>
      <c r="DR7" s="92" t="n">
        <f aca="false">IF(AND(AY7*INDEX(in_cus_mpf_rate,1,C7)&gt;INDEX(in_cus_mpf_min,1,C7),AY7*INDEX(in_cus_mpf_rate,1,C7)&lt;INDEX(in_cus_mpf_max,1,C7)),INDEX(in_cus_mpf_rate,1,C7),0)</f>
        <v>0</v>
      </c>
      <c r="DS7" s="88" t="n">
        <f aca="false">IF(AZ7&gt;INDEX(in_oce_ins_min,1,C7),INDEX(in_oce_ins_rate,1,C7)*(1+INDEX(in_oce_ins_uplift,1,C7))*AL7,0)</f>
        <v>0</v>
      </c>
      <c r="DT7" s="88" t="n">
        <f aca="false">(AL7+AN7)*(1+BA7+INDEX(in_cus_hmf,1,C7)+DR7)+DS7</f>
        <v>8071.15693681319</v>
      </c>
      <c r="DU7" s="86" t="n">
        <f aca="false">IF(DT7&gt;0,(CD7*(1-thr_gm_go)-(BM7-DT7))/DT7,0)</f>
        <v>0.963816561389553</v>
      </c>
      <c r="DV7" s="86" t="n">
        <f aca="false">IF(DT7&gt;0,(CD7-(BM7-DT7))/DT7,0)</f>
        <v>1.49046224964429</v>
      </c>
      <c r="DW7" s="87" t="n">
        <f aca="false">(1+AH7)*J7*DU7-1</f>
        <v>-0.0843742666799244</v>
      </c>
      <c r="DX7" s="87" t="n">
        <f aca="false">(1+AH7)*J7*DV7-1</f>
        <v>0.415939137162078</v>
      </c>
      <c r="DY7" s="85" t="n">
        <f aca="false">IF(G7&gt;0,(CD7*(1-thr_gm_go)-(BM7-AT7))/G7,"")</f>
        <v>2607.95778846154</v>
      </c>
      <c r="DZ7" s="90" t="n">
        <f aca="false">IF(AB7&gt;0,(AL7+AN7+BB7+BC7+BD7)/AB7,0)</f>
        <v>0.135095615613553</v>
      </c>
      <c r="EA7" s="88" t="n">
        <f aca="false">BM7-DZ7*AB7</f>
        <v>4938.22527472528</v>
      </c>
      <c r="EB7" s="90" t="n">
        <f aca="false">IF(AB7&gt;0,CD7/AB7,0)</f>
        <v>0.283376</v>
      </c>
      <c r="EC7" s="85" t="n">
        <f aca="false">IF(EB7*(1-thr_gm_go)-DZ7&gt;0,EA7/(EB7*(1-thr_gm_go)-DZ7),"n/a")</f>
        <v>63771.3823269566</v>
      </c>
      <c r="ED7" s="85" t="n">
        <f aca="false">IF(EB7-DZ7&gt;0,EA7/(EB7-DZ7),"n/a")</f>
        <v>33303.2942634902</v>
      </c>
      <c r="EE7" s="93" t="b">
        <f aca="false">INDEX(cfg_fits,D7,C7)</f>
        <v>1</v>
      </c>
      <c r="EF7" s="87" t="n">
        <f aca="false">IF(F7=4,"",INDEX(cfg_lenutil,D7,C7))</f>
        <v>0.795641240569992</v>
      </c>
      <c r="EG7" s="31" t="str">
        <f aca="false">IF(O7&gt;1,"Check fit (units scaled up)","")</f>
        <v/>
      </c>
    </row>
    <row r="8" customFormat="false" ht="15" hidden="false" customHeight="false" outlineLevel="0" collapsed="false">
      <c r="A8" s="78" t="n">
        <v>1014</v>
      </c>
      <c r="B8" s="9" t="s">
        <v>3156</v>
      </c>
      <c r="C8" s="78" t="n">
        <v>1</v>
      </c>
      <c r="D8" s="78" t="n">
        <v>1</v>
      </c>
      <c r="E8" s="78" t="n">
        <v>4</v>
      </c>
      <c r="F8" s="79" t="n">
        <f aca="false">INDEX(cfg_ct,D8)</f>
        <v>3</v>
      </c>
      <c r="G8" s="79" t="n">
        <f aca="false">INDEX(cfg_n,D8)</f>
        <v>1</v>
      </c>
      <c r="H8" s="79" t="n">
        <f aca="false">INDEX(dest_port,E8)</f>
        <v>3</v>
      </c>
      <c r="I8" s="80" t="n">
        <f aca="false">INDEX(in_fx_cbe,1,C8)*(1-INDEX(in_fx_spread,1,C8))</f>
        <v>54.6</v>
      </c>
      <c r="J8" s="81" t="n">
        <f aca="false">1</f>
        <v>1</v>
      </c>
      <c r="K8" s="82" t="n">
        <f aca="false">INDEX(in_sup_vat_mode,1,C8)</f>
        <v>1</v>
      </c>
      <c r="L8" s="83" t="n">
        <f aca="false">INDEX(in_cus_s301,1,C8)</f>
        <v>0</v>
      </c>
      <c r="M8" s="84" t="n">
        <f aca="false">1</f>
        <v>1</v>
      </c>
      <c r="N8" s="81" t="n">
        <f aca="false">1</f>
        <v>1</v>
      </c>
      <c r="O8" s="81" t="n">
        <f aca="false">1</f>
        <v>1</v>
      </c>
      <c r="P8" s="81" t="n">
        <f aca="false">1</f>
        <v>1</v>
      </c>
      <c r="Q8" s="81" t="n">
        <f aca="false">1</f>
        <v>1</v>
      </c>
      <c r="R8" s="83" t="n">
        <f aca="false">INDEX(in_sel_damage,1,C8)</f>
        <v>0.005</v>
      </c>
      <c r="S8" s="83" t="n">
        <f aca="false">INDEX(in_mkt_dist_margin,1,C8)</f>
        <v>0.2</v>
      </c>
      <c r="T8" s="83" t="n">
        <f aca="false">INDEX(in_mkt_eflute_disc,1,C8)</f>
        <v>0.15</v>
      </c>
      <c r="U8" s="82" t="n">
        <f aca="false">INDEX(in_sel_credit_days,1,C8)</f>
        <v>30</v>
      </c>
      <c r="V8" s="81" t="n">
        <f aca="false">1</f>
        <v>1</v>
      </c>
      <c r="W8" s="83" t="n">
        <f aca="false">INDEX(in_sel_commission,1,C8)</f>
        <v>0.03</v>
      </c>
      <c r="X8" s="82" t="n">
        <f aca="false">1</f>
        <v>1</v>
      </c>
      <c r="Y8" s="85" t="n">
        <f aca="false">INDEX(cfg_u_3464,D8,C8)*O8</f>
        <v>20000</v>
      </c>
      <c r="Z8" s="85" t="n">
        <f aca="false">INDEX(cfg_u_3463,D8,C8)*O8</f>
        <v>20000</v>
      </c>
      <c r="AA8" s="85" t="n">
        <f aca="false">INDEX(cfg_u_3460,D8,C8)*O8</f>
        <v>20000</v>
      </c>
      <c r="AB8" s="85" t="n">
        <f aca="false">Y8+Z8+AA8</f>
        <v>60000</v>
      </c>
      <c r="AC8" s="86" t="n">
        <f aca="false">Y8*INDEX(lg_vpu_3464,C8)</f>
        <v>13.3386</v>
      </c>
      <c r="AD8" s="86" t="n">
        <f aca="false">Z8*INDEX(lg_vpu_3463,C8)</f>
        <v>16.3176</v>
      </c>
      <c r="AE8" s="86" t="n">
        <f aca="false">AA8*INDEX(lg_vpu_3460,C8)</f>
        <v>10.6596</v>
      </c>
      <c r="AF8" s="86" t="n">
        <f aca="false">AC8+AD8+AE8</f>
        <v>40.3158</v>
      </c>
      <c r="AG8" s="85" t="n">
        <f aca="false">Y8*INDEX(lg_kpu_3464,C8)+Z8*INDEX(lg_kpu_3463,C8)+AA8*INDEX(lg_kpu_3460,C8)</f>
        <v>9855.3664</v>
      </c>
      <c r="AH8" s="87" t="n">
        <f aca="false">INDEX(in_sup_requote,1,C8)</f>
        <v>-0.05</v>
      </c>
      <c r="AI8" s="88" t="n">
        <f aca="false">Y8*q_price_3464*(1+AH8)*J8/I8</f>
        <v>2910.89743589744</v>
      </c>
      <c r="AJ8" s="88" t="n">
        <f aca="false">Z8*q_price_3463*(1+AH8)*J8/I8</f>
        <v>2749.08424908425</v>
      </c>
      <c r="AK8" s="88" t="n">
        <f aca="false">AA8*q_price_3460*(1+AH8)*J8/I8</f>
        <v>2401.0989010989</v>
      </c>
      <c r="AL8" s="88" t="n">
        <f aca="false">AI8+AJ8+AK8</f>
        <v>8061.08058608059</v>
      </c>
      <c r="AM8" s="88" t="n">
        <f aca="false">IF(OR(K8=2,K8=3),AL8*INDEX(in_sup_vat_rate,1,C8),0)</f>
        <v>0</v>
      </c>
      <c r="AN8" s="88" t="n">
        <f aca="false">IF(K8=3,AM8,0)</f>
        <v>0</v>
      </c>
      <c r="AO8" s="88" t="n">
        <f aca="false">INDEX(in_sup_tooling_egp,1,C8)/I8</f>
        <v>0</v>
      </c>
      <c r="AP8" s="88" t="n">
        <f aca="false">IF(F8=4,INDEX(in_ori_lcl_truck,1,C8)*V8/I8+INDEX(in_ori_lcl_cfs_o,1,C8),G8*(IF(F8=1,INDEX(in_ori_truck_20,1,C8),INDEX(in_ori_truck_40,1,C8))*V8/I8+INDEX(in_ori_terminal,1,C8)+IF(F8=1,INDEX(in_ori_othc_20,1,C8),INDEX(in_ori_othc_40,1,C8))*(1-INDEX(in_ori_othc_in_freight,1,C8))+INDEX(in_ori_seal,1,C8)+INDEX(in_ori_inspection,1,C8)+INDEX(in_ori_dd_days,1,C8)*IF(F8=1,INDEX(in_ori_dd_20,1,C8),INDEX(in_ori_dd_40,1,C8))+INDEX(in_ori_loading_egp,1,C8)/I8))</f>
        <v>457.465201465201</v>
      </c>
      <c r="AQ8" s="88" t="n">
        <f aca="false">(INDEX(in_ori_clearance,1,C8)+INDEX(in_ori_coo,1,C8))/I8+INDEX(in_ori_bl_fee,1,C8)+INDEX(in_ori_fwd_fee,1,C8)+INDEX(in_ori_qc,1,C8)+INDEX(in_ori_wires,1,C8)*INDEX(in_ori_wire_fee,1,C8)</f>
        <v>298.260073260073</v>
      </c>
      <c r="AR8" s="88" t="n">
        <f aca="false">AP8+AQ8</f>
        <v>755.725274725275</v>
      </c>
      <c r="AS8" s="85" t="n">
        <f aca="false">INDEX(tbl_port_diff,H8,C8)</f>
        <v>0</v>
      </c>
      <c r="AT8" s="88" t="n">
        <f aca="false">IF(F8=4,MAX(AF8*INDEX(in_oce_lcl_factor,1,C8),AG8/1000,1)*INDEX(in_oce_lcl_rate,1,C8)*M8,G8*(INDEX(tbl_ocean_rate,MIN(F8,3),C8)+AS8)*M8)</f>
        <v>2900</v>
      </c>
      <c r="AU8" s="88" t="n">
        <f aca="false">AT8+INDEX(in_oce_ams,1,C8)</f>
        <v>2930</v>
      </c>
      <c r="AV8" s="88" t="n">
        <f aca="false">AI8*(1+IF(K8=3,INDEX(in_sup_vat_rate,1,C8),0))+AO8*Y8/AB8</f>
        <v>2910.89743589744</v>
      </c>
      <c r="AW8" s="88" t="n">
        <f aca="false">AJ8*(1+IF(K8=3,INDEX(in_sup_vat_rate,1,C8),0))+AO8*Z8/AB8</f>
        <v>2749.08424908425</v>
      </c>
      <c r="AX8" s="88" t="n">
        <f aca="false">AK8*(1+IF(K8=3,INDEX(in_sup_vat_rate,1,C8),0))+AO8*AA8/AB8</f>
        <v>2401.0989010989</v>
      </c>
      <c r="AY8" s="88" t="n">
        <f aca="false">AV8+AW8+AX8</f>
        <v>8061.08058608059</v>
      </c>
      <c r="AZ8" s="88" t="n">
        <f aca="false">MAX(INDEX(in_oce_ins_min,1,C8),INDEX(in_oce_ins_rate,1,C8)*(1+INDEX(in_oce_ins_uplift,1,C8))*(AL8+AO8+AR8+AU8))*(1-INDEX(in_oce_ins_in_other,1,C8))</f>
        <v>50</v>
      </c>
      <c r="BA8" s="87" t="n">
        <f aca="false">INDEX(in_cus_mfn,1,C8)+L8</f>
        <v>0</v>
      </c>
      <c r="BB8" s="88" t="n">
        <f aca="false">AY8*BA8</f>
        <v>0</v>
      </c>
      <c r="BC8" s="88" t="n">
        <f aca="false">MIN(MAX(AY8*INDEX(in_cus_mpf_rate,1,C8),INDEX(in_cus_mpf_min,1,C8)),INDEX(in_cus_mpf_max,1,C8))</f>
        <v>34.58</v>
      </c>
      <c r="BD8" s="88" t="n">
        <f aca="false">AY8*INDEX(in_cus_hmf,1,C8)</f>
        <v>10.0763507326007</v>
      </c>
      <c r="BE8" s="88" t="n">
        <f aca="false">MAX(INDEX(in_cus_stb_min,1,C8),INDEX(in_cus_stb_rate,1,C8)/1000*(AY8+BB8+BC8+BD8))</f>
        <v>50</v>
      </c>
      <c r="BF8" s="88" t="n">
        <f aca="false">INDEX(in_cus_broker,1,C8)+INDEX(in_cus_isf,1,C8)+INDEX(in_cus_do_fee,1,C8)+BE8+INDEX(in_cus_isf_bond,1,C8)</f>
        <v>385</v>
      </c>
      <c r="BG8" s="88" t="n">
        <f aca="false">IF(H8=1,INDEX(in_cus_cfc,1,C8)*INDEX(ct_teu,F8)*G8*(1-INDEX(in_cus_cfc_in_freight,1,C8)),0)</f>
        <v>0</v>
      </c>
      <c r="BH8" s="88" t="n">
        <f aca="false">IF(F8=4,1,G8)*(INDEX(in_cus_exam,1,C8)+INDEX(in_cus_exam_dray,1,C8))</f>
        <v>0</v>
      </c>
      <c r="BI8" s="88" t="n">
        <f aca="false">IF(F8=4,1,G8)*INDEX(in_cus_dem_days,1,C8)*INDEX(in_cus_dem_rate,1,C8)</f>
        <v>0</v>
      </c>
      <c r="BJ8" s="88" t="n">
        <f aca="false">BG8+BH8+BI8</f>
        <v>0</v>
      </c>
      <c r="BK8" s="88" t="n">
        <f aca="false">IF(F8=4,(INDEX(in_dra_lcl_cfs_d,1,C8)+INDEX(in_dra_lcl_deliv,1,C8))*P8,G8*(INDEX(tbl_dest_line,E8,C8)*P8*(1+INDEX(in_dra_fsc,1,C8))+INDEX(tbl_dest_tolls,E8,C8)+INDEX(in_dra_chassis_days,1,C8)*INDEX(tbl_dest_chassis,E8,C8)*(1-INDEX(in_dra_chassis_in_dray,1,C8))+INDEX(in_dra_wait_hours,1,C8)*INDEX(in_dra_wait_rate,1,C8)+INDEX(in_dra_split,1,C8)+INDEX(in_dra_prepull,1,C8)+INDEX(in_dra_dryrun,1,C8)))</f>
        <v>1027.5</v>
      </c>
      <c r="BL8" s="88" t="n">
        <f aca="false">IF(F8=4,0,G8*IF(F8=1,INDEX(in_dra_unload_20,1,C8),INDEX(in_dra_unload_40,1,C8))*Q8*(1-INDEX(in_dra_unload_in_dray,1,C8)))</f>
        <v>250</v>
      </c>
      <c r="BM8" s="88" t="n">
        <f aca="false">AL8+AN8+AO8+AR8+AU8+AZ8+BB8+BC8+BD8+BF8+BJ8+BK8+BL8</f>
        <v>13503.9622115385</v>
      </c>
      <c r="BN8" s="88" t="n">
        <f aca="false">AP8+AU8+BJ8+BK8+BL8</f>
        <v>4664.9652014652</v>
      </c>
      <c r="BO8" s="88" t="n">
        <f aca="false">AQ8+BF8</f>
        <v>683.260073260073</v>
      </c>
      <c r="BP8" s="88" t="n">
        <f aca="false">AI8*(1+IF(K8=3,INDEX(in_sup_vat_rate,1,C8),0))+AO8*Y8/AB8+AV8*BA8+(BC8+BD8)*AV8/AY8+AZ8*AI8/AL8+BN8*AC8/AF8+BO8*Y8/AB8</f>
        <v>4716.24902711202</v>
      </c>
      <c r="BQ8" s="88" t="n">
        <f aca="false">AJ8*(1+IF(K8=3,INDEX(in_sup_vat_rate,1,C8),0))+AO8*Z8/AB8+AW8*BA8+(BC8+BD8)*AW8/AY8+AZ8*AJ8/AL8+BN8*AD8/AF8+BO8*Z8/AB8</f>
        <v>4897.23762895607</v>
      </c>
      <c r="BR8" s="88" t="n">
        <f aca="false">AK8*(1+IF(K8=3,INDEX(in_sup_vat_rate,1,C8),0))+AO8*AA8/AB8+AX8*BA8+(BC8+BD8)*AX8/AY8+AZ8*AK8/AL8+BN8*AE8/AF8+BO8*AA8/AB8</f>
        <v>3890.47555547036</v>
      </c>
      <c r="BS8" s="89" t="n">
        <f aca="false">BP8+BQ8+BR8-BM8</f>
        <v>0</v>
      </c>
      <c r="BT8" s="85" t="n">
        <f aca="false">Y8*(1-R8)</f>
        <v>19900</v>
      </c>
      <c r="BU8" s="85" t="n">
        <f aca="false">Z8*(1-R8)</f>
        <v>19900</v>
      </c>
      <c r="BV8" s="85" t="n">
        <f aca="false">AA8*(1-R8)</f>
        <v>19900</v>
      </c>
      <c r="BW8" s="85" t="n">
        <f aca="false">BT8+BU8+BV8</f>
        <v>59700</v>
      </c>
      <c r="BX8" s="90" t="n">
        <f aca="false">IF(BT8&gt;0,BP8/BT8,0)</f>
        <v>0.236997438548343</v>
      </c>
      <c r="BY8" s="90" t="n">
        <f aca="false">IF(BU8&gt;0,BQ8/BU8,0)</f>
        <v>0.246092343163622</v>
      </c>
      <c r="BZ8" s="90" t="n">
        <f aca="false">IF(BV8&gt;0,BR8/BV8,0)</f>
        <v>0.195501284194491</v>
      </c>
      <c r="CA8" s="90" t="n">
        <f aca="false">INDEX(in_mkt_listing_3464,1,C8)*(1-IF(sku_flute_3464="B",T8,0))*(1-S8)*N8</f>
        <v>0.2856</v>
      </c>
      <c r="CB8" s="90" t="n">
        <f aca="false">INDEX(in_mkt_listing_3463,1,C8)*(1-IF(sku_flute_3463="B",T8,0))*(1-S8)*N8</f>
        <v>0.3128</v>
      </c>
      <c r="CC8" s="90" t="n">
        <f aca="false">INDEX(in_mkt_listing_3460,1,C8)*(1-IF(sku_flute_3460="B",T8,0))*(1-S8)*N8</f>
        <v>0.256</v>
      </c>
      <c r="CD8" s="88" t="n">
        <f aca="false">BT8*CA8+BU8*CB8+BV8*CC8</f>
        <v>17002.56</v>
      </c>
      <c r="CE8" s="88" t="n">
        <f aca="false">CD8-BM8</f>
        <v>3498.59778846154</v>
      </c>
      <c r="CF8" s="87" t="n">
        <f aca="false">IF(CD8&gt;0,CE8/CD8,0)</f>
        <v>0.205768883536452</v>
      </c>
      <c r="CG8" s="87" t="n">
        <f aca="false">W8+INDEX(in_sel_processing,1,C8)+INDEX(in_sel_bad_debt,1,C8)</f>
        <v>0.0325</v>
      </c>
      <c r="CH8" s="88" t="n">
        <f aca="false">CD8*CG8</f>
        <v>552.5832</v>
      </c>
      <c r="CI8" s="88" t="n">
        <f aca="false">INDEX(in_sel_testing,1,C8)*X8+INDEX(in_sel_admin,1,C8)</f>
        <v>1250</v>
      </c>
      <c r="CJ8" s="79" t="n">
        <f aca="false">INDEX(in_sup_lead_days,1,C8)</f>
        <v>14</v>
      </c>
      <c r="CK8" s="79" t="n">
        <f aca="false">CJ8+INDEX(in_oce_transit,1,C8)+IF(F8=4,INDEX(in_oce_lcl_extra_days,1,C8),0)</f>
        <v>39</v>
      </c>
      <c r="CL8" s="79" t="n">
        <f aca="false">CK8+2+INDEX(in_cus_dem_days,1,C8)</f>
        <v>41</v>
      </c>
      <c r="CM8" s="79" t="n">
        <f aca="false">CL8+U8</f>
        <v>71</v>
      </c>
      <c r="CN8" s="79" t="n">
        <f aca="false">CJ8+INDEX(in_sup_vat_lag,1,C8)</f>
        <v>44</v>
      </c>
      <c r="CO8" s="91" t="n">
        <f aca="false">INDEX(in_sup_advance,1,C8)</f>
        <v>0.5</v>
      </c>
      <c r="CP8" s="88" t="n">
        <f aca="false">CO8*(AL8+AM8)+AO8+INDEX(in_sel_testing,1,C8)*X8</f>
        <v>5030.54029304029</v>
      </c>
      <c r="CQ8" s="88" t="n">
        <f aca="false">(1-CO8)*(AL8+AM8)+AR8+AU8+AZ8</f>
        <v>7766.26556776557</v>
      </c>
      <c r="CR8" s="88" t="n">
        <f aca="false">BB8+BC8+BD8+BF8+BJ8</f>
        <v>429.656350732601</v>
      </c>
      <c r="CS8" s="88" t="n">
        <f aca="false">BK8+BL8</f>
        <v>1277.5</v>
      </c>
      <c r="CT8" s="88" t="n">
        <f aca="false">IF(K8=2,AM8,0)</f>
        <v>0</v>
      </c>
      <c r="CU8" s="85" t="n">
        <f aca="false">IF(K8=2,CO8*AM8*(CN8-0)+(1-CO8)*AM8*(CN8-CJ8),0)</f>
        <v>0</v>
      </c>
      <c r="CV8" s="85" t="n">
        <f aca="false">(CP8-CO8*CT8)*(CM8-0)+(CQ8-(1-CO8)*CT8)*(CM8-CJ8)+CR8*(CM8-CK8)+CS8*(CM8-CL8)</f>
        <v>851919.501391941</v>
      </c>
      <c r="CW8" s="88" t="n">
        <f aca="false">INDEX(in_sel_fin_rate,1,C8)/365*(CU8+CV8)</f>
        <v>186.722082496864</v>
      </c>
      <c r="CX8" s="85" t="n">
        <f aca="false">CP8-IF(CN8&lt;=0,CT8,0)</f>
        <v>5030.54029304029</v>
      </c>
      <c r="CY8" s="85" t="n">
        <f aca="false">CP8+CQ8-IF(CN8&lt;=CJ8,CT8,0)</f>
        <v>12796.8058608059</v>
      </c>
      <c r="CZ8" s="85" t="n">
        <f aca="false">CP8+CQ8+CR8-IF(CN8&lt;=CK8,CT8,0)</f>
        <v>13226.4622115385</v>
      </c>
      <c r="DA8" s="85" t="n">
        <f aca="false">CP8+CQ8+CR8+CS8-IF(CN8&lt;=CL8,CT8,0)</f>
        <v>14503.9622115385</v>
      </c>
      <c r="DB8" s="88" t="n">
        <f aca="false">MAX(CX8,CY8,CZ8,DA8)</f>
        <v>14503.9622115385</v>
      </c>
      <c r="DC8" s="88" t="n">
        <f aca="false">CP8+CQ8+CR8+CS8</f>
        <v>14503.9622115385</v>
      </c>
      <c r="DD8" s="88" t="n">
        <f aca="false">CE8-CH8-CI8-CW8</f>
        <v>1509.29250596467</v>
      </c>
      <c r="DE8" s="87" t="n">
        <f aca="false">IF(CD8&gt;0,DD8/CD8,0)</f>
        <v>0.0887685446170856</v>
      </c>
      <c r="DF8" s="86" t="n">
        <f aca="false">IF(CD8&gt;0,(BM8+CI8+CW8)/(CD8*(1-CG8)),0)</f>
        <v>0.90824956628725</v>
      </c>
      <c r="DG8" s="90" t="n">
        <f aca="false">IF(BW8&gt;0,BM8/BW8,0)</f>
        <v>0.226197021968818</v>
      </c>
      <c r="DH8" s="90" t="n">
        <f aca="false">IF(BW8&gt;0,CD8/BW8,0)</f>
        <v>0.2848</v>
      </c>
      <c r="DI8" s="90" t="n">
        <f aca="false">IF(AI8&gt;0,(AI8*IF(K8=3,INDEX(in_sup_vat_rate,1,C8),0)+AV8*BA8+(BC8+BD8)*AV8/AY8+AZ8*AI8/AL8)/AI8,0)</f>
        <v>0.011742389834937</v>
      </c>
      <c r="DJ8" s="90" t="n">
        <f aca="false">IF(AJ8&gt;0,(AJ8*IF(K8=3,INDEX(in_sup_vat_rate,1,C8),0)+AW8*BA8+(BC8+BD8)*AW8/AY8+AZ8*AJ8/AL8)/AJ8,0)</f>
        <v>0.011742389834937</v>
      </c>
      <c r="DK8" s="90" t="n">
        <f aca="false">IF(AK8&gt;0,(AK8*IF(K8=3,INDEX(in_sup_vat_rate,1,C8),0)+AX8*BA8+(BC8+BD8)*AX8/AY8+AZ8*AK8/AL8)/AK8,0)</f>
        <v>0.011742389834937</v>
      </c>
      <c r="DL8" s="90" t="n">
        <f aca="false">IF(Y8&gt;0,(BP8-AI8*(1+DI8))/Y8,0)</f>
        <v>0.0885585349376381</v>
      </c>
      <c r="DM8" s="90" t="n">
        <f aca="false">IF(Z8&gt;0,(BQ8-AJ8*(1+DJ8))/Z8,0)</f>
        <v>0.1057936280465</v>
      </c>
      <c r="DN8" s="90" t="n">
        <f aca="false">IF(AA8&gt;0,(BR8-AK8*(1+DK8))/AA8,0)</f>
        <v>0.0730591007521261</v>
      </c>
      <c r="DO8" s="86" t="n">
        <f aca="false">IF(Y8&gt;0,(CA8*(1-thr_gm_go)*(1-R8)-DL8)/(1+DI8)*I8/((1+AH8)*J8),"")</f>
        <v>7.07642937855025</v>
      </c>
      <c r="DP8" s="86" t="n">
        <f aca="false">IF(Z8&gt;0,(CB8*(1-thr_gm_go)*(1-R8)-DM8)/(1+DJ8)*I8/((1+AH8)*J8),"")</f>
        <v>7.2504228231229</v>
      </c>
      <c r="DQ8" s="86" t="n">
        <f aca="false">IF(AA8&gt;0,(CC8*(1-thr_gm_go)*(1-R8)-DN8)/(1+DK8)*I8/((1+AH8)*J8),"")</f>
        <v>6.70209829535016</v>
      </c>
      <c r="DR8" s="92" t="n">
        <f aca="false">IF(AND(AY8*INDEX(in_cus_mpf_rate,1,C8)&gt;INDEX(in_cus_mpf_min,1,C8),AY8*INDEX(in_cus_mpf_rate,1,C8)&lt;INDEX(in_cus_mpf_max,1,C8)),INDEX(in_cus_mpf_rate,1,C8),0)</f>
        <v>0</v>
      </c>
      <c r="DS8" s="88" t="n">
        <f aca="false">IF(AZ8&gt;INDEX(in_oce_ins_min,1,C8),INDEX(in_oce_ins_rate,1,C8)*(1+INDEX(in_oce_ins_uplift,1,C8))*AL8,0)</f>
        <v>0</v>
      </c>
      <c r="DT8" s="88" t="n">
        <f aca="false">(AL8+AN8)*(1+BA8+INDEX(in_cus_hmf,1,C8)+DR8)+DS8</f>
        <v>8071.15693681319</v>
      </c>
      <c r="DU8" s="86" t="n">
        <f aca="false">IF(DT8&gt;0,(CD8*(1-thr_gm_go)-(BM8-DT8))/DT8,0)</f>
        <v>0.906823492911117</v>
      </c>
      <c r="DV8" s="86" t="n">
        <f aca="false">IF(DT8&gt;0,(CD8-(BM8-DT8))/DT8,0)</f>
        <v>1.43346918116586</v>
      </c>
      <c r="DW8" s="87" t="n">
        <f aca="false">(1+AH8)*J8*DU8-1</f>
        <v>-0.138517681734439</v>
      </c>
      <c r="DX8" s="87" t="n">
        <f aca="false">(1+AH8)*J8*DV8-1</f>
        <v>0.361795722107564</v>
      </c>
      <c r="DY8" s="85" t="n">
        <f aca="false">IF(G8&gt;0,(CD8*(1-thr_gm_go)-(BM8-AT8))/G8,"")</f>
        <v>2147.95778846154</v>
      </c>
      <c r="DZ8" s="90" t="n">
        <f aca="false">IF(AB8&gt;0,(AL8+AN8+BB8+BC8+BD8)/AB8,0)</f>
        <v>0.135095615613553</v>
      </c>
      <c r="EA8" s="88" t="n">
        <f aca="false">BM8-DZ8*AB8</f>
        <v>5398.22527472528</v>
      </c>
      <c r="EB8" s="90" t="n">
        <f aca="false">IF(AB8&gt;0,CD8/AB8,0)</f>
        <v>0.283376</v>
      </c>
      <c r="EC8" s="85" t="n">
        <f aca="false">IF(EB8*(1-thr_gm_go)-DZ8&gt;0,EA8/(EB8*(1-thr_gm_go)-DZ8),"n/a")</f>
        <v>69711.7423223867</v>
      </c>
      <c r="ED8" s="85" t="n">
        <f aca="false">IF(EB8-DZ8&gt;0,EA8/(EB8-DZ8),"n/a")</f>
        <v>36405.5252288561</v>
      </c>
      <c r="EE8" s="93" t="b">
        <f aca="false">INDEX(cfg_fits,D8,C8)</f>
        <v>1</v>
      </c>
      <c r="EF8" s="87" t="n">
        <f aca="false">IF(F8=4,"",INDEX(cfg_lenutil,D8,C8))</f>
        <v>0.795641240569992</v>
      </c>
      <c r="EG8" s="31" t="str">
        <f aca="false">IF(O8&gt;1,"Check fit (units scaled up)","")</f>
        <v/>
      </c>
    </row>
    <row r="9" customFormat="false" ht="15" hidden="false" customHeight="false" outlineLevel="0" collapsed="false">
      <c r="A9" s="78" t="n">
        <v>1015</v>
      </c>
      <c r="B9" s="9" t="s">
        <v>3157</v>
      </c>
      <c r="C9" s="78" t="n">
        <v>1</v>
      </c>
      <c r="D9" s="78" t="n">
        <v>1</v>
      </c>
      <c r="E9" s="78" t="n">
        <v>5</v>
      </c>
      <c r="F9" s="79" t="n">
        <f aca="false">INDEX(cfg_ct,D9)</f>
        <v>3</v>
      </c>
      <c r="G9" s="79" t="n">
        <f aca="false">INDEX(cfg_n,D9)</f>
        <v>1</v>
      </c>
      <c r="H9" s="79" t="n">
        <f aca="false">INDEX(dest_port,E9)</f>
        <v>4</v>
      </c>
      <c r="I9" s="80" t="n">
        <f aca="false">INDEX(in_fx_cbe,1,C9)*(1-INDEX(in_fx_spread,1,C9))</f>
        <v>54.6</v>
      </c>
      <c r="J9" s="81" t="n">
        <f aca="false">1</f>
        <v>1</v>
      </c>
      <c r="K9" s="82" t="n">
        <f aca="false">INDEX(in_sup_vat_mode,1,C9)</f>
        <v>1</v>
      </c>
      <c r="L9" s="83" t="n">
        <f aca="false">INDEX(in_cus_s301,1,C9)</f>
        <v>0</v>
      </c>
      <c r="M9" s="84" t="n">
        <f aca="false">1</f>
        <v>1</v>
      </c>
      <c r="N9" s="81" t="n">
        <f aca="false">1</f>
        <v>1</v>
      </c>
      <c r="O9" s="81" t="n">
        <f aca="false">1</f>
        <v>1</v>
      </c>
      <c r="P9" s="81" t="n">
        <f aca="false">1</f>
        <v>1</v>
      </c>
      <c r="Q9" s="81" t="n">
        <f aca="false">1</f>
        <v>1</v>
      </c>
      <c r="R9" s="83" t="n">
        <f aca="false">INDEX(in_sel_damage,1,C9)</f>
        <v>0.005</v>
      </c>
      <c r="S9" s="83" t="n">
        <f aca="false">INDEX(in_mkt_dist_margin,1,C9)</f>
        <v>0.2</v>
      </c>
      <c r="T9" s="83" t="n">
        <f aca="false">INDEX(in_mkt_eflute_disc,1,C9)</f>
        <v>0.15</v>
      </c>
      <c r="U9" s="82" t="n">
        <f aca="false">INDEX(in_sel_credit_days,1,C9)</f>
        <v>30</v>
      </c>
      <c r="V9" s="81" t="n">
        <f aca="false">1</f>
        <v>1</v>
      </c>
      <c r="W9" s="83" t="n">
        <f aca="false">INDEX(in_sel_commission,1,C9)</f>
        <v>0.03</v>
      </c>
      <c r="X9" s="82" t="n">
        <f aca="false">1</f>
        <v>1</v>
      </c>
      <c r="Y9" s="85" t="n">
        <f aca="false">INDEX(cfg_u_3464,D9,C9)*O9</f>
        <v>20000</v>
      </c>
      <c r="Z9" s="85" t="n">
        <f aca="false">INDEX(cfg_u_3463,D9,C9)*O9</f>
        <v>20000</v>
      </c>
      <c r="AA9" s="85" t="n">
        <f aca="false">INDEX(cfg_u_3460,D9,C9)*O9</f>
        <v>20000</v>
      </c>
      <c r="AB9" s="85" t="n">
        <f aca="false">Y9+Z9+AA9</f>
        <v>60000</v>
      </c>
      <c r="AC9" s="86" t="n">
        <f aca="false">Y9*INDEX(lg_vpu_3464,C9)</f>
        <v>13.3386</v>
      </c>
      <c r="AD9" s="86" t="n">
        <f aca="false">Z9*INDEX(lg_vpu_3463,C9)</f>
        <v>16.3176</v>
      </c>
      <c r="AE9" s="86" t="n">
        <f aca="false">AA9*INDEX(lg_vpu_3460,C9)</f>
        <v>10.6596</v>
      </c>
      <c r="AF9" s="86" t="n">
        <f aca="false">AC9+AD9+AE9</f>
        <v>40.3158</v>
      </c>
      <c r="AG9" s="85" t="n">
        <f aca="false">Y9*INDEX(lg_kpu_3464,C9)+Z9*INDEX(lg_kpu_3463,C9)+AA9*INDEX(lg_kpu_3460,C9)</f>
        <v>9855.3664</v>
      </c>
      <c r="AH9" s="87" t="n">
        <f aca="false">INDEX(in_sup_requote,1,C9)</f>
        <v>-0.05</v>
      </c>
      <c r="AI9" s="88" t="n">
        <f aca="false">Y9*q_price_3464*(1+AH9)*J9/I9</f>
        <v>2910.89743589744</v>
      </c>
      <c r="AJ9" s="88" t="n">
        <f aca="false">Z9*q_price_3463*(1+AH9)*J9/I9</f>
        <v>2749.08424908425</v>
      </c>
      <c r="AK9" s="88" t="n">
        <f aca="false">AA9*q_price_3460*(1+AH9)*J9/I9</f>
        <v>2401.0989010989</v>
      </c>
      <c r="AL9" s="88" t="n">
        <f aca="false">AI9+AJ9+AK9</f>
        <v>8061.08058608059</v>
      </c>
      <c r="AM9" s="88" t="n">
        <f aca="false">IF(OR(K9=2,K9=3),AL9*INDEX(in_sup_vat_rate,1,C9),0)</f>
        <v>0</v>
      </c>
      <c r="AN9" s="88" t="n">
        <f aca="false">IF(K9=3,AM9,0)</f>
        <v>0</v>
      </c>
      <c r="AO9" s="88" t="n">
        <f aca="false">INDEX(in_sup_tooling_egp,1,C9)/I9</f>
        <v>0</v>
      </c>
      <c r="AP9" s="88" t="n">
        <f aca="false">IF(F9=4,INDEX(in_ori_lcl_truck,1,C9)*V9/I9+INDEX(in_ori_lcl_cfs_o,1,C9),G9*(IF(F9=1,INDEX(in_ori_truck_20,1,C9),INDEX(in_ori_truck_40,1,C9))*V9/I9+INDEX(in_ori_terminal,1,C9)+IF(F9=1,INDEX(in_ori_othc_20,1,C9),INDEX(in_ori_othc_40,1,C9))*(1-INDEX(in_ori_othc_in_freight,1,C9))+INDEX(in_ori_seal,1,C9)+INDEX(in_ori_inspection,1,C9)+INDEX(in_ori_dd_days,1,C9)*IF(F9=1,INDEX(in_ori_dd_20,1,C9),INDEX(in_ori_dd_40,1,C9))+INDEX(in_ori_loading_egp,1,C9)/I9))</f>
        <v>457.465201465201</v>
      </c>
      <c r="AQ9" s="88" t="n">
        <f aca="false">(INDEX(in_ori_clearance,1,C9)+INDEX(in_ori_coo,1,C9))/I9+INDEX(in_ori_bl_fee,1,C9)+INDEX(in_ori_fwd_fee,1,C9)+INDEX(in_ori_qc,1,C9)+INDEX(in_ori_wires,1,C9)*INDEX(in_ori_wire_fee,1,C9)</f>
        <v>298.260073260073</v>
      </c>
      <c r="AR9" s="88" t="n">
        <f aca="false">AP9+AQ9</f>
        <v>755.725274725275</v>
      </c>
      <c r="AS9" s="85" t="n">
        <f aca="false">INDEX(tbl_port_diff,H9,C9)</f>
        <v>0</v>
      </c>
      <c r="AT9" s="88" t="n">
        <f aca="false">IF(F9=4,MAX(AF9*INDEX(in_oce_lcl_factor,1,C9),AG9/1000,1)*INDEX(in_oce_lcl_rate,1,C9)*M9,G9*(INDEX(tbl_ocean_rate,MIN(F9,3),C9)+AS9)*M9)</f>
        <v>2900</v>
      </c>
      <c r="AU9" s="88" t="n">
        <f aca="false">AT9+INDEX(in_oce_ams,1,C9)</f>
        <v>2930</v>
      </c>
      <c r="AV9" s="88" t="n">
        <f aca="false">AI9*(1+IF(K9=3,INDEX(in_sup_vat_rate,1,C9),0))+AO9*Y9/AB9</f>
        <v>2910.89743589744</v>
      </c>
      <c r="AW9" s="88" t="n">
        <f aca="false">AJ9*(1+IF(K9=3,INDEX(in_sup_vat_rate,1,C9),0))+AO9*Z9/AB9</f>
        <v>2749.08424908425</v>
      </c>
      <c r="AX9" s="88" t="n">
        <f aca="false">AK9*(1+IF(K9=3,INDEX(in_sup_vat_rate,1,C9),0))+AO9*AA9/AB9</f>
        <v>2401.0989010989</v>
      </c>
      <c r="AY9" s="88" t="n">
        <f aca="false">AV9+AW9+AX9</f>
        <v>8061.08058608059</v>
      </c>
      <c r="AZ9" s="88" t="n">
        <f aca="false">MAX(INDEX(in_oce_ins_min,1,C9),INDEX(in_oce_ins_rate,1,C9)*(1+INDEX(in_oce_ins_uplift,1,C9))*(AL9+AO9+AR9+AU9))*(1-INDEX(in_oce_ins_in_other,1,C9))</f>
        <v>50</v>
      </c>
      <c r="BA9" s="87" t="n">
        <f aca="false">INDEX(in_cus_mfn,1,C9)+L9</f>
        <v>0</v>
      </c>
      <c r="BB9" s="88" t="n">
        <f aca="false">AY9*BA9</f>
        <v>0</v>
      </c>
      <c r="BC9" s="88" t="n">
        <f aca="false">MIN(MAX(AY9*INDEX(in_cus_mpf_rate,1,C9),INDEX(in_cus_mpf_min,1,C9)),INDEX(in_cus_mpf_max,1,C9))</f>
        <v>34.58</v>
      </c>
      <c r="BD9" s="88" t="n">
        <f aca="false">AY9*INDEX(in_cus_hmf,1,C9)</f>
        <v>10.0763507326007</v>
      </c>
      <c r="BE9" s="88" t="n">
        <f aca="false">MAX(INDEX(in_cus_stb_min,1,C9),INDEX(in_cus_stb_rate,1,C9)/1000*(AY9+BB9+BC9+BD9))</f>
        <v>50</v>
      </c>
      <c r="BF9" s="88" t="n">
        <f aca="false">INDEX(in_cus_broker,1,C9)+INDEX(in_cus_isf,1,C9)+INDEX(in_cus_do_fee,1,C9)+BE9+INDEX(in_cus_isf_bond,1,C9)</f>
        <v>385</v>
      </c>
      <c r="BG9" s="88" t="n">
        <f aca="false">IF(H9=1,INDEX(in_cus_cfc,1,C9)*INDEX(ct_teu,F9)*G9*(1-INDEX(in_cus_cfc_in_freight,1,C9)),0)</f>
        <v>0</v>
      </c>
      <c r="BH9" s="88" t="n">
        <f aca="false">IF(F9=4,1,G9)*(INDEX(in_cus_exam,1,C9)+INDEX(in_cus_exam_dray,1,C9))</f>
        <v>0</v>
      </c>
      <c r="BI9" s="88" t="n">
        <f aca="false">IF(F9=4,1,G9)*INDEX(in_cus_dem_days,1,C9)*INDEX(in_cus_dem_rate,1,C9)</f>
        <v>0</v>
      </c>
      <c r="BJ9" s="88" t="n">
        <f aca="false">BG9+BH9+BI9</f>
        <v>0</v>
      </c>
      <c r="BK9" s="88" t="n">
        <f aca="false">IF(F9=4,(INDEX(in_dra_lcl_cfs_d,1,C9)+INDEX(in_dra_lcl_deliv,1,C9))*P9,G9*(INDEX(tbl_dest_line,E9,C9)*P9*(1+INDEX(in_dra_fsc,1,C9))+INDEX(tbl_dest_tolls,E9,C9)+INDEX(in_dra_chassis_days,1,C9)*INDEX(tbl_dest_chassis,E9,C9)*(1-INDEX(in_dra_chassis_in_dray,1,C9))+INDEX(in_dra_wait_hours,1,C9)*INDEX(in_dra_wait_rate,1,C9)+INDEX(in_dra_split,1,C9)+INDEX(in_dra_prepull,1,C9)+INDEX(in_dra_dryrun,1,C9)))</f>
        <v>1424</v>
      </c>
      <c r="BL9" s="88" t="n">
        <f aca="false">IF(F9=4,0,G9*IF(F9=1,INDEX(in_dra_unload_20,1,C9),INDEX(in_dra_unload_40,1,C9))*Q9*(1-INDEX(in_dra_unload_in_dray,1,C9)))</f>
        <v>250</v>
      </c>
      <c r="BM9" s="88" t="n">
        <f aca="false">AL9+AN9+AO9+AR9+AU9+AZ9+BB9+BC9+BD9+BF9+BJ9+BK9+BL9</f>
        <v>13900.4622115385</v>
      </c>
      <c r="BN9" s="88" t="n">
        <f aca="false">AP9+AU9+BJ9+BK9+BL9</f>
        <v>5061.4652014652</v>
      </c>
      <c r="BO9" s="88" t="n">
        <f aca="false">AQ9+BF9</f>
        <v>683.260073260073</v>
      </c>
      <c r="BP9" s="88" t="n">
        <f aca="false">AI9*(1+IF(K9=3,INDEX(in_sup_vat_rate,1,C9),0))+AO9*Y9/AB9+AV9*BA9+(BC9+BD9)*AV9/AY9+AZ9*AI9/AL9+BN9*AC9/AF9+BO9*Y9/AB9</f>
        <v>4847.43220839579</v>
      </c>
      <c r="BQ9" s="88" t="n">
        <f aca="false">AJ9*(1+IF(K9=3,INDEX(in_sup_vat_rate,1,C9),0))+AO9*Z9/AB9+AW9*BA9+(BC9+BD9)*AW9/AY9+AZ9*AJ9/AL9+BN9*AD9/AF9+BO9*Z9/AB9</f>
        <v>5057.71883979649</v>
      </c>
      <c r="BR9" s="88" t="n">
        <f aca="false">AK9*(1+IF(K9=3,INDEX(in_sup_vat_rate,1,C9),0))+AO9*AA9/AB9+AX9*BA9+(BC9+BD9)*AX9/AY9+AZ9*AK9/AL9+BN9*AE9/AF9+BO9*AA9/AB9</f>
        <v>3995.31116334619</v>
      </c>
      <c r="BS9" s="89" t="n">
        <f aca="false">BP9+BQ9+BR9-BM9</f>
        <v>0</v>
      </c>
      <c r="BT9" s="85" t="n">
        <f aca="false">Y9*(1-R9)</f>
        <v>19900</v>
      </c>
      <c r="BU9" s="85" t="n">
        <f aca="false">Z9*(1-R9)</f>
        <v>19900</v>
      </c>
      <c r="BV9" s="85" t="n">
        <f aca="false">AA9*(1-R9)</f>
        <v>19900</v>
      </c>
      <c r="BW9" s="85" t="n">
        <f aca="false">BT9+BU9+BV9</f>
        <v>59700</v>
      </c>
      <c r="BX9" s="90" t="n">
        <f aca="false">IF(BT9&gt;0,BP9/BT9,0)</f>
        <v>0.243589558210844</v>
      </c>
      <c r="BY9" s="90" t="n">
        <f aca="false">IF(BU9&gt;0,BQ9/BU9,0)</f>
        <v>0.254156725617914</v>
      </c>
      <c r="BZ9" s="90" t="n">
        <f aca="false">IF(BV9&gt;0,BR9/BV9,0)</f>
        <v>0.200769405193276</v>
      </c>
      <c r="CA9" s="90" t="n">
        <f aca="false">INDEX(in_mkt_listing_3464,1,C9)*(1-IF(sku_flute_3464="B",T9,0))*(1-S9)*N9</f>
        <v>0.2856</v>
      </c>
      <c r="CB9" s="90" t="n">
        <f aca="false">INDEX(in_mkt_listing_3463,1,C9)*(1-IF(sku_flute_3463="B",T9,0))*(1-S9)*N9</f>
        <v>0.3128</v>
      </c>
      <c r="CC9" s="90" t="n">
        <f aca="false">INDEX(in_mkt_listing_3460,1,C9)*(1-IF(sku_flute_3460="B",T9,0))*(1-S9)*N9</f>
        <v>0.256</v>
      </c>
      <c r="CD9" s="88" t="n">
        <f aca="false">BT9*CA9+BU9*CB9+BV9*CC9</f>
        <v>17002.56</v>
      </c>
      <c r="CE9" s="88" t="n">
        <f aca="false">CD9-BM9</f>
        <v>3102.09778846154</v>
      </c>
      <c r="CF9" s="87" t="n">
        <f aca="false">IF(CD9&gt;0,CE9/CD9,0)</f>
        <v>0.182448865844999</v>
      </c>
      <c r="CG9" s="87" t="n">
        <f aca="false">W9+INDEX(in_sel_processing,1,C9)+INDEX(in_sel_bad_debt,1,C9)</f>
        <v>0.0325</v>
      </c>
      <c r="CH9" s="88" t="n">
        <f aca="false">CD9*CG9</f>
        <v>552.5832</v>
      </c>
      <c r="CI9" s="88" t="n">
        <f aca="false">INDEX(in_sel_testing,1,C9)*X9+INDEX(in_sel_admin,1,C9)</f>
        <v>1250</v>
      </c>
      <c r="CJ9" s="79" t="n">
        <f aca="false">INDEX(in_sup_lead_days,1,C9)</f>
        <v>14</v>
      </c>
      <c r="CK9" s="79" t="n">
        <f aca="false">CJ9+INDEX(in_oce_transit,1,C9)+IF(F9=4,INDEX(in_oce_lcl_extra_days,1,C9),0)</f>
        <v>39</v>
      </c>
      <c r="CL9" s="79" t="n">
        <f aca="false">CK9+2+INDEX(in_cus_dem_days,1,C9)</f>
        <v>41</v>
      </c>
      <c r="CM9" s="79" t="n">
        <f aca="false">CL9+U9</f>
        <v>71</v>
      </c>
      <c r="CN9" s="79" t="n">
        <f aca="false">CJ9+INDEX(in_sup_vat_lag,1,C9)</f>
        <v>44</v>
      </c>
      <c r="CO9" s="91" t="n">
        <f aca="false">INDEX(in_sup_advance,1,C9)</f>
        <v>0.5</v>
      </c>
      <c r="CP9" s="88" t="n">
        <f aca="false">CO9*(AL9+AM9)+AO9+INDEX(in_sel_testing,1,C9)*X9</f>
        <v>5030.54029304029</v>
      </c>
      <c r="CQ9" s="88" t="n">
        <f aca="false">(1-CO9)*(AL9+AM9)+AR9+AU9+AZ9</f>
        <v>7766.26556776557</v>
      </c>
      <c r="CR9" s="88" t="n">
        <f aca="false">BB9+BC9+BD9+BF9+BJ9</f>
        <v>429.656350732601</v>
      </c>
      <c r="CS9" s="88" t="n">
        <f aca="false">BK9+BL9</f>
        <v>1674</v>
      </c>
      <c r="CT9" s="88" t="n">
        <f aca="false">IF(K9=2,AM9,0)</f>
        <v>0</v>
      </c>
      <c r="CU9" s="85" t="n">
        <f aca="false">IF(K9=2,CO9*AM9*(CN9-0)+(1-CO9)*AM9*(CN9-CJ9),0)</f>
        <v>0</v>
      </c>
      <c r="CV9" s="85" t="n">
        <f aca="false">(CP9-CO9*CT9)*(CM9-0)+(CQ9-(1-CO9)*CT9)*(CM9-CJ9)+CR9*(CM9-CK9)+CS9*(CM9-CL9)</f>
        <v>863814.501391941</v>
      </c>
      <c r="CW9" s="88" t="n">
        <f aca="false">INDEX(in_sel_fin_rate,1,C9)/365*(CU9+CV9)</f>
        <v>189.329205784535</v>
      </c>
      <c r="CX9" s="85" t="n">
        <f aca="false">CP9-IF(CN9&lt;=0,CT9,0)</f>
        <v>5030.54029304029</v>
      </c>
      <c r="CY9" s="85" t="n">
        <f aca="false">CP9+CQ9-IF(CN9&lt;=CJ9,CT9,0)</f>
        <v>12796.8058608059</v>
      </c>
      <c r="CZ9" s="85" t="n">
        <f aca="false">CP9+CQ9+CR9-IF(CN9&lt;=CK9,CT9,0)</f>
        <v>13226.4622115385</v>
      </c>
      <c r="DA9" s="85" t="n">
        <f aca="false">CP9+CQ9+CR9+CS9-IF(CN9&lt;=CL9,CT9,0)</f>
        <v>14900.4622115385</v>
      </c>
      <c r="DB9" s="88" t="n">
        <f aca="false">MAX(CX9,CY9,CZ9,DA9)</f>
        <v>14900.4622115385</v>
      </c>
      <c r="DC9" s="88" t="n">
        <f aca="false">CP9+CQ9+CR9+CS9</f>
        <v>14900.4622115385</v>
      </c>
      <c r="DD9" s="88" t="n">
        <f aca="false">CE9-CH9-CI9-CW9</f>
        <v>1110.185382677</v>
      </c>
      <c r="DE9" s="87" t="n">
        <f aca="false">IF(CD9&gt;0,DD9/CD9,0)</f>
        <v>0.0652951898230033</v>
      </c>
      <c r="DF9" s="86" t="n">
        <f aca="false">IF(CD9&gt;0,(BM9+CI9+CW9)/(CD9*(1-CG9)),0)</f>
        <v>0.93251143170749</v>
      </c>
      <c r="DG9" s="90" t="n">
        <f aca="false">IF(BW9&gt;0,BM9/BW9,0)</f>
        <v>0.232838563007344</v>
      </c>
      <c r="DH9" s="90" t="n">
        <f aca="false">IF(BW9&gt;0,CD9/BW9,0)</f>
        <v>0.2848</v>
      </c>
      <c r="DI9" s="90" t="n">
        <f aca="false">IF(AI9&gt;0,(AI9*IF(K9=3,INDEX(in_sup_vat_rate,1,C9),0)+AV9*BA9+(BC9+BD9)*AV9/AY9+AZ9*AI9/AL9)/AI9,0)</f>
        <v>0.011742389834937</v>
      </c>
      <c r="DJ9" s="90" t="n">
        <f aca="false">IF(AJ9&gt;0,(AJ9*IF(K9=3,INDEX(in_sup_vat_rate,1,C9),0)+AW9*BA9+(BC9+BD9)*AW9/AY9+AZ9*AJ9/AL9)/AJ9,0)</f>
        <v>0.011742389834937</v>
      </c>
      <c r="DK9" s="90" t="n">
        <f aca="false">IF(AK9&gt;0,(AK9*IF(K9=3,INDEX(in_sup_vat_rate,1,C9),0)+AX9*BA9+(BC9+BD9)*AX9/AY9+AZ9*AK9/AL9)/AK9,0)</f>
        <v>0.011742389834937</v>
      </c>
      <c r="DL9" s="90" t="n">
        <f aca="false">IF(Y9&gt;0,(BP9-AI9*(1+DI9))/Y9,0)</f>
        <v>0.0951176940018263</v>
      </c>
      <c r="DM9" s="90" t="n">
        <f aca="false">IF(Z9&gt;0,(BQ9-AJ9*(1+DJ9))/Z9,0)</f>
        <v>0.11381768858852</v>
      </c>
      <c r="DN9" s="90" t="n">
        <f aca="false">IF(AA9&gt;0,(BR9-AK9*(1+DK9))/AA9,0)</f>
        <v>0.0783008811459171</v>
      </c>
      <c r="DO9" s="86" t="n">
        <f aca="false">IF(Y9&gt;0,(CA9*(1-thr_gm_go)*(1-R9)-DL9)/(1+DI9)*I9/((1+AH9)*J9),"")</f>
        <v>6.70382560062288</v>
      </c>
      <c r="DP9" s="86" t="n">
        <f aca="false">IF(Z9&gt;0,(CB9*(1-thr_gm_go)*(1-R9)-DM9)/(1+DJ9)*I9/((1+AH9)*J9),"")</f>
        <v>6.79460291648294</v>
      </c>
      <c r="DQ9" s="86" t="n">
        <f aca="false">IF(AA9&gt;0,(CC9*(1-thr_gm_go)*(1-R9)-DN9)/(1+DK9)*I9/((1+AH9)*J9),"")</f>
        <v>6.40433037134055</v>
      </c>
      <c r="DR9" s="92" t="n">
        <f aca="false">IF(AND(AY9*INDEX(in_cus_mpf_rate,1,C9)&gt;INDEX(in_cus_mpf_min,1,C9),AY9*INDEX(in_cus_mpf_rate,1,C9)&lt;INDEX(in_cus_mpf_max,1,C9)),INDEX(in_cus_mpf_rate,1,C9),0)</f>
        <v>0</v>
      </c>
      <c r="DS9" s="88" t="n">
        <f aca="false">IF(AZ9&gt;INDEX(in_oce_ins_min,1,C9),INDEX(in_oce_ins_rate,1,C9)*(1+INDEX(in_oce_ins_uplift,1,C9))*AL9,0)</f>
        <v>0</v>
      </c>
      <c r="DT9" s="88" t="n">
        <f aca="false">(AL9+AN9)*(1+BA9+INDEX(in_cus_hmf,1,C9)+DR9)+DS9</f>
        <v>8071.15693681319</v>
      </c>
      <c r="DU9" s="86" t="n">
        <f aca="false">IF(DT9&gt;0,(CD9*(1-thr_gm_go)-(BM9-DT9))/DT9,0)</f>
        <v>0.857697945842204</v>
      </c>
      <c r="DV9" s="86" t="n">
        <f aca="false">IF(DT9&gt;0,(CD9-(BM9-DT9))/DT9,0)</f>
        <v>1.38434363409694</v>
      </c>
      <c r="DW9" s="87" t="n">
        <f aca="false">(1+AH9)*J9*DU9-1</f>
        <v>-0.185186951449906</v>
      </c>
      <c r="DX9" s="87" t="n">
        <f aca="false">(1+AH9)*J9*DV9-1</f>
        <v>0.315126452392097</v>
      </c>
      <c r="DY9" s="85" t="n">
        <f aca="false">IF(G9&gt;0,(CD9*(1-thr_gm_go)-(BM9-AT9))/G9,"")</f>
        <v>1751.45778846154</v>
      </c>
      <c r="DZ9" s="90" t="n">
        <f aca="false">IF(AB9&gt;0,(AL9+AN9+BB9+BC9+BD9)/AB9,0)</f>
        <v>0.135095615613553</v>
      </c>
      <c r="EA9" s="88" t="n">
        <f aca="false">BM9-DZ9*AB9</f>
        <v>5794.72527472528</v>
      </c>
      <c r="EB9" s="90" t="n">
        <f aca="false">IF(AB9&gt;0,CD9/AB9,0)</f>
        <v>0.283376</v>
      </c>
      <c r="EC9" s="85" t="n">
        <f aca="false">IF(EB9*(1-thr_gm_go)-DZ9&gt;0,EA9/(EB9*(1-thr_gm_go)-DZ9),"n/a")</f>
        <v>74832.074361926</v>
      </c>
      <c r="ED9" s="85" t="n">
        <f aca="false">IF(EB9-DZ9&gt;0,EA9/(EB9-DZ9),"n/a")</f>
        <v>39079.5134413944</v>
      </c>
      <c r="EE9" s="93" t="b">
        <f aca="false">INDEX(cfg_fits,D9,C9)</f>
        <v>1</v>
      </c>
      <c r="EF9" s="87" t="n">
        <f aca="false">IF(F9=4,"",INDEX(cfg_lenutil,D9,C9))</f>
        <v>0.795641240569992</v>
      </c>
      <c r="EG9" s="31" t="str">
        <f aca="false">IF(O9&gt;1,"Check fit (units scaled up)","")</f>
        <v/>
      </c>
    </row>
    <row r="10" customFormat="false" ht="15" hidden="false" customHeight="false" outlineLevel="0" collapsed="false">
      <c r="A10" s="78" t="n">
        <v>1021</v>
      </c>
      <c r="B10" s="9" t="s">
        <v>3158</v>
      </c>
      <c r="C10" s="78" t="n">
        <v>1</v>
      </c>
      <c r="D10" s="78" t="n">
        <v>2</v>
      </c>
      <c r="E10" s="78" t="n">
        <v>1</v>
      </c>
      <c r="F10" s="79" t="n">
        <f aca="false">INDEX(cfg_ct,D10)</f>
        <v>2</v>
      </c>
      <c r="G10" s="79" t="n">
        <f aca="false">INDEX(cfg_n,D10)</f>
        <v>1</v>
      </c>
      <c r="H10" s="79" t="n">
        <f aca="false">INDEX(dest_port,E10)</f>
        <v>1</v>
      </c>
      <c r="I10" s="80" t="n">
        <f aca="false">INDEX(in_fx_cbe,1,C10)*(1-INDEX(in_fx_spread,1,C10))</f>
        <v>54.6</v>
      </c>
      <c r="J10" s="81" t="n">
        <f aca="false">1</f>
        <v>1</v>
      </c>
      <c r="K10" s="82" t="n">
        <f aca="false">INDEX(in_sup_vat_mode,1,C10)</f>
        <v>1</v>
      </c>
      <c r="L10" s="83" t="n">
        <f aca="false">INDEX(in_cus_s301,1,C10)</f>
        <v>0</v>
      </c>
      <c r="M10" s="84" t="n">
        <f aca="false">1</f>
        <v>1</v>
      </c>
      <c r="N10" s="81" t="n">
        <f aca="false">1</f>
        <v>1</v>
      </c>
      <c r="O10" s="81" t="n">
        <f aca="false">1</f>
        <v>1</v>
      </c>
      <c r="P10" s="81" t="n">
        <f aca="false">1</f>
        <v>1</v>
      </c>
      <c r="Q10" s="81" t="n">
        <f aca="false">1</f>
        <v>1</v>
      </c>
      <c r="R10" s="83" t="n">
        <f aca="false">INDEX(in_sel_damage,1,C10)</f>
        <v>0.005</v>
      </c>
      <c r="S10" s="83" t="n">
        <f aca="false">INDEX(in_mkt_dist_margin,1,C10)</f>
        <v>0.2</v>
      </c>
      <c r="T10" s="83" t="n">
        <f aca="false">INDEX(in_mkt_eflute_disc,1,C10)</f>
        <v>0.15</v>
      </c>
      <c r="U10" s="82" t="n">
        <f aca="false">INDEX(in_sel_credit_days,1,C10)</f>
        <v>30</v>
      </c>
      <c r="V10" s="81" t="n">
        <f aca="false">1</f>
        <v>1</v>
      </c>
      <c r="W10" s="83" t="n">
        <f aca="false">INDEX(in_sel_commission,1,C10)</f>
        <v>0.03</v>
      </c>
      <c r="X10" s="82" t="n">
        <f aca="false">1</f>
        <v>1</v>
      </c>
      <c r="Y10" s="85" t="n">
        <f aca="false">INDEX(cfg_u_3464,D10,C10)*O10</f>
        <v>20000</v>
      </c>
      <c r="Z10" s="85" t="n">
        <f aca="false">INDEX(cfg_u_3463,D10,C10)*O10</f>
        <v>20000</v>
      </c>
      <c r="AA10" s="85" t="n">
        <f aca="false">INDEX(cfg_u_3460,D10,C10)*O10</f>
        <v>20000</v>
      </c>
      <c r="AB10" s="85" t="n">
        <f aca="false">Y10+Z10+AA10</f>
        <v>60000</v>
      </c>
      <c r="AC10" s="86" t="n">
        <f aca="false">Y10*INDEX(lg_vpu_3464,C10)</f>
        <v>13.3386</v>
      </c>
      <c r="AD10" s="86" t="n">
        <f aca="false">Z10*INDEX(lg_vpu_3463,C10)</f>
        <v>16.3176</v>
      </c>
      <c r="AE10" s="86" t="n">
        <f aca="false">AA10*INDEX(lg_vpu_3460,C10)</f>
        <v>10.6596</v>
      </c>
      <c r="AF10" s="86" t="n">
        <f aca="false">AC10+AD10+AE10</f>
        <v>40.3158</v>
      </c>
      <c r="AG10" s="85" t="n">
        <f aca="false">Y10*INDEX(lg_kpu_3464,C10)+Z10*INDEX(lg_kpu_3463,C10)+AA10*INDEX(lg_kpu_3460,C10)</f>
        <v>9855.3664</v>
      </c>
      <c r="AH10" s="87" t="n">
        <f aca="false">INDEX(in_sup_requote,1,C10)</f>
        <v>-0.05</v>
      </c>
      <c r="AI10" s="88" t="n">
        <f aca="false">Y10*q_price_3464*(1+AH10)*J10/I10</f>
        <v>2910.89743589744</v>
      </c>
      <c r="AJ10" s="88" t="n">
        <f aca="false">Z10*q_price_3463*(1+AH10)*J10/I10</f>
        <v>2749.08424908425</v>
      </c>
      <c r="AK10" s="88" t="n">
        <f aca="false">AA10*q_price_3460*(1+AH10)*J10/I10</f>
        <v>2401.0989010989</v>
      </c>
      <c r="AL10" s="88" t="n">
        <f aca="false">AI10+AJ10+AK10</f>
        <v>8061.08058608059</v>
      </c>
      <c r="AM10" s="88" t="n">
        <f aca="false">IF(OR(K10=2,K10=3),AL10*INDEX(in_sup_vat_rate,1,C10),0)</f>
        <v>0</v>
      </c>
      <c r="AN10" s="88" t="n">
        <f aca="false">IF(K10=3,AM10,0)</f>
        <v>0</v>
      </c>
      <c r="AO10" s="88" t="n">
        <f aca="false">INDEX(in_sup_tooling_egp,1,C10)/I10</f>
        <v>0</v>
      </c>
      <c r="AP10" s="88" t="n">
        <f aca="false">IF(F10=4,INDEX(in_ori_lcl_truck,1,C10)*V10/I10+INDEX(in_ori_lcl_cfs_o,1,C10),G10*(IF(F10=1,INDEX(in_ori_truck_20,1,C10),INDEX(in_ori_truck_40,1,C10))*V10/I10+INDEX(in_ori_terminal,1,C10)+IF(F10=1,INDEX(in_ori_othc_20,1,C10),INDEX(in_ori_othc_40,1,C10))*(1-INDEX(in_ori_othc_in_freight,1,C10))+INDEX(in_ori_seal,1,C10)+INDEX(in_ori_inspection,1,C10)+INDEX(in_ori_dd_days,1,C10)*IF(F10=1,INDEX(in_ori_dd_20,1,C10),INDEX(in_ori_dd_40,1,C10))+INDEX(in_ori_loading_egp,1,C10)/I10))</f>
        <v>457.465201465201</v>
      </c>
      <c r="AQ10" s="88" t="n">
        <f aca="false">(INDEX(in_ori_clearance,1,C10)+INDEX(in_ori_coo,1,C10))/I10+INDEX(in_ori_bl_fee,1,C10)+INDEX(in_ori_fwd_fee,1,C10)+INDEX(in_ori_qc,1,C10)+INDEX(in_ori_wires,1,C10)*INDEX(in_ori_wire_fee,1,C10)</f>
        <v>298.260073260073</v>
      </c>
      <c r="AR10" s="88" t="n">
        <f aca="false">AP10+AQ10</f>
        <v>755.725274725275</v>
      </c>
      <c r="AS10" s="85" t="n">
        <f aca="false">INDEX(tbl_port_diff,H10,C10)</f>
        <v>0</v>
      </c>
      <c r="AT10" s="88" t="n">
        <f aca="false">IF(F10=4,MAX(AF10*INDEX(in_oce_lcl_factor,1,C10),AG10/1000,1)*INDEX(in_oce_lcl_rate,1,C10)*M10,G10*(INDEX(tbl_ocean_rate,MIN(F10,3),C10)+AS10)*M10)</f>
        <v>2800</v>
      </c>
      <c r="AU10" s="88" t="n">
        <f aca="false">AT10+INDEX(in_oce_ams,1,C10)</f>
        <v>2830</v>
      </c>
      <c r="AV10" s="88" t="n">
        <f aca="false">AI10*(1+IF(K10=3,INDEX(in_sup_vat_rate,1,C10),0))+AO10*Y10/AB10</f>
        <v>2910.89743589744</v>
      </c>
      <c r="AW10" s="88" t="n">
        <f aca="false">AJ10*(1+IF(K10=3,INDEX(in_sup_vat_rate,1,C10),0))+AO10*Z10/AB10</f>
        <v>2749.08424908425</v>
      </c>
      <c r="AX10" s="88" t="n">
        <f aca="false">AK10*(1+IF(K10=3,INDEX(in_sup_vat_rate,1,C10),0))+AO10*AA10/AB10</f>
        <v>2401.0989010989</v>
      </c>
      <c r="AY10" s="88" t="n">
        <f aca="false">AV10+AW10+AX10</f>
        <v>8061.08058608059</v>
      </c>
      <c r="AZ10" s="88" t="n">
        <f aca="false">MAX(INDEX(in_oce_ins_min,1,C10),INDEX(in_oce_ins_rate,1,C10)*(1+INDEX(in_oce_ins_uplift,1,C10))*(AL10+AO10+AR10+AU10))*(1-INDEX(in_oce_ins_in_other,1,C10))</f>
        <v>50</v>
      </c>
      <c r="BA10" s="87" t="n">
        <f aca="false">INDEX(in_cus_mfn,1,C10)+L10</f>
        <v>0</v>
      </c>
      <c r="BB10" s="88" t="n">
        <f aca="false">AY10*BA10</f>
        <v>0</v>
      </c>
      <c r="BC10" s="88" t="n">
        <f aca="false">MIN(MAX(AY10*INDEX(in_cus_mpf_rate,1,C10),INDEX(in_cus_mpf_min,1,C10)),INDEX(in_cus_mpf_max,1,C10))</f>
        <v>34.58</v>
      </c>
      <c r="BD10" s="88" t="n">
        <f aca="false">AY10*INDEX(in_cus_hmf,1,C10)</f>
        <v>10.0763507326007</v>
      </c>
      <c r="BE10" s="88" t="n">
        <f aca="false">MAX(INDEX(in_cus_stb_min,1,C10),INDEX(in_cus_stb_rate,1,C10)/1000*(AY10+BB10+BC10+BD10))</f>
        <v>50</v>
      </c>
      <c r="BF10" s="88" t="n">
        <f aca="false">INDEX(in_cus_broker,1,C10)+INDEX(in_cus_isf,1,C10)+INDEX(in_cus_do_fee,1,C10)+BE10+INDEX(in_cus_isf_bond,1,C10)</f>
        <v>385</v>
      </c>
      <c r="BG10" s="88" t="n">
        <f aca="false">IF(H10=1,INDEX(in_cus_cfc,1,C10)*INDEX(ct_teu,F10)*G10*(1-INDEX(in_cus_cfc_in_freight,1,C10)),0)</f>
        <v>29.6</v>
      </c>
      <c r="BH10" s="88" t="n">
        <f aca="false">IF(F10=4,1,G10)*(INDEX(in_cus_exam,1,C10)+INDEX(in_cus_exam_dray,1,C10))</f>
        <v>0</v>
      </c>
      <c r="BI10" s="88" t="n">
        <f aca="false">IF(F10=4,1,G10)*INDEX(in_cus_dem_days,1,C10)*INDEX(in_cus_dem_rate,1,C10)</f>
        <v>0</v>
      </c>
      <c r="BJ10" s="88" t="n">
        <f aca="false">BG10+BH10+BI10</f>
        <v>29.6</v>
      </c>
      <c r="BK10" s="88" t="n">
        <f aca="false">IF(F10=4,(INDEX(in_dra_lcl_cfs_d,1,C10)+INDEX(in_dra_lcl_deliv,1,C10))*P10,G10*(INDEX(tbl_dest_line,E10,C10)*P10*(1+INDEX(in_dra_fsc,1,C10))+INDEX(tbl_dest_tolls,E10,C10)+INDEX(in_dra_chassis_days,1,C10)*INDEX(tbl_dest_chassis,E10,C10)*(1-INDEX(in_dra_chassis_in_dray,1,C10))+INDEX(in_dra_wait_hours,1,C10)*INDEX(in_dra_wait_rate,1,C10)+INDEX(in_dra_split,1,C10)+INDEX(in_dra_prepull,1,C10)+INDEX(in_dra_dryrun,1,C10)))</f>
        <v>661</v>
      </c>
      <c r="BL10" s="88" t="n">
        <f aca="false">IF(F10=4,0,G10*IF(F10=1,INDEX(in_dra_unload_20,1,C10),INDEX(in_dra_unload_40,1,C10))*Q10*(1-INDEX(in_dra_unload_in_dray,1,C10)))</f>
        <v>250</v>
      </c>
      <c r="BM10" s="88" t="n">
        <f aca="false">AL10+AN10+AO10+AR10+AU10+AZ10+BB10+BC10+BD10+BF10+BJ10+BK10+BL10</f>
        <v>13067.0622115385</v>
      </c>
      <c r="BN10" s="88" t="n">
        <f aca="false">AP10+AU10+BJ10+BK10+BL10</f>
        <v>4228.0652014652</v>
      </c>
      <c r="BO10" s="88" t="n">
        <f aca="false">AQ10+BF10</f>
        <v>683.260073260073</v>
      </c>
      <c r="BP10" s="88" t="n">
        <f aca="false">AI10*(1+IF(K10=3,INDEX(in_sup_vat_rate,1,C10),0))+AO10*Y10/AB10+AV10*BA10+(BC10+BD10)*AV10/AY10+AZ10*AI10/AL10+BN10*AC10/AF10+BO10*Y10/AB10</f>
        <v>4571.69938801271</v>
      </c>
      <c r="BQ10" s="88" t="n">
        <f aca="false">AJ10*(1+IF(K10=3,INDEX(in_sup_vat_rate,1,C10),0))+AO10*Z10/AB10+AW10*BA10+(BC10+BD10)*AW10/AY10+AZ10*AJ10/AL10+BN10*AD10/AF10+BO10*Z10/AB10</f>
        <v>4720.40473862524</v>
      </c>
      <c r="BR10" s="88" t="n">
        <f aca="false">AK10*(1+IF(K10=3,INDEX(in_sup_vat_rate,1,C10),0))+AO10*AA10/AB10+AX10*BA10+(BC10+BD10)*AX10/AY10+AZ10*AK10/AL10+BN10*AE10/AF10+BO10*AA10/AB10</f>
        <v>3774.95808490051</v>
      </c>
      <c r="BS10" s="89" t="n">
        <f aca="false">BP10+BQ10+BR10-BM10</f>
        <v>0</v>
      </c>
      <c r="BT10" s="85" t="n">
        <f aca="false">Y10*(1-R10)</f>
        <v>19900</v>
      </c>
      <c r="BU10" s="85" t="n">
        <f aca="false">Z10*(1-R10)</f>
        <v>19900</v>
      </c>
      <c r="BV10" s="85" t="n">
        <f aca="false">AA10*(1-R10)</f>
        <v>19900</v>
      </c>
      <c r="BW10" s="85" t="n">
        <f aca="false">BT10+BU10+BV10</f>
        <v>59700</v>
      </c>
      <c r="BX10" s="90" t="n">
        <f aca="false">IF(BT10&gt;0,BP10/BT10,0)</f>
        <v>0.229733637588578</v>
      </c>
      <c r="BY10" s="90" t="n">
        <f aca="false">IF(BU10&gt;0,BQ10/BU10,0)</f>
        <v>0.237206268272625</v>
      </c>
      <c r="BZ10" s="90" t="n">
        <f aca="false">IF(BV10&gt;0,BR10/BV10,0)</f>
        <v>0.189696386175905</v>
      </c>
      <c r="CA10" s="90" t="n">
        <f aca="false">INDEX(in_mkt_listing_3464,1,C10)*(1-IF(sku_flute_3464="B",T10,0))*(1-S10)*N10</f>
        <v>0.2856</v>
      </c>
      <c r="CB10" s="90" t="n">
        <f aca="false">INDEX(in_mkt_listing_3463,1,C10)*(1-IF(sku_flute_3463="B",T10,0))*(1-S10)*N10</f>
        <v>0.3128</v>
      </c>
      <c r="CC10" s="90" t="n">
        <f aca="false">INDEX(in_mkt_listing_3460,1,C10)*(1-IF(sku_flute_3460="B",T10,0))*(1-S10)*N10</f>
        <v>0.256</v>
      </c>
      <c r="CD10" s="88" t="n">
        <f aca="false">BT10*CA10+BU10*CB10+BV10*CC10</f>
        <v>17002.56</v>
      </c>
      <c r="CE10" s="88" t="n">
        <f aca="false">CD10-BM10</f>
        <v>3935.49778846154</v>
      </c>
      <c r="CF10" s="87" t="n">
        <f aca="false">IF(CD10&gt;0,CE10/CD10,0)</f>
        <v>0.231465014001511</v>
      </c>
      <c r="CG10" s="87" t="n">
        <f aca="false">W10+INDEX(in_sel_processing,1,C10)+INDEX(in_sel_bad_debt,1,C10)</f>
        <v>0.0325</v>
      </c>
      <c r="CH10" s="88" t="n">
        <f aca="false">CD10*CG10</f>
        <v>552.5832</v>
      </c>
      <c r="CI10" s="88" t="n">
        <f aca="false">INDEX(in_sel_testing,1,C10)*X10+INDEX(in_sel_admin,1,C10)</f>
        <v>1250</v>
      </c>
      <c r="CJ10" s="79" t="n">
        <f aca="false">INDEX(in_sup_lead_days,1,C10)</f>
        <v>14</v>
      </c>
      <c r="CK10" s="79" t="n">
        <f aca="false">CJ10+INDEX(in_oce_transit,1,C10)+IF(F10=4,INDEX(in_oce_lcl_extra_days,1,C10),0)</f>
        <v>39</v>
      </c>
      <c r="CL10" s="79" t="n">
        <f aca="false">CK10+2+INDEX(in_cus_dem_days,1,C10)</f>
        <v>41</v>
      </c>
      <c r="CM10" s="79" t="n">
        <f aca="false">CL10+U10</f>
        <v>71</v>
      </c>
      <c r="CN10" s="79" t="n">
        <f aca="false">CJ10+INDEX(in_sup_vat_lag,1,C10)</f>
        <v>44</v>
      </c>
      <c r="CO10" s="91" t="n">
        <f aca="false">INDEX(in_sup_advance,1,C10)</f>
        <v>0.5</v>
      </c>
      <c r="CP10" s="88" t="n">
        <f aca="false">CO10*(AL10+AM10)+AO10+INDEX(in_sel_testing,1,C10)*X10</f>
        <v>5030.54029304029</v>
      </c>
      <c r="CQ10" s="88" t="n">
        <f aca="false">(1-CO10)*(AL10+AM10)+AR10+AU10+AZ10</f>
        <v>7666.26556776557</v>
      </c>
      <c r="CR10" s="88" t="n">
        <f aca="false">BB10+BC10+BD10+BF10+BJ10</f>
        <v>459.256350732601</v>
      </c>
      <c r="CS10" s="88" t="n">
        <f aca="false">BK10+BL10</f>
        <v>911</v>
      </c>
      <c r="CT10" s="88" t="n">
        <f aca="false">IF(K10=2,AM10,0)</f>
        <v>0</v>
      </c>
      <c r="CU10" s="85" t="n">
        <f aca="false">IF(K10=2,CO10*AM10*(CN10-0)+(1-CO10)*AM10*(CN10-CJ10),0)</f>
        <v>0</v>
      </c>
      <c r="CV10" s="85" t="n">
        <f aca="false">(CP10-CO10*CT10)*(CM10-0)+(CQ10-(1-CO10)*CT10)*(CM10-CJ10)+CR10*(CM10-CK10)+CS10*(CM10-CL10)</f>
        <v>836171.701391941</v>
      </c>
      <c r="CW10" s="88" t="n">
        <f aca="false">INDEX(in_sel_fin_rate,1,C10)/365*(CU10+CV10)</f>
        <v>183.270509894124</v>
      </c>
      <c r="CX10" s="85" t="n">
        <f aca="false">CP10-IF(CN10&lt;=0,CT10,0)</f>
        <v>5030.54029304029</v>
      </c>
      <c r="CY10" s="85" t="n">
        <f aca="false">CP10+CQ10-IF(CN10&lt;=CJ10,CT10,0)</f>
        <v>12696.8058608059</v>
      </c>
      <c r="CZ10" s="85" t="n">
        <f aca="false">CP10+CQ10+CR10-IF(CN10&lt;=CK10,CT10,0)</f>
        <v>13156.0622115385</v>
      </c>
      <c r="DA10" s="85" t="n">
        <f aca="false">CP10+CQ10+CR10+CS10-IF(CN10&lt;=CL10,CT10,0)</f>
        <v>14067.0622115385</v>
      </c>
      <c r="DB10" s="88" t="n">
        <f aca="false">MAX(CX10,CY10,CZ10,DA10)</f>
        <v>14067.0622115385</v>
      </c>
      <c r="DC10" s="88" t="n">
        <f aca="false">CP10+CQ10+CR10+CS10</f>
        <v>14067.0622115385</v>
      </c>
      <c r="DD10" s="88" t="n">
        <f aca="false">CE10-CH10-CI10-CW10</f>
        <v>1949.64407856741</v>
      </c>
      <c r="DE10" s="87" t="n">
        <f aca="false">IF(CD10&gt;0,DD10/CD10,0)</f>
        <v>0.114667678194779</v>
      </c>
      <c r="DF10" s="86" t="n">
        <f aca="false">IF(CD10&gt;0,(BM10+CI10+CW10)/(CD10*(1-CG10)),0)</f>
        <v>0.881480435974389</v>
      </c>
      <c r="DG10" s="90" t="n">
        <f aca="false">IF(BW10&gt;0,BM10/BW10,0)</f>
        <v>0.21887876401237</v>
      </c>
      <c r="DH10" s="90" t="n">
        <f aca="false">IF(BW10&gt;0,CD10/BW10,0)</f>
        <v>0.2848</v>
      </c>
      <c r="DI10" s="90" t="n">
        <f aca="false">IF(AI10&gt;0,(AI10*IF(K10=3,INDEX(in_sup_vat_rate,1,C10),0)+AV10*BA10+(BC10+BD10)*AV10/AY10+AZ10*AI10/AL10)/AI10,0)</f>
        <v>0.011742389834937</v>
      </c>
      <c r="DJ10" s="90" t="n">
        <f aca="false">IF(AJ10&gt;0,(AJ10*IF(K10=3,INDEX(in_sup_vat_rate,1,C10),0)+AW10*BA10+(BC10+BD10)*AW10/AY10+AZ10*AJ10/AL10)/AJ10,0)</f>
        <v>0.011742389834937</v>
      </c>
      <c r="DK10" s="90" t="n">
        <f aca="false">IF(AK10&gt;0,(AK10*IF(K10=3,INDEX(in_sup_vat_rate,1,C10),0)+AX10*BA10+(BC10+BD10)*AX10/AY10+AZ10*AK10/AL10)/AK10,0)</f>
        <v>0.011742389834937</v>
      </c>
      <c r="DL10" s="90" t="n">
        <f aca="false">IF(Y10&gt;0,(BP10-AI10*(1+DI10))/Y10,0)</f>
        <v>0.0813310529826725</v>
      </c>
      <c r="DM10" s="90" t="n">
        <f aca="false">IF(Z10&gt;0,(BQ10-AJ10*(1+DJ10))/Z10,0)</f>
        <v>0.0969519835299577</v>
      </c>
      <c r="DN10" s="90" t="n">
        <f aca="false">IF(AA10&gt;0,(BR10-AK10*(1+DK10))/AA10,0)</f>
        <v>0.0672832272236335</v>
      </c>
      <c r="DO10" s="86" t="n">
        <f aca="false">IF(Y10&gt;0,(CA10*(1-thr_gm_go)*(1-R10)-DL10)/(1+DI10)*I10/((1+AH10)*J10),"")</f>
        <v>7.48699833334589</v>
      </c>
      <c r="DP10" s="86" t="n">
        <f aca="false">IF(Z10&gt;0,(CB10*(1-thr_gm_go)*(1-R10)-DM10)/(1+DJ10)*I10/((1+AH10)*J10),"")</f>
        <v>7.75268692705983</v>
      </c>
      <c r="DQ10" s="86" t="n">
        <f aca="false">IF(AA10&gt;0,(CC10*(1-thr_gm_go)*(1-R10)-DN10)/(1+DK10)*I10/((1+AH10)*J10),"")</f>
        <v>7.03020625499657</v>
      </c>
      <c r="DR10" s="92" t="n">
        <f aca="false">IF(AND(AY10*INDEX(in_cus_mpf_rate,1,C10)&gt;INDEX(in_cus_mpf_min,1,C10),AY10*INDEX(in_cus_mpf_rate,1,C10)&lt;INDEX(in_cus_mpf_max,1,C10)),INDEX(in_cus_mpf_rate,1,C10),0)</f>
        <v>0</v>
      </c>
      <c r="DS10" s="88" t="n">
        <f aca="false">IF(AZ10&gt;INDEX(in_oce_ins_min,1,C10),INDEX(in_oce_ins_rate,1,C10)*(1+INDEX(in_oce_ins_uplift,1,C10))*AL10,0)</f>
        <v>0</v>
      </c>
      <c r="DT10" s="88" t="n">
        <f aca="false">(AL10+AN10)*(1+BA10+INDEX(in_cus_hmf,1,C10)+DR10)+DS10</f>
        <v>8071.15693681319</v>
      </c>
      <c r="DU10" s="86" t="n">
        <f aca="false">IF(DT10&gt;0,(CD10*(1-thr_gm_go)-(BM10-DT10))/DT10,0)</f>
        <v>0.960954518168136</v>
      </c>
      <c r="DV10" s="86" t="n">
        <f aca="false">IF(DT10&gt;0,(CD10-(BM10-DT10))/DT10,0)</f>
        <v>1.48760020642288</v>
      </c>
      <c r="DW10" s="87" t="n">
        <f aca="false">(1+AH10)*J10*DU10-1</f>
        <v>-0.0870932077402707</v>
      </c>
      <c r="DX10" s="87" t="n">
        <f aca="false">(1+AH10)*J10*DV10-1</f>
        <v>0.413220196101732</v>
      </c>
      <c r="DY10" s="85" t="n">
        <f aca="false">IF(G10&gt;0,(CD10*(1-thr_gm_go)-(BM10-AT10))/G10,"")</f>
        <v>2484.85778846154</v>
      </c>
      <c r="DZ10" s="90" t="n">
        <f aca="false">IF(AB10&gt;0,(AL10+AN10+BB10+BC10+BD10)/AB10,0)</f>
        <v>0.135095615613553</v>
      </c>
      <c r="EA10" s="88" t="n">
        <f aca="false">BM10-DZ10*AB10</f>
        <v>4961.32527472528</v>
      </c>
      <c r="EB10" s="90" t="n">
        <f aca="false">IF(AB10&gt;0,CD10/AB10,0)</f>
        <v>0.283376</v>
      </c>
      <c r="EC10" s="85" t="n">
        <f aca="false">IF(EB10*(1-thr_gm_go)-DZ10&gt;0,EA10/(EB10*(1-thr_gm_go)-DZ10),"n/a")</f>
        <v>64069.6917093358</v>
      </c>
      <c r="ED10" s="85" t="n">
        <f aca="false">IF(EB10-DZ10&gt;0,EA10/(EB10-DZ10),"n/a")</f>
        <v>33459.0802097944</v>
      </c>
      <c r="EE10" s="93" t="b">
        <f aca="false">INDEX(cfg_fits,D10,C10)</f>
        <v>1</v>
      </c>
      <c r="EF10" s="87" t="n">
        <f aca="false">IF(F10=4,"",INDEX(cfg_lenutil,D10,C10))</f>
        <v>0.795641240569992</v>
      </c>
      <c r="EG10" s="31" t="str">
        <f aca="false">IF(O10&gt;1,"Check fit (units scaled up)","")</f>
        <v/>
      </c>
    </row>
    <row r="11" customFormat="false" ht="15" hidden="false" customHeight="false" outlineLevel="0" collapsed="false">
      <c r="A11" s="78" t="n">
        <v>1022</v>
      </c>
      <c r="B11" s="9" t="s">
        <v>3159</v>
      </c>
      <c r="C11" s="78" t="n">
        <v>1</v>
      </c>
      <c r="D11" s="78" t="n">
        <v>2</v>
      </c>
      <c r="E11" s="78" t="n">
        <v>2</v>
      </c>
      <c r="F11" s="79" t="n">
        <f aca="false">INDEX(cfg_ct,D11)</f>
        <v>2</v>
      </c>
      <c r="G11" s="79" t="n">
        <f aca="false">INDEX(cfg_n,D11)</f>
        <v>1</v>
      </c>
      <c r="H11" s="79" t="n">
        <f aca="false">INDEX(dest_port,E11)</f>
        <v>1</v>
      </c>
      <c r="I11" s="80" t="n">
        <f aca="false">INDEX(in_fx_cbe,1,C11)*(1-INDEX(in_fx_spread,1,C11))</f>
        <v>54.6</v>
      </c>
      <c r="J11" s="81" t="n">
        <f aca="false">1</f>
        <v>1</v>
      </c>
      <c r="K11" s="82" t="n">
        <f aca="false">INDEX(in_sup_vat_mode,1,C11)</f>
        <v>1</v>
      </c>
      <c r="L11" s="83" t="n">
        <f aca="false">INDEX(in_cus_s301,1,C11)</f>
        <v>0</v>
      </c>
      <c r="M11" s="84" t="n">
        <f aca="false">1</f>
        <v>1</v>
      </c>
      <c r="N11" s="81" t="n">
        <f aca="false">1</f>
        <v>1</v>
      </c>
      <c r="O11" s="81" t="n">
        <f aca="false">1</f>
        <v>1</v>
      </c>
      <c r="P11" s="81" t="n">
        <f aca="false">1</f>
        <v>1</v>
      </c>
      <c r="Q11" s="81" t="n">
        <f aca="false">1</f>
        <v>1</v>
      </c>
      <c r="R11" s="83" t="n">
        <f aca="false">INDEX(in_sel_damage,1,C11)</f>
        <v>0.005</v>
      </c>
      <c r="S11" s="83" t="n">
        <f aca="false">INDEX(in_mkt_dist_margin,1,C11)</f>
        <v>0.2</v>
      </c>
      <c r="T11" s="83" t="n">
        <f aca="false">INDEX(in_mkt_eflute_disc,1,C11)</f>
        <v>0.15</v>
      </c>
      <c r="U11" s="82" t="n">
        <f aca="false">INDEX(in_sel_credit_days,1,C11)</f>
        <v>30</v>
      </c>
      <c r="V11" s="81" t="n">
        <f aca="false">1</f>
        <v>1</v>
      </c>
      <c r="W11" s="83" t="n">
        <f aca="false">INDEX(in_sel_commission,1,C11)</f>
        <v>0.03</v>
      </c>
      <c r="X11" s="82" t="n">
        <f aca="false">1</f>
        <v>1</v>
      </c>
      <c r="Y11" s="85" t="n">
        <f aca="false">INDEX(cfg_u_3464,D11,C11)*O11</f>
        <v>20000</v>
      </c>
      <c r="Z11" s="85" t="n">
        <f aca="false">INDEX(cfg_u_3463,D11,C11)*O11</f>
        <v>20000</v>
      </c>
      <c r="AA11" s="85" t="n">
        <f aca="false">INDEX(cfg_u_3460,D11,C11)*O11</f>
        <v>20000</v>
      </c>
      <c r="AB11" s="85" t="n">
        <f aca="false">Y11+Z11+AA11</f>
        <v>60000</v>
      </c>
      <c r="AC11" s="86" t="n">
        <f aca="false">Y11*INDEX(lg_vpu_3464,C11)</f>
        <v>13.3386</v>
      </c>
      <c r="AD11" s="86" t="n">
        <f aca="false">Z11*INDEX(lg_vpu_3463,C11)</f>
        <v>16.3176</v>
      </c>
      <c r="AE11" s="86" t="n">
        <f aca="false">AA11*INDEX(lg_vpu_3460,C11)</f>
        <v>10.6596</v>
      </c>
      <c r="AF11" s="86" t="n">
        <f aca="false">AC11+AD11+AE11</f>
        <v>40.3158</v>
      </c>
      <c r="AG11" s="85" t="n">
        <f aca="false">Y11*INDEX(lg_kpu_3464,C11)+Z11*INDEX(lg_kpu_3463,C11)+AA11*INDEX(lg_kpu_3460,C11)</f>
        <v>9855.3664</v>
      </c>
      <c r="AH11" s="87" t="n">
        <f aca="false">INDEX(in_sup_requote,1,C11)</f>
        <v>-0.05</v>
      </c>
      <c r="AI11" s="88" t="n">
        <f aca="false">Y11*q_price_3464*(1+AH11)*J11/I11</f>
        <v>2910.89743589744</v>
      </c>
      <c r="AJ11" s="88" t="n">
        <f aca="false">Z11*q_price_3463*(1+AH11)*J11/I11</f>
        <v>2749.08424908425</v>
      </c>
      <c r="AK11" s="88" t="n">
        <f aca="false">AA11*q_price_3460*(1+AH11)*J11/I11</f>
        <v>2401.0989010989</v>
      </c>
      <c r="AL11" s="88" t="n">
        <f aca="false">AI11+AJ11+AK11</f>
        <v>8061.08058608059</v>
      </c>
      <c r="AM11" s="88" t="n">
        <f aca="false">IF(OR(K11=2,K11=3),AL11*INDEX(in_sup_vat_rate,1,C11),0)</f>
        <v>0</v>
      </c>
      <c r="AN11" s="88" t="n">
        <f aca="false">IF(K11=3,AM11,0)</f>
        <v>0</v>
      </c>
      <c r="AO11" s="88" t="n">
        <f aca="false">INDEX(in_sup_tooling_egp,1,C11)/I11</f>
        <v>0</v>
      </c>
      <c r="AP11" s="88" t="n">
        <f aca="false">IF(F11=4,INDEX(in_ori_lcl_truck,1,C11)*V11/I11+INDEX(in_ori_lcl_cfs_o,1,C11),G11*(IF(F11=1,INDEX(in_ori_truck_20,1,C11),INDEX(in_ori_truck_40,1,C11))*V11/I11+INDEX(in_ori_terminal,1,C11)+IF(F11=1,INDEX(in_ori_othc_20,1,C11),INDEX(in_ori_othc_40,1,C11))*(1-INDEX(in_ori_othc_in_freight,1,C11))+INDEX(in_ori_seal,1,C11)+INDEX(in_ori_inspection,1,C11)+INDEX(in_ori_dd_days,1,C11)*IF(F11=1,INDEX(in_ori_dd_20,1,C11),INDEX(in_ori_dd_40,1,C11))+INDEX(in_ori_loading_egp,1,C11)/I11))</f>
        <v>457.465201465201</v>
      </c>
      <c r="AQ11" s="88" t="n">
        <f aca="false">(INDEX(in_ori_clearance,1,C11)+INDEX(in_ori_coo,1,C11))/I11+INDEX(in_ori_bl_fee,1,C11)+INDEX(in_ori_fwd_fee,1,C11)+INDEX(in_ori_qc,1,C11)+INDEX(in_ori_wires,1,C11)*INDEX(in_ori_wire_fee,1,C11)</f>
        <v>298.260073260073</v>
      </c>
      <c r="AR11" s="88" t="n">
        <f aca="false">AP11+AQ11</f>
        <v>755.725274725275</v>
      </c>
      <c r="AS11" s="85" t="n">
        <f aca="false">INDEX(tbl_port_diff,H11,C11)</f>
        <v>0</v>
      </c>
      <c r="AT11" s="88" t="n">
        <f aca="false">IF(F11=4,MAX(AF11*INDEX(in_oce_lcl_factor,1,C11),AG11/1000,1)*INDEX(in_oce_lcl_rate,1,C11)*M11,G11*(INDEX(tbl_ocean_rate,MIN(F11,3),C11)+AS11)*M11)</f>
        <v>2800</v>
      </c>
      <c r="AU11" s="88" t="n">
        <f aca="false">AT11+INDEX(in_oce_ams,1,C11)</f>
        <v>2830</v>
      </c>
      <c r="AV11" s="88" t="n">
        <f aca="false">AI11*(1+IF(K11=3,INDEX(in_sup_vat_rate,1,C11),0))+AO11*Y11/AB11</f>
        <v>2910.89743589744</v>
      </c>
      <c r="AW11" s="88" t="n">
        <f aca="false">AJ11*(1+IF(K11=3,INDEX(in_sup_vat_rate,1,C11),0))+AO11*Z11/AB11</f>
        <v>2749.08424908425</v>
      </c>
      <c r="AX11" s="88" t="n">
        <f aca="false">AK11*(1+IF(K11=3,INDEX(in_sup_vat_rate,1,C11),0))+AO11*AA11/AB11</f>
        <v>2401.0989010989</v>
      </c>
      <c r="AY11" s="88" t="n">
        <f aca="false">AV11+AW11+AX11</f>
        <v>8061.08058608059</v>
      </c>
      <c r="AZ11" s="88" t="n">
        <f aca="false">MAX(INDEX(in_oce_ins_min,1,C11),INDEX(in_oce_ins_rate,1,C11)*(1+INDEX(in_oce_ins_uplift,1,C11))*(AL11+AO11+AR11+AU11))*(1-INDEX(in_oce_ins_in_other,1,C11))</f>
        <v>50</v>
      </c>
      <c r="BA11" s="87" t="n">
        <f aca="false">INDEX(in_cus_mfn,1,C11)+L11</f>
        <v>0</v>
      </c>
      <c r="BB11" s="88" t="n">
        <f aca="false">AY11*BA11</f>
        <v>0</v>
      </c>
      <c r="BC11" s="88" t="n">
        <f aca="false">MIN(MAX(AY11*INDEX(in_cus_mpf_rate,1,C11),INDEX(in_cus_mpf_min,1,C11)),INDEX(in_cus_mpf_max,1,C11))</f>
        <v>34.58</v>
      </c>
      <c r="BD11" s="88" t="n">
        <f aca="false">AY11*INDEX(in_cus_hmf,1,C11)</f>
        <v>10.0763507326007</v>
      </c>
      <c r="BE11" s="88" t="n">
        <f aca="false">MAX(INDEX(in_cus_stb_min,1,C11),INDEX(in_cus_stb_rate,1,C11)/1000*(AY11+BB11+BC11+BD11))</f>
        <v>50</v>
      </c>
      <c r="BF11" s="88" t="n">
        <f aca="false">INDEX(in_cus_broker,1,C11)+INDEX(in_cus_isf,1,C11)+INDEX(in_cus_do_fee,1,C11)+BE11+INDEX(in_cus_isf_bond,1,C11)</f>
        <v>385</v>
      </c>
      <c r="BG11" s="88" t="n">
        <f aca="false">IF(H11=1,INDEX(in_cus_cfc,1,C11)*INDEX(ct_teu,F11)*G11*(1-INDEX(in_cus_cfc_in_freight,1,C11)),0)</f>
        <v>29.6</v>
      </c>
      <c r="BH11" s="88" t="n">
        <f aca="false">IF(F11=4,1,G11)*(INDEX(in_cus_exam,1,C11)+INDEX(in_cus_exam_dray,1,C11))</f>
        <v>0</v>
      </c>
      <c r="BI11" s="88" t="n">
        <f aca="false">IF(F11=4,1,G11)*INDEX(in_cus_dem_days,1,C11)*INDEX(in_cus_dem_rate,1,C11)</f>
        <v>0</v>
      </c>
      <c r="BJ11" s="88" t="n">
        <f aca="false">BG11+BH11+BI11</f>
        <v>29.6</v>
      </c>
      <c r="BK11" s="88" t="n">
        <f aca="false">IF(F11=4,(INDEX(in_dra_lcl_cfs_d,1,C11)+INDEX(in_dra_lcl_deliv,1,C11))*P11,G11*(INDEX(tbl_dest_line,E11,C11)*P11*(1+INDEX(in_dra_fsc,1,C11))+INDEX(tbl_dest_tolls,E11,C11)+INDEX(in_dra_chassis_days,1,C11)*INDEX(tbl_dest_chassis,E11,C11)*(1-INDEX(in_dra_chassis_in_dray,1,C11))+INDEX(in_dra_wait_hours,1,C11)*INDEX(in_dra_wait_rate,1,C11)+INDEX(in_dra_split,1,C11)+INDEX(in_dra_prepull,1,C11)+INDEX(in_dra_dryrun,1,C11)))</f>
        <v>866</v>
      </c>
      <c r="BL11" s="88" t="n">
        <f aca="false">IF(F11=4,0,G11*IF(F11=1,INDEX(in_dra_unload_20,1,C11),INDEX(in_dra_unload_40,1,C11))*Q11*(1-INDEX(in_dra_unload_in_dray,1,C11)))</f>
        <v>250</v>
      </c>
      <c r="BM11" s="88" t="n">
        <f aca="false">AL11+AN11+AO11+AR11+AU11+AZ11+BB11+BC11+BD11+BF11+BJ11+BK11+BL11</f>
        <v>13272.0622115385</v>
      </c>
      <c r="BN11" s="88" t="n">
        <f aca="false">AP11+AU11+BJ11+BK11+BL11</f>
        <v>4433.0652014652</v>
      </c>
      <c r="BO11" s="88" t="n">
        <f aca="false">AQ11+BF11</f>
        <v>683.260073260073</v>
      </c>
      <c r="BP11" s="88" t="n">
        <f aca="false">AI11*(1+IF(K11=3,INDEX(in_sup_vat_rate,1,C11),0))+AO11*Y11/AB11+AV11*BA11+(BC11+BD11)*AV11/AY11+AZ11*AI11/AL11+BN11*AC11/AF11+BO11*Y11/AB11</f>
        <v>4639.52423583912</v>
      </c>
      <c r="BQ11" s="88" t="n">
        <f aca="false">AJ11*(1+IF(K11=3,INDEX(in_sup_vat_rate,1,C11),0))+AO11*Z11/AB11+AW11*BA11+(BC11+BD11)*AW11/AY11+AZ11*AJ11/AL11+BN11*AD11/AF11+BO11*Z11/AB11</f>
        <v>4803.37736970288</v>
      </c>
      <c r="BR11" s="88" t="n">
        <f aca="false">AK11*(1+IF(K11=3,INDEX(in_sup_vat_rate,1,C11),0))+AO11*AA11/AB11+AX11*BA11+(BC11+BD11)*AX11/AY11+AZ11*AK11/AL11+BN11*AE11/AF11+BO11*AA11/AB11</f>
        <v>3829.16060599646</v>
      </c>
      <c r="BS11" s="89" t="n">
        <f aca="false">BP11+BQ11+BR11-BM11</f>
        <v>0</v>
      </c>
      <c r="BT11" s="85" t="n">
        <f aca="false">Y11*(1-R11)</f>
        <v>19900</v>
      </c>
      <c r="BU11" s="85" t="n">
        <f aca="false">Z11*(1-R11)</f>
        <v>19900</v>
      </c>
      <c r="BV11" s="85" t="n">
        <f aca="false">AA11*(1-R11)</f>
        <v>19900</v>
      </c>
      <c r="BW11" s="85" t="n">
        <f aca="false">BT11+BU11+BV11</f>
        <v>59700</v>
      </c>
      <c r="BX11" s="90" t="n">
        <f aca="false">IF(BT11&gt;0,BP11/BT11,0)</f>
        <v>0.233141921398951</v>
      </c>
      <c r="BY11" s="90" t="n">
        <f aca="false">IF(BU11&gt;0,BQ11/BU11,0)</f>
        <v>0.24137574722125</v>
      </c>
      <c r="BZ11" s="90" t="n">
        <f aca="false">IF(BV11&gt;0,BR11/BV11,0)</f>
        <v>0.192420130954596</v>
      </c>
      <c r="CA11" s="90" t="n">
        <f aca="false">INDEX(in_mkt_listing_3464,1,C11)*(1-IF(sku_flute_3464="B",T11,0))*(1-S11)*N11</f>
        <v>0.2856</v>
      </c>
      <c r="CB11" s="90" t="n">
        <f aca="false">INDEX(in_mkt_listing_3463,1,C11)*(1-IF(sku_flute_3463="B",T11,0))*(1-S11)*N11</f>
        <v>0.3128</v>
      </c>
      <c r="CC11" s="90" t="n">
        <f aca="false">INDEX(in_mkt_listing_3460,1,C11)*(1-IF(sku_flute_3460="B",T11,0))*(1-S11)*N11</f>
        <v>0.256</v>
      </c>
      <c r="CD11" s="88" t="n">
        <f aca="false">BT11*CA11+BU11*CB11+BV11*CC11</f>
        <v>17002.56</v>
      </c>
      <c r="CE11" s="88" t="n">
        <f aca="false">CD11-BM11</f>
        <v>3730.49778846154</v>
      </c>
      <c r="CF11" s="87" t="n">
        <f aca="false">IF(CD11&gt;0,CE11/CD11,0)</f>
        <v>0.21940800611564</v>
      </c>
      <c r="CG11" s="87" t="n">
        <f aca="false">W11+INDEX(in_sel_processing,1,C11)+INDEX(in_sel_bad_debt,1,C11)</f>
        <v>0.0325</v>
      </c>
      <c r="CH11" s="88" t="n">
        <f aca="false">CD11*CG11</f>
        <v>552.5832</v>
      </c>
      <c r="CI11" s="88" t="n">
        <f aca="false">INDEX(in_sel_testing,1,C11)*X11+INDEX(in_sel_admin,1,C11)</f>
        <v>1250</v>
      </c>
      <c r="CJ11" s="79" t="n">
        <f aca="false">INDEX(in_sup_lead_days,1,C11)</f>
        <v>14</v>
      </c>
      <c r="CK11" s="79" t="n">
        <f aca="false">CJ11+INDEX(in_oce_transit,1,C11)+IF(F11=4,INDEX(in_oce_lcl_extra_days,1,C11),0)</f>
        <v>39</v>
      </c>
      <c r="CL11" s="79" t="n">
        <f aca="false">CK11+2+INDEX(in_cus_dem_days,1,C11)</f>
        <v>41</v>
      </c>
      <c r="CM11" s="79" t="n">
        <f aca="false">CL11+U11</f>
        <v>71</v>
      </c>
      <c r="CN11" s="79" t="n">
        <f aca="false">CJ11+INDEX(in_sup_vat_lag,1,C11)</f>
        <v>44</v>
      </c>
      <c r="CO11" s="91" t="n">
        <f aca="false">INDEX(in_sup_advance,1,C11)</f>
        <v>0.5</v>
      </c>
      <c r="CP11" s="88" t="n">
        <f aca="false">CO11*(AL11+AM11)+AO11+INDEX(in_sel_testing,1,C11)*X11</f>
        <v>5030.54029304029</v>
      </c>
      <c r="CQ11" s="88" t="n">
        <f aca="false">(1-CO11)*(AL11+AM11)+AR11+AU11+AZ11</f>
        <v>7666.26556776557</v>
      </c>
      <c r="CR11" s="88" t="n">
        <f aca="false">BB11+BC11+BD11+BF11+BJ11</f>
        <v>459.256350732601</v>
      </c>
      <c r="CS11" s="88" t="n">
        <f aca="false">BK11+BL11</f>
        <v>1116</v>
      </c>
      <c r="CT11" s="88" t="n">
        <f aca="false">IF(K11=2,AM11,0)</f>
        <v>0</v>
      </c>
      <c r="CU11" s="85" t="n">
        <f aca="false">IF(K11=2,CO11*AM11*(CN11-0)+(1-CO11)*AM11*(CN11-CJ11),0)</f>
        <v>0</v>
      </c>
      <c r="CV11" s="85" t="n">
        <f aca="false">(CP11-CO11*CT11)*(CM11-0)+(CQ11-(1-CO11)*CT11)*(CM11-CJ11)+CR11*(CM11-CK11)+CS11*(CM11-CL11)</f>
        <v>842321.701391941</v>
      </c>
      <c r="CW11" s="88" t="n">
        <f aca="false">INDEX(in_sel_fin_rate,1,C11)/365*(CU11+CV11)</f>
        <v>184.618455099604</v>
      </c>
      <c r="CX11" s="85" t="n">
        <f aca="false">CP11-IF(CN11&lt;=0,CT11,0)</f>
        <v>5030.54029304029</v>
      </c>
      <c r="CY11" s="85" t="n">
        <f aca="false">CP11+CQ11-IF(CN11&lt;=CJ11,CT11,0)</f>
        <v>12696.8058608059</v>
      </c>
      <c r="CZ11" s="85" t="n">
        <f aca="false">CP11+CQ11+CR11-IF(CN11&lt;=CK11,CT11,0)</f>
        <v>13156.0622115385</v>
      </c>
      <c r="DA11" s="85" t="n">
        <f aca="false">CP11+CQ11+CR11+CS11-IF(CN11&lt;=CL11,CT11,0)</f>
        <v>14272.0622115385</v>
      </c>
      <c r="DB11" s="88" t="n">
        <f aca="false">MAX(CX11,CY11,CZ11,DA11)</f>
        <v>14272.0622115385</v>
      </c>
      <c r="DC11" s="88" t="n">
        <f aca="false">CP11+CQ11+CR11+CS11</f>
        <v>14272.0622115385</v>
      </c>
      <c r="DD11" s="88" t="n">
        <f aca="false">CE11-CH11-CI11-CW11</f>
        <v>1743.29613336193</v>
      </c>
      <c r="DE11" s="87" t="n">
        <f aca="false">IF(CD11&gt;0,DD11/CD11,0)</f>
        <v>0.102531391352945</v>
      </c>
      <c r="DF11" s="86" t="n">
        <f aca="false">IF(CD11&gt;0,(BM11+CI11+CW11)/(CD11*(1-CG11)),0)</f>
        <v>0.894024401702382</v>
      </c>
      <c r="DG11" s="90" t="n">
        <f aca="false">IF(BW11&gt;0,BM11/BW11,0)</f>
        <v>0.222312599858266</v>
      </c>
      <c r="DH11" s="90" t="n">
        <f aca="false">IF(BW11&gt;0,CD11/BW11,0)</f>
        <v>0.2848</v>
      </c>
      <c r="DI11" s="90" t="n">
        <f aca="false">IF(AI11&gt;0,(AI11*IF(K11=3,INDEX(in_sup_vat_rate,1,C11),0)+AV11*BA11+(BC11+BD11)*AV11/AY11+AZ11*AI11/AL11)/AI11,0)</f>
        <v>0.011742389834937</v>
      </c>
      <c r="DJ11" s="90" t="n">
        <f aca="false">IF(AJ11&gt;0,(AJ11*IF(K11=3,INDEX(in_sup_vat_rate,1,C11),0)+AW11*BA11+(BC11+BD11)*AW11/AY11+AZ11*AJ11/AL11)/AJ11,0)</f>
        <v>0.011742389834937</v>
      </c>
      <c r="DK11" s="90" t="n">
        <f aca="false">IF(AK11&gt;0,(AK11*IF(K11=3,INDEX(in_sup_vat_rate,1,C11),0)+AX11*BA11+(BC11+BD11)*AX11/AY11+AZ11*AK11/AL11)/AK11,0)</f>
        <v>0.011742389834937</v>
      </c>
      <c r="DL11" s="90" t="n">
        <f aca="false">IF(Y11&gt;0,(BP11-AI11*(1+DI11))/Y11,0)</f>
        <v>0.084722295373993</v>
      </c>
      <c r="DM11" s="90" t="n">
        <f aca="false">IF(Z11&gt;0,(BQ11-AJ11*(1+DJ11))/Z11,0)</f>
        <v>0.10110061508384</v>
      </c>
      <c r="DN11" s="90" t="n">
        <f aca="false">IF(AA11&gt;0,(BR11-AK11*(1+DK11))/AA11,0)</f>
        <v>0.0699933532784309</v>
      </c>
      <c r="DO11" s="86" t="n">
        <f aca="false">IF(Y11&gt;0,(CA11*(1-thr_gm_go)*(1-R11)-DL11)/(1+DI11)*I11/((1+AH11)*J11),"")</f>
        <v>7.29435325270248</v>
      </c>
      <c r="DP11" s="86" t="n">
        <f aca="false">IF(Z11&gt;0,(CB11*(1-thr_gm_go)*(1-R11)-DM11)/(1+DJ11)*I11/((1+AH11)*J11),"")</f>
        <v>7.51701711404296</v>
      </c>
      <c r="DQ11" s="86" t="n">
        <f aca="false">IF(AA11&gt;0,(CC11*(1-thr_gm_go)*(1-R11)-DN11)/(1+DK11)*I11/((1+AH11)*J11),"")</f>
        <v>6.87625310386928</v>
      </c>
      <c r="DR11" s="92" t="n">
        <f aca="false">IF(AND(AY11*INDEX(in_cus_mpf_rate,1,C11)&gt;INDEX(in_cus_mpf_min,1,C11),AY11*INDEX(in_cus_mpf_rate,1,C11)&lt;INDEX(in_cus_mpf_max,1,C11)),INDEX(in_cus_mpf_rate,1,C11),0)</f>
        <v>0</v>
      </c>
      <c r="DS11" s="88" t="n">
        <f aca="false">IF(AZ11&gt;INDEX(in_oce_ins_min,1,C11),INDEX(in_oce_ins_rate,1,C11)*(1+INDEX(in_oce_ins_uplift,1,C11))*AL11,0)</f>
        <v>0</v>
      </c>
      <c r="DT11" s="88" t="n">
        <f aca="false">(AL11+AN11)*(1+BA11+INDEX(in_cus_hmf,1,C11)+DR11)+DS11</f>
        <v>8071.15693681319</v>
      </c>
      <c r="DU11" s="86" t="n">
        <f aca="false">IF(DT11&gt;0,(CD11*(1-thr_gm_go)-(BM11-DT11))/DT11,0)</f>
        <v>0.935555433302746</v>
      </c>
      <c r="DV11" s="86" t="n">
        <f aca="false">IF(DT11&gt;0,(CD11-(BM11-DT11))/DT11,0)</f>
        <v>1.46220112155749</v>
      </c>
      <c r="DW11" s="87" t="n">
        <f aca="false">(1+AH11)*J11*DU11-1</f>
        <v>-0.111222338362391</v>
      </c>
      <c r="DX11" s="87" t="n">
        <f aca="false">(1+AH11)*J11*DV11-1</f>
        <v>0.389091065479612</v>
      </c>
      <c r="DY11" s="85" t="n">
        <f aca="false">IF(G11&gt;0,(CD11*(1-thr_gm_go)-(BM11-AT11))/G11,"")</f>
        <v>2279.85778846154</v>
      </c>
      <c r="DZ11" s="90" t="n">
        <f aca="false">IF(AB11&gt;0,(AL11+AN11+BB11+BC11+BD11)/AB11,0)</f>
        <v>0.135095615613553</v>
      </c>
      <c r="EA11" s="88" t="n">
        <f aca="false">BM11-DZ11*AB11</f>
        <v>5166.32527472528</v>
      </c>
      <c r="EB11" s="90" t="n">
        <f aca="false">IF(AB11&gt;0,CD11/AB11,0)</f>
        <v>0.283376</v>
      </c>
      <c r="EC11" s="85" t="n">
        <f aca="false">IF(EB11*(1-thr_gm_go)-DZ11&gt;0,EA11/(EB11*(1-thr_gm_go)-DZ11),"n/a")</f>
        <v>66717.0260551253</v>
      </c>
      <c r="ED11" s="85" t="n">
        <f aca="false">IF(EB11-DZ11&gt;0,EA11/(EB11-DZ11),"n/a")</f>
        <v>34841.5961834901</v>
      </c>
      <c r="EE11" s="93" t="b">
        <f aca="false">INDEX(cfg_fits,D11,C11)</f>
        <v>1</v>
      </c>
      <c r="EF11" s="87" t="n">
        <f aca="false">IF(F11=4,"",INDEX(cfg_lenutil,D11,C11))</f>
        <v>0.795641240569992</v>
      </c>
      <c r="EG11" s="31" t="str">
        <f aca="false">IF(O11&gt;1,"Check fit (units scaled up)","")</f>
        <v/>
      </c>
    </row>
    <row r="12" customFormat="false" ht="15" hidden="false" customHeight="false" outlineLevel="0" collapsed="false">
      <c r="A12" s="78" t="n">
        <v>1023</v>
      </c>
      <c r="B12" s="9" t="s">
        <v>3160</v>
      </c>
      <c r="C12" s="78" t="n">
        <v>1</v>
      </c>
      <c r="D12" s="78" t="n">
        <v>2</v>
      </c>
      <c r="E12" s="78" t="n">
        <v>3</v>
      </c>
      <c r="F12" s="79" t="n">
        <f aca="false">INDEX(cfg_ct,D12)</f>
        <v>2</v>
      </c>
      <c r="G12" s="79" t="n">
        <f aca="false">INDEX(cfg_n,D12)</f>
        <v>1</v>
      </c>
      <c r="H12" s="79" t="n">
        <f aca="false">INDEX(dest_port,E12)</f>
        <v>2</v>
      </c>
      <c r="I12" s="80" t="n">
        <f aca="false">INDEX(in_fx_cbe,1,C12)*(1-INDEX(in_fx_spread,1,C12))</f>
        <v>54.6</v>
      </c>
      <c r="J12" s="81" t="n">
        <f aca="false">1</f>
        <v>1</v>
      </c>
      <c r="K12" s="82" t="n">
        <f aca="false">INDEX(in_sup_vat_mode,1,C12)</f>
        <v>1</v>
      </c>
      <c r="L12" s="83" t="n">
        <f aca="false">INDEX(in_cus_s301,1,C12)</f>
        <v>0</v>
      </c>
      <c r="M12" s="84" t="n">
        <f aca="false">1</f>
        <v>1</v>
      </c>
      <c r="N12" s="81" t="n">
        <f aca="false">1</f>
        <v>1</v>
      </c>
      <c r="O12" s="81" t="n">
        <f aca="false">1</f>
        <v>1</v>
      </c>
      <c r="P12" s="81" t="n">
        <f aca="false">1</f>
        <v>1</v>
      </c>
      <c r="Q12" s="81" t="n">
        <f aca="false">1</f>
        <v>1</v>
      </c>
      <c r="R12" s="83" t="n">
        <f aca="false">INDEX(in_sel_damage,1,C12)</f>
        <v>0.005</v>
      </c>
      <c r="S12" s="83" t="n">
        <f aca="false">INDEX(in_mkt_dist_margin,1,C12)</f>
        <v>0.2</v>
      </c>
      <c r="T12" s="83" t="n">
        <f aca="false">INDEX(in_mkt_eflute_disc,1,C12)</f>
        <v>0.15</v>
      </c>
      <c r="U12" s="82" t="n">
        <f aca="false">INDEX(in_sel_credit_days,1,C12)</f>
        <v>30</v>
      </c>
      <c r="V12" s="81" t="n">
        <f aca="false">1</f>
        <v>1</v>
      </c>
      <c r="W12" s="83" t="n">
        <f aca="false">INDEX(in_sel_commission,1,C12)</f>
        <v>0.03</v>
      </c>
      <c r="X12" s="82" t="n">
        <f aca="false">1</f>
        <v>1</v>
      </c>
      <c r="Y12" s="85" t="n">
        <f aca="false">INDEX(cfg_u_3464,D12,C12)*O12</f>
        <v>20000</v>
      </c>
      <c r="Z12" s="85" t="n">
        <f aca="false">INDEX(cfg_u_3463,D12,C12)*O12</f>
        <v>20000</v>
      </c>
      <c r="AA12" s="85" t="n">
        <f aca="false">INDEX(cfg_u_3460,D12,C12)*O12</f>
        <v>20000</v>
      </c>
      <c r="AB12" s="85" t="n">
        <f aca="false">Y12+Z12+AA12</f>
        <v>60000</v>
      </c>
      <c r="AC12" s="86" t="n">
        <f aca="false">Y12*INDEX(lg_vpu_3464,C12)</f>
        <v>13.3386</v>
      </c>
      <c r="AD12" s="86" t="n">
        <f aca="false">Z12*INDEX(lg_vpu_3463,C12)</f>
        <v>16.3176</v>
      </c>
      <c r="AE12" s="86" t="n">
        <f aca="false">AA12*INDEX(lg_vpu_3460,C12)</f>
        <v>10.6596</v>
      </c>
      <c r="AF12" s="86" t="n">
        <f aca="false">AC12+AD12+AE12</f>
        <v>40.3158</v>
      </c>
      <c r="AG12" s="85" t="n">
        <f aca="false">Y12*INDEX(lg_kpu_3464,C12)+Z12*INDEX(lg_kpu_3463,C12)+AA12*INDEX(lg_kpu_3460,C12)</f>
        <v>9855.3664</v>
      </c>
      <c r="AH12" s="87" t="n">
        <f aca="false">INDEX(in_sup_requote,1,C12)</f>
        <v>-0.05</v>
      </c>
      <c r="AI12" s="88" t="n">
        <f aca="false">Y12*q_price_3464*(1+AH12)*J12/I12</f>
        <v>2910.89743589744</v>
      </c>
      <c r="AJ12" s="88" t="n">
        <f aca="false">Z12*q_price_3463*(1+AH12)*J12/I12</f>
        <v>2749.08424908425</v>
      </c>
      <c r="AK12" s="88" t="n">
        <f aca="false">AA12*q_price_3460*(1+AH12)*J12/I12</f>
        <v>2401.0989010989</v>
      </c>
      <c r="AL12" s="88" t="n">
        <f aca="false">AI12+AJ12+AK12</f>
        <v>8061.08058608059</v>
      </c>
      <c r="AM12" s="88" t="n">
        <f aca="false">IF(OR(K12=2,K12=3),AL12*INDEX(in_sup_vat_rate,1,C12),0)</f>
        <v>0</v>
      </c>
      <c r="AN12" s="88" t="n">
        <f aca="false">IF(K12=3,AM12,0)</f>
        <v>0</v>
      </c>
      <c r="AO12" s="88" t="n">
        <f aca="false">INDEX(in_sup_tooling_egp,1,C12)/I12</f>
        <v>0</v>
      </c>
      <c r="AP12" s="88" t="n">
        <f aca="false">IF(F12=4,INDEX(in_ori_lcl_truck,1,C12)*V12/I12+INDEX(in_ori_lcl_cfs_o,1,C12),G12*(IF(F12=1,INDEX(in_ori_truck_20,1,C12),INDEX(in_ori_truck_40,1,C12))*V12/I12+INDEX(in_ori_terminal,1,C12)+IF(F12=1,INDEX(in_ori_othc_20,1,C12),INDEX(in_ori_othc_40,1,C12))*(1-INDEX(in_ori_othc_in_freight,1,C12))+INDEX(in_ori_seal,1,C12)+INDEX(in_ori_inspection,1,C12)+INDEX(in_ori_dd_days,1,C12)*IF(F12=1,INDEX(in_ori_dd_20,1,C12),INDEX(in_ori_dd_40,1,C12))+INDEX(in_ori_loading_egp,1,C12)/I12))</f>
        <v>457.465201465201</v>
      </c>
      <c r="AQ12" s="88" t="n">
        <f aca="false">(INDEX(in_ori_clearance,1,C12)+INDEX(in_ori_coo,1,C12))/I12+INDEX(in_ori_bl_fee,1,C12)+INDEX(in_ori_fwd_fee,1,C12)+INDEX(in_ori_qc,1,C12)+INDEX(in_ori_wires,1,C12)*INDEX(in_ori_wire_fee,1,C12)</f>
        <v>298.260073260073</v>
      </c>
      <c r="AR12" s="88" t="n">
        <f aca="false">AP12+AQ12</f>
        <v>755.725274725275</v>
      </c>
      <c r="AS12" s="85" t="n">
        <f aca="false">INDEX(tbl_port_diff,H12,C12)</f>
        <v>0</v>
      </c>
      <c r="AT12" s="88" t="n">
        <f aca="false">IF(F12=4,MAX(AF12*INDEX(in_oce_lcl_factor,1,C12),AG12/1000,1)*INDEX(in_oce_lcl_rate,1,C12)*M12,G12*(INDEX(tbl_ocean_rate,MIN(F12,3),C12)+AS12)*M12)</f>
        <v>2800</v>
      </c>
      <c r="AU12" s="88" t="n">
        <f aca="false">AT12+INDEX(in_oce_ams,1,C12)</f>
        <v>2830</v>
      </c>
      <c r="AV12" s="88" t="n">
        <f aca="false">AI12*(1+IF(K12=3,INDEX(in_sup_vat_rate,1,C12),0))+AO12*Y12/AB12</f>
        <v>2910.89743589744</v>
      </c>
      <c r="AW12" s="88" t="n">
        <f aca="false">AJ12*(1+IF(K12=3,INDEX(in_sup_vat_rate,1,C12),0))+AO12*Z12/AB12</f>
        <v>2749.08424908425</v>
      </c>
      <c r="AX12" s="88" t="n">
        <f aca="false">AK12*(1+IF(K12=3,INDEX(in_sup_vat_rate,1,C12),0))+AO12*AA12/AB12</f>
        <v>2401.0989010989</v>
      </c>
      <c r="AY12" s="88" t="n">
        <f aca="false">AV12+AW12+AX12</f>
        <v>8061.08058608059</v>
      </c>
      <c r="AZ12" s="88" t="n">
        <f aca="false">MAX(INDEX(in_oce_ins_min,1,C12),INDEX(in_oce_ins_rate,1,C12)*(1+INDEX(in_oce_ins_uplift,1,C12))*(AL12+AO12+AR12+AU12))*(1-INDEX(in_oce_ins_in_other,1,C12))</f>
        <v>50</v>
      </c>
      <c r="BA12" s="87" t="n">
        <f aca="false">INDEX(in_cus_mfn,1,C12)+L12</f>
        <v>0</v>
      </c>
      <c r="BB12" s="88" t="n">
        <f aca="false">AY12*BA12</f>
        <v>0</v>
      </c>
      <c r="BC12" s="88" t="n">
        <f aca="false">MIN(MAX(AY12*INDEX(in_cus_mpf_rate,1,C12),INDEX(in_cus_mpf_min,1,C12)),INDEX(in_cus_mpf_max,1,C12))</f>
        <v>34.58</v>
      </c>
      <c r="BD12" s="88" t="n">
        <f aca="false">AY12*INDEX(in_cus_hmf,1,C12)</f>
        <v>10.0763507326007</v>
      </c>
      <c r="BE12" s="88" t="n">
        <f aca="false">MAX(INDEX(in_cus_stb_min,1,C12),INDEX(in_cus_stb_rate,1,C12)/1000*(AY12+BB12+BC12+BD12))</f>
        <v>50</v>
      </c>
      <c r="BF12" s="88" t="n">
        <f aca="false">INDEX(in_cus_broker,1,C12)+INDEX(in_cus_isf,1,C12)+INDEX(in_cus_do_fee,1,C12)+BE12+INDEX(in_cus_isf_bond,1,C12)</f>
        <v>385</v>
      </c>
      <c r="BG12" s="88" t="n">
        <f aca="false">IF(H12=1,INDEX(in_cus_cfc,1,C12)*INDEX(ct_teu,F12)*G12*(1-INDEX(in_cus_cfc_in_freight,1,C12)),0)</f>
        <v>0</v>
      </c>
      <c r="BH12" s="88" t="n">
        <f aca="false">IF(F12=4,1,G12)*(INDEX(in_cus_exam,1,C12)+INDEX(in_cus_exam_dray,1,C12))</f>
        <v>0</v>
      </c>
      <c r="BI12" s="88" t="n">
        <f aca="false">IF(F12=4,1,G12)*INDEX(in_cus_dem_days,1,C12)*INDEX(in_cus_dem_rate,1,C12)</f>
        <v>0</v>
      </c>
      <c r="BJ12" s="88" t="n">
        <f aca="false">BG12+BH12+BI12</f>
        <v>0</v>
      </c>
      <c r="BK12" s="88" t="n">
        <f aca="false">IF(F12=4,(INDEX(in_dra_lcl_cfs_d,1,C12)+INDEX(in_dra_lcl_deliv,1,C12))*P12,G12*(INDEX(tbl_dest_line,E12,C12)*P12*(1+INDEX(in_dra_fsc,1,C12))+INDEX(tbl_dest_tolls,E12,C12)+INDEX(in_dra_chassis_days,1,C12)*INDEX(tbl_dest_chassis,E12,C12)*(1-INDEX(in_dra_chassis_in_dray,1,C12))+INDEX(in_dra_wait_hours,1,C12)*INDEX(in_dra_wait_rate,1,C12)+INDEX(in_dra_split,1,C12)+INDEX(in_dra_prepull,1,C12)+INDEX(in_dra_dryrun,1,C12)))</f>
        <v>567.5</v>
      </c>
      <c r="BL12" s="88" t="n">
        <f aca="false">IF(F12=4,0,G12*IF(F12=1,INDEX(in_dra_unload_20,1,C12),INDEX(in_dra_unload_40,1,C12))*Q12*(1-INDEX(in_dra_unload_in_dray,1,C12)))</f>
        <v>250</v>
      </c>
      <c r="BM12" s="88" t="n">
        <f aca="false">AL12+AN12+AO12+AR12+AU12+AZ12+BB12+BC12+BD12+BF12+BJ12+BK12+BL12</f>
        <v>12943.9622115385</v>
      </c>
      <c r="BN12" s="88" t="n">
        <f aca="false">AP12+AU12+BJ12+BK12+BL12</f>
        <v>4104.9652014652</v>
      </c>
      <c r="BO12" s="88" t="n">
        <f aca="false">AQ12+BF12</f>
        <v>683.260073260073</v>
      </c>
      <c r="BP12" s="88" t="n">
        <f aca="false">AI12*(1+IF(K12=3,INDEX(in_sup_vat_rate,1,C12),0))+AO12*Y12/AB12+AV12*BA12+(BC12+BD12)*AV12/AY12+AZ12*AI12/AL12+BN12*AC12/AF12+BO12*Y12/AB12</f>
        <v>4530.97139402524</v>
      </c>
      <c r="BQ12" s="88" t="n">
        <f aca="false">AJ12*(1+IF(K12=3,INDEX(in_sup_vat_rate,1,C12),0))+AO12*Z12/AB12+AW12*BA12+(BC12+BD12)*AW12/AY12+AZ12*AJ12/AL12+BN12*AD12/AF12+BO12*Z12/AB12</f>
        <v>4670.58068552447</v>
      </c>
      <c r="BR12" s="88" t="n">
        <f aca="false">AK12*(1+IF(K12=3,INDEX(in_sup_vat_rate,1,C12),0))+AO12*AA12/AB12+AX12*BA12+(BC12+BD12)*AX12/AY12+AZ12*AK12/AL12+BN12*AE12/AF12+BO12*AA12/AB12</f>
        <v>3742.41013198875</v>
      </c>
      <c r="BS12" s="89" t="n">
        <f aca="false">BP12+BQ12+BR12-BM12</f>
        <v>0</v>
      </c>
      <c r="BT12" s="85" t="n">
        <f aca="false">Y12*(1-R12)</f>
        <v>19900</v>
      </c>
      <c r="BU12" s="85" t="n">
        <f aca="false">Z12*(1-R12)</f>
        <v>19900</v>
      </c>
      <c r="BV12" s="85" t="n">
        <f aca="false">AA12*(1-R12)</f>
        <v>19900</v>
      </c>
      <c r="BW12" s="85" t="n">
        <f aca="false">BT12+BU12+BV12</f>
        <v>59700</v>
      </c>
      <c r="BX12" s="90" t="n">
        <f aca="false">IF(BT12&gt;0,BP12/BT12,0)</f>
        <v>0.227687004724887</v>
      </c>
      <c r="BY12" s="90" t="n">
        <f aca="false">IF(BU12&gt;0,BQ12/BU12,0)</f>
        <v>0.23470254701128</v>
      </c>
      <c r="BZ12" s="90" t="n">
        <f aca="false">IF(BV12&gt;0,BR12/BV12,0)</f>
        <v>0.188060810652701</v>
      </c>
      <c r="CA12" s="90" t="n">
        <f aca="false">INDEX(in_mkt_listing_3464,1,C12)*(1-IF(sku_flute_3464="B",T12,0))*(1-S12)*N12</f>
        <v>0.2856</v>
      </c>
      <c r="CB12" s="90" t="n">
        <f aca="false">INDEX(in_mkt_listing_3463,1,C12)*(1-IF(sku_flute_3463="B",T12,0))*(1-S12)*N12</f>
        <v>0.3128</v>
      </c>
      <c r="CC12" s="90" t="n">
        <f aca="false">INDEX(in_mkt_listing_3460,1,C12)*(1-IF(sku_flute_3460="B",T12,0))*(1-S12)*N12</f>
        <v>0.256</v>
      </c>
      <c r="CD12" s="88" t="n">
        <f aca="false">BT12*CA12+BU12*CB12+BV12*CC12</f>
        <v>17002.56</v>
      </c>
      <c r="CE12" s="88" t="n">
        <f aca="false">CD12-BM12</f>
        <v>4058.59778846154</v>
      </c>
      <c r="CF12" s="87" t="n">
        <f aca="false">IF(CD12&gt;0,CE12/CD12,0)</f>
        <v>0.238705100200296</v>
      </c>
      <c r="CG12" s="87" t="n">
        <f aca="false">W12+INDEX(in_sel_processing,1,C12)+INDEX(in_sel_bad_debt,1,C12)</f>
        <v>0.0325</v>
      </c>
      <c r="CH12" s="88" t="n">
        <f aca="false">CD12*CG12</f>
        <v>552.5832</v>
      </c>
      <c r="CI12" s="88" t="n">
        <f aca="false">INDEX(in_sel_testing,1,C12)*X12+INDEX(in_sel_admin,1,C12)</f>
        <v>1250</v>
      </c>
      <c r="CJ12" s="79" t="n">
        <f aca="false">INDEX(in_sup_lead_days,1,C12)</f>
        <v>14</v>
      </c>
      <c r="CK12" s="79" t="n">
        <f aca="false">CJ12+INDEX(in_oce_transit,1,C12)+IF(F12=4,INDEX(in_oce_lcl_extra_days,1,C12),0)</f>
        <v>39</v>
      </c>
      <c r="CL12" s="79" t="n">
        <f aca="false">CK12+2+INDEX(in_cus_dem_days,1,C12)</f>
        <v>41</v>
      </c>
      <c r="CM12" s="79" t="n">
        <f aca="false">CL12+U12</f>
        <v>71</v>
      </c>
      <c r="CN12" s="79" t="n">
        <f aca="false">CJ12+INDEX(in_sup_vat_lag,1,C12)</f>
        <v>44</v>
      </c>
      <c r="CO12" s="91" t="n">
        <f aca="false">INDEX(in_sup_advance,1,C12)</f>
        <v>0.5</v>
      </c>
      <c r="CP12" s="88" t="n">
        <f aca="false">CO12*(AL12+AM12)+AO12+INDEX(in_sel_testing,1,C12)*X12</f>
        <v>5030.54029304029</v>
      </c>
      <c r="CQ12" s="88" t="n">
        <f aca="false">(1-CO12)*(AL12+AM12)+AR12+AU12+AZ12</f>
        <v>7666.26556776557</v>
      </c>
      <c r="CR12" s="88" t="n">
        <f aca="false">BB12+BC12+BD12+BF12+BJ12</f>
        <v>429.656350732601</v>
      </c>
      <c r="CS12" s="88" t="n">
        <f aca="false">BK12+BL12</f>
        <v>817.5</v>
      </c>
      <c r="CT12" s="88" t="n">
        <f aca="false">IF(K12=2,AM12,0)</f>
        <v>0</v>
      </c>
      <c r="CU12" s="85" t="n">
        <f aca="false">IF(K12=2,CO12*AM12*(CN12-0)+(1-CO12)*AM12*(CN12-CJ12),0)</f>
        <v>0</v>
      </c>
      <c r="CV12" s="85" t="n">
        <f aca="false">(CP12-CO12*CT12)*(CM12-0)+(CQ12-(1-CO12)*CT12)*(CM12-CJ12)+CR12*(CM12-CK12)+CS12*(CM12-CL12)</f>
        <v>832419.501391941</v>
      </c>
      <c r="CW12" s="88" t="n">
        <f aca="false">INDEX(in_sel_fin_rate,1,C12)/365*(CU12+CV12)</f>
        <v>182.448109894124</v>
      </c>
      <c r="CX12" s="85" t="n">
        <f aca="false">CP12-IF(CN12&lt;=0,CT12,0)</f>
        <v>5030.54029304029</v>
      </c>
      <c r="CY12" s="85" t="n">
        <f aca="false">CP12+CQ12-IF(CN12&lt;=CJ12,CT12,0)</f>
        <v>12696.8058608059</v>
      </c>
      <c r="CZ12" s="85" t="n">
        <f aca="false">CP12+CQ12+CR12-IF(CN12&lt;=CK12,CT12,0)</f>
        <v>13126.4622115385</v>
      </c>
      <c r="DA12" s="85" t="n">
        <f aca="false">CP12+CQ12+CR12+CS12-IF(CN12&lt;=CL12,CT12,0)</f>
        <v>13943.9622115385</v>
      </c>
      <c r="DB12" s="88" t="n">
        <f aca="false">MAX(CX12,CY12,CZ12,DA12)</f>
        <v>13943.9622115385</v>
      </c>
      <c r="DC12" s="88" t="n">
        <f aca="false">CP12+CQ12+CR12+CS12</f>
        <v>13943.9622115385</v>
      </c>
      <c r="DD12" s="88" t="n">
        <f aca="false">CE12-CH12-CI12-CW12</f>
        <v>2073.56647856741</v>
      </c>
      <c r="DE12" s="87" t="n">
        <f aca="false">IF(CD12&gt;0,DD12/CD12,0)</f>
        <v>0.121956133580321</v>
      </c>
      <c r="DF12" s="86" t="n">
        <f aca="false">IF(CD12&gt;0,(BM12+CI12+CW12)/(CD12*(1-CG12)),0)</f>
        <v>0.873947148754191</v>
      </c>
      <c r="DG12" s="90" t="n">
        <f aca="false">IF(BW12&gt;0,BM12/BW12,0)</f>
        <v>0.216816787462956</v>
      </c>
      <c r="DH12" s="90" t="n">
        <f aca="false">IF(BW12&gt;0,CD12/BW12,0)</f>
        <v>0.2848</v>
      </c>
      <c r="DI12" s="90" t="n">
        <f aca="false">IF(AI12&gt;0,(AI12*IF(K12=3,INDEX(in_sup_vat_rate,1,C12),0)+AV12*BA12+(BC12+BD12)*AV12/AY12+AZ12*AI12/AL12)/AI12,0)</f>
        <v>0.011742389834937</v>
      </c>
      <c r="DJ12" s="90" t="n">
        <f aca="false">IF(AJ12&gt;0,(AJ12*IF(K12=3,INDEX(in_sup_vat_rate,1,C12),0)+AW12*BA12+(BC12+BD12)*AW12/AY12+AZ12*AJ12/AL12)/AJ12,0)</f>
        <v>0.011742389834937</v>
      </c>
      <c r="DK12" s="90" t="n">
        <f aca="false">IF(AK12&gt;0,(AK12*IF(K12=3,INDEX(in_sup_vat_rate,1,C12),0)+AX12*BA12+(BC12+BD12)*AX12/AY12+AZ12*AK12/AL12)/AK12,0)</f>
        <v>0.011742389834937</v>
      </c>
      <c r="DL12" s="90" t="n">
        <f aca="false">IF(Y12&gt;0,(BP12-AI12*(1+DI12))/Y12,0)</f>
        <v>0.0792946532832991</v>
      </c>
      <c r="DM12" s="90" t="n">
        <f aca="false">IF(Z12&gt;0,(BQ12-AJ12*(1+DJ12))/Z12,0)</f>
        <v>0.0944607808749193</v>
      </c>
      <c r="DN12" s="90" t="n">
        <f aca="false">IF(AA12&gt;0,(BR12-AK12*(1+DK12))/AA12,0)</f>
        <v>0.0656558295780455</v>
      </c>
      <c r="DO12" s="86" t="n">
        <f aca="false">IF(Y12&gt;0,(CA12*(1-thr_gm_go)*(1-R12)-DL12)/(1+DI12)*I12/((1+AH12)*J12),"")</f>
        <v>7.602679354942</v>
      </c>
      <c r="DP12" s="86" t="n">
        <f aca="false">IF(Z12&gt;0,(CB12*(1-thr_gm_go)*(1-R12)-DM12)/(1+DJ12)*I12/((1+AH12)*J12),"")</f>
        <v>7.89420377575436</v>
      </c>
      <c r="DQ12" s="86" t="n">
        <f aca="false">IF(AA12&gt;0,(CC12*(1-thr_gm_go)*(1-R12)-DN12)/(1+DK12)*I12/((1+AH12)*J12),"")</f>
        <v>7.12265324477105</v>
      </c>
      <c r="DR12" s="92" t="n">
        <f aca="false">IF(AND(AY12*INDEX(in_cus_mpf_rate,1,C12)&gt;INDEX(in_cus_mpf_min,1,C12),AY12*INDEX(in_cus_mpf_rate,1,C12)&lt;INDEX(in_cus_mpf_max,1,C12)),INDEX(in_cus_mpf_rate,1,C12),0)</f>
        <v>0</v>
      </c>
      <c r="DS12" s="88" t="n">
        <f aca="false">IF(AZ12&gt;INDEX(in_oce_ins_min,1,C12),INDEX(in_oce_ins_rate,1,C12)*(1+INDEX(in_oce_ins_uplift,1,C12))*AL12,0)</f>
        <v>0</v>
      </c>
      <c r="DT12" s="88" t="n">
        <f aca="false">(AL12+AN12)*(1+BA12+INDEX(in_cus_hmf,1,C12)+DR12)+DS12</f>
        <v>8071.15693681319</v>
      </c>
      <c r="DU12" s="86" t="n">
        <f aca="false">IF(DT12&gt;0,(CD12*(1-thr_gm_go)-(BM12-DT12))/DT12,0)</f>
        <v>0.976206358884866</v>
      </c>
      <c r="DV12" s="86" t="n">
        <f aca="false">IF(DT12&gt;0,(CD12-(BM12-DT12))/DT12,0)</f>
        <v>1.50285204713961</v>
      </c>
      <c r="DW12" s="87" t="n">
        <f aca="false">(1+AH12)*J12*DU12-1</f>
        <v>-0.0726039590593778</v>
      </c>
      <c r="DX12" s="87" t="n">
        <f aca="false">(1+AH12)*J12*DV12-1</f>
        <v>0.427709444782625</v>
      </c>
      <c r="DY12" s="85" t="n">
        <f aca="false">IF(G12&gt;0,(CD12*(1-thr_gm_go)-(BM12-AT12))/G12,"")</f>
        <v>2607.95778846154</v>
      </c>
      <c r="DZ12" s="90" t="n">
        <f aca="false">IF(AB12&gt;0,(AL12+AN12+BB12+BC12+BD12)/AB12,0)</f>
        <v>0.135095615613553</v>
      </c>
      <c r="EA12" s="88" t="n">
        <f aca="false">BM12-DZ12*AB12</f>
        <v>4838.22527472528</v>
      </c>
      <c r="EB12" s="90" t="n">
        <f aca="false">IF(AB12&gt;0,CD12/AB12,0)</f>
        <v>0.283376</v>
      </c>
      <c r="EC12" s="85" t="n">
        <f aca="false">IF(EB12*(1-thr_gm_go)-DZ12&gt;0,EA12/(EB12*(1-thr_gm_go)-DZ12),"n/a")</f>
        <v>62479.9997192544</v>
      </c>
      <c r="ED12" s="85" t="n">
        <f aca="false">IF(EB12-DZ12&gt;0,EA12/(EB12-DZ12),"n/a")</f>
        <v>32628.8962275411</v>
      </c>
      <c r="EE12" s="93" t="b">
        <f aca="false">INDEX(cfg_fits,D12,C12)</f>
        <v>1</v>
      </c>
      <c r="EF12" s="87" t="n">
        <f aca="false">IF(F12=4,"",INDEX(cfg_lenutil,D12,C12))</f>
        <v>0.795641240569992</v>
      </c>
      <c r="EG12" s="31" t="str">
        <f aca="false">IF(O12&gt;1,"Check fit (units scaled up)","")</f>
        <v/>
      </c>
    </row>
    <row r="13" customFormat="false" ht="15" hidden="false" customHeight="false" outlineLevel="0" collapsed="false">
      <c r="A13" s="78" t="n">
        <v>1024</v>
      </c>
      <c r="B13" s="9" t="s">
        <v>3161</v>
      </c>
      <c r="C13" s="78" t="n">
        <v>1</v>
      </c>
      <c r="D13" s="78" t="n">
        <v>2</v>
      </c>
      <c r="E13" s="78" t="n">
        <v>4</v>
      </c>
      <c r="F13" s="79" t="n">
        <f aca="false">INDEX(cfg_ct,D13)</f>
        <v>2</v>
      </c>
      <c r="G13" s="79" t="n">
        <f aca="false">INDEX(cfg_n,D13)</f>
        <v>1</v>
      </c>
      <c r="H13" s="79" t="n">
        <f aca="false">INDEX(dest_port,E13)</f>
        <v>3</v>
      </c>
      <c r="I13" s="80" t="n">
        <f aca="false">INDEX(in_fx_cbe,1,C13)*(1-INDEX(in_fx_spread,1,C13))</f>
        <v>54.6</v>
      </c>
      <c r="J13" s="81" t="n">
        <f aca="false">1</f>
        <v>1</v>
      </c>
      <c r="K13" s="82" t="n">
        <f aca="false">INDEX(in_sup_vat_mode,1,C13)</f>
        <v>1</v>
      </c>
      <c r="L13" s="83" t="n">
        <f aca="false">INDEX(in_cus_s301,1,C13)</f>
        <v>0</v>
      </c>
      <c r="M13" s="84" t="n">
        <f aca="false">1</f>
        <v>1</v>
      </c>
      <c r="N13" s="81" t="n">
        <f aca="false">1</f>
        <v>1</v>
      </c>
      <c r="O13" s="81" t="n">
        <f aca="false">1</f>
        <v>1</v>
      </c>
      <c r="P13" s="81" t="n">
        <f aca="false">1</f>
        <v>1</v>
      </c>
      <c r="Q13" s="81" t="n">
        <f aca="false">1</f>
        <v>1</v>
      </c>
      <c r="R13" s="83" t="n">
        <f aca="false">INDEX(in_sel_damage,1,C13)</f>
        <v>0.005</v>
      </c>
      <c r="S13" s="83" t="n">
        <f aca="false">INDEX(in_mkt_dist_margin,1,C13)</f>
        <v>0.2</v>
      </c>
      <c r="T13" s="83" t="n">
        <f aca="false">INDEX(in_mkt_eflute_disc,1,C13)</f>
        <v>0.15</v>
      </c>
      <c r="U13" s="82" t="n">
        <f aca="false">INDEX(in_sel_credit_days,1,C13)</f>
        <v>30</v>
      </c>
      <c r="V13" s="81" t="n">
        <f aca="false">1</f>
        <v>1</v>
      </c>
      <c r="W13" s="83" t="n">
        <f aca="false">INDEX(in_sel_commission,1,C13)</f>
        <v>0.03</v>
      </c>
      <c r="X13" s="82" t="n">
        <f aca="false">1</f>
        <v>1</v>
      </c>
      <c r="Y13" s="85" t="n">
        <f aca="false">INDEX(cfg_u_3464,D13,C13)*O13</f>
        <v>20000</v>
      </c>
      <c r="Z13" s="85" t="n">
        <f aca="false">INDEX(cfg_u_3463,D13,C13)*O13</f>
        <v>20000</v>
      </c>
      <c r="AA13" s="85" t="n">
        <f aca="false">INDEX(cfg_u_3460,D13,C13)*O13</f>
        <v>20000</v>
      </c>
      <c r="AB13" s="85" t="n">
        <f aca="false">Y13+Z13+AA13</f>
        <v>60000</v>
      </c>
      <c r="AC13" s="86" t="n">
        <f aca="false">Y13*INDEX(lg_vpu_3464,C13)</f>
        <v>13.3386</v>
      </c>
      <c r="AD13" s="86" t="n">
        <f aca="false">Z13*INDEX(lg_vpu_3463,C13)</f>
        <v>16.3176</v>
      </c>
      <c r="AE13" s="86" t="n">
        <f aca="false">AA13*INDEX(lg_vpu_3460,C13)</f>
        <v>10.6596</v>
      </c>
      <c r="AF13" s="86" t="n">
        <f aca="false">AC13+AD13+AE13</f>
        <v>40.3158</v>
      </c>
      <c r="AG13" s="85" t="n">
        <f aca="false">Y13*INDEX(lg_kpu_3464,C13)+Z13*INDEX(lg_kpu_3463,C13)+AA13*INDEX(lg_kpu_3460,C13)</f>
        <v>9855.3664</v>
      </c>
      <c r="AH13" s="87" t="n">
        <f aca="false">INDEX(in_sup_requote,1,C13)</f>
        <v>-0.05</v>
      </c>
      <c r="AI13" s="88" t="n">
        <f aca="false">Y13*q_price_3464*(1+AH13)*J13/I13</f>
        <v>2910.89743589744</v>
      </c>
      <c r="AJ13" s="88" t="n">
        <f aca="false">Z13*q_price_3463*(1+AH13)*J13/I13</f>
        <v>2749.08424908425</v>
      </c>
      <c r="AK13" s="88" t="n">
        <f aca="false">AA13*q_price_3460*(1+AH13)*J13/I13</f>
        <v>2401.0989010989</v>
      </c>
      <c r="AL13" s="88" t="n">
        <f aca="false">AI13+AJ13+AK13</f>
        <v>8061.08058608059</v>
      </c>
      <c r="AM13" s="88" t="n">
        <f aca="false">IF(OR(K13=2,K13=3),AL13*INDEX(in_sup_vat_rate,1,C13),0)</f>
        <v>0</v>
      </c>
      <c r="AN13" s="88" t="n">
        <f aca="false">IF(K13=3,AM13,0)</f>
        <v>0</v>
      </c>
      <c r="AO13" s="88" t="n">
        <f aca="false">INDEX(in_sup_tooling_egp,1,C13)/I13</f>
        <v>0</v>
      </c>
      <c r="AP13" s="88" t="n">
        <f aca="false">IF(F13=4,INDEX(in_ori_lcl_truck,1,C13)*V13/I13+INDEX(in_ori_lcl_cfs_o,1,C13),G13*(IF(F13=1,INDEX(in_ori_truck_20,1,C13),INDEX(in_ori_truck_40,1,C13))*V13/I13+INDEX(in_ori_terminal,1,C13)+IF(F13=1,INDEX(in_ori_othc_20,1,C13),INDEX(in_ori_othc_40,1,C13))*(1-INDEX(in_ori_othc_in_freight,1,C13))+INDEX(in_ori_seal,1,C13)+INDEX(in_ori_inspection,1,C13)+INDEX(in_ori_dd_days,1,C13)*IF(F13=1,INDEX(in_ori_dd_20,1,C13),INDEX(in_ori_dd_40,1,C13))+INDEX(in_ori_loading_egp,1,C13)/I13))</f>
        <v>457.465201465201</v>
      </c>
      <c r="AQ13" s="88" t="n">
        <f aca="false">(INDEX(in_ori_clearance,1,C13)+INDEX(in_ori_coo,1,C13))/I13+INDEX(in_ori_bl_fee,1,C13)+INDEX(in_ori_fwd_fee,1,C13)+INDEX(in_ori_qc,1,C13)+INDEX(in_ori_wires,1,C13)*INDEX(in_ori_wire_fee,1,C13)</f>
        <v>298.260073260073</v>
      </c>
      <c r="AR13" s="88" t="n">
        <f aca="false">AP13+AQ13</f>
        <v>755.725274725275</v>
      </c>
      <c r="AS13" s="85" t="n">
        <f aca="false">INDEX(tbl_port_diff,H13,C13)</f>
        <v>0</v>
      </c>
      <c r="AT13" s="88" t="n">
        <f aca="false">IF(F13=4,MAX(AF13*INDEX(in_oce_lcl_factor,1,C13),AG13/1000,1)*INDEX(in_oce_lcl_rate,1,C13)*M13,G13*(INDEX(tbl_ocean_rate,MIN(F13,3),C13)+AS13)*M13)</f>
        <v>2800</v>
      </c>
      <c r="AU13" s="88" t="n">
        <f aca="false">AT13+INDEX(in_oce_ams,1,C13)</f>
        <v>2830</v>
      </c>
      <c r="AV13" s="88" t="n">
        <f aca="false">AI13*(1+IF(K13=3,INDEX(in_sup_vat_rate,1,C13),0))+AO13*Y13/AB13</f>
        <v>2910.89743589744</v>
      </c>
      <c r="AW13" s="88" t="n">
        <f aca="false">AJ13*(1+IF(K13=3,INDEX(in_sup_vat_rate,1,C13),0))+AO13*Z13/AB13</f>
        <v>2749.08424908425</v>
      </c>
      <c r="AX13" s="88" t="n">
        <f aca="false">AK13*(1+IF(K13=3,INDEX(in_sup_vat_rate,1,C13),0))+AO13*AA13/AB13</f>
        <v>2401.0989010989</v>
      </c>
      <c r="AY13" s="88" t="n">
        <f aca="false">AV13+AW13+AX13</f>
        <v>8061.08058608059</v>
      </c>
      <c r="AZ13" s="88" t="n">
        <f aca="false">MAX(INDEX(in_oce_ins_min,1,C13),INDEX(in_oce_ins_rate,1,C13)*(1+INDEX(in_oce_ins_uplift,1,C13))*(AL13+AO13+AR13+AU13))*(1-INDEX(in_oce_ins_in_other,1,C13))</f>
        <v>50</v>
      </c>
      <c r="BA13" s="87" t="n">
        <f aca="false">INDEX(in_cus_mfn,1,C13)+L13</f>
        <v>0</v>
      </c>
      <c r="BB13" s="88" t="n">
        <f aca="false">AY13*BA13</f>
        <v>0</v>
      </c>
      <c r="BC13" s="88" t="n">
        <f aca="false">MIN(MAX(AY13*INDEX(in_cus_mpf_rate,1,C13),INDEX(in_cus_mpf_min,1,C13)),INDEX(in_cus_mpf_max,1,C13))</f>
        <v>34.58</v>
      </c>
      <c r="BD13" s="88" t="n">
        <f aca="false">AY13*INDEX(in_cus_hmf,1,C13)</f>
        <v>10.0763507326007</v>
      </c>
      <c r="BE13" s="88" t="n">
        <f aca="false">MAX(INDEX(in_cus_stb_min,1,C13),INDEX(in_cus_stb_rate,1,C13)/1000*(AY13+BB13+BC13+BD13))</f>
        <v>50</v>
      </c>
      <c r="BF13" s="88" t="n">
        <f aca="false">INDEX(in_cus_broker,1,C13)+INDEX(in_cus_isf,1,C13)+INDEX(in_cus_do_fee,1,C13)+BE13+INDEX(in_cus_isf_bond,1,C13)</f>
        <v>385</v>
      </c>
      <c r="BG13" s="88" t="n">
        <f aca="false">IF(H13=1,INDEX(in_cus_cfc,1,C13)*INDEX(ct_teu,F13)*G13*(1-INDEX(in_cus_cfc_in_freight,1,C13)),0)</f>
        <v>0</v>
      </c>
      <c r="BH13" s="88" t="n">
        <f aca="false">IF(F13=4,1,G13)*(INDEX(in_cus_exam,1,C13)+INDEX(in_cus_exam_dray,1,C13))</f>
        <v>0</v>
      </c>
      <c r="BI13" s="88" t="n">
        <f aca="false">IF(F13=4,1,G13)*INDEX(in_cus_dem_days,1,C13)*INDEX(in_cus_dem_rate,1,C13)</f>
        <v>0</v>
      </c>
      <c r="BJ13" s="88" t="n">
        <f aca="false">BG13+BH13+BI13</f>
        <v>0</v>
      </c>
      <c r="BK13" s="88" t="n">
        <f aca="false">IF(F13=4,(INDEX(in_dra_lcl_cfs_d,1,C13)+INDEX(in_dra_lcl_deliv,1,C13))*P13,G13*(INDEX(tbl_dest_line,E13,C13)*P13*(1+INDEX(in_dra_fsc,1,C13))+INDEX(tbl_dest_tolls,E13,C13)+INDEX(in_dra_chassis_days,1,C13)*INDEX(tbl_dest_chassis,E13,C13)*(1-INDEX(in_dra_chassis_in_dray,1,C13))+INDEX(in_dra_wait_hours,1,C13)*INDEX(in_dra_wait_rate,1,C13)+INDEX(in_dra_split,1,C13)+INDEX(in_dra_prepull,1,C13)+INDEX(in_dra_dryrun,1,C13)))</f>
        <v>1027.5</v>
      </c>
      <c r="BL13" s="88" t="n">
        <f aca="false">IF(F13=4,0,G13*IF(F13=1,INDEX(in_dra_unload_20,1,C13),INDEX(in_dra_unload_40,1,C13))*Q13*(1-INDEX(in_dra_unload_in_dray,1,C13)))</f>
        <v>250</v>
      </c>
      <c r="BM13" s="88" t="n">
        <f aca="false">AL13+AN13+AO13+AR13+AU13+AZ13+BB13+BC13+BD13+BF13+BJ13+BK13+BL13</f>
        <v>13403.9622115385</v>
      </c>
      <c r="BN13" s="88" t="n">
        <f aca="false">AP13+AU13+BJ13+BK13+BL13</f>
        <v>4564.9652014652</v>
      </c>
      <c r="BO13" s="88" t="n">
        <f aca="false">AQ13+BF13</f>
        <v>683.260073260073</v>
      </c>
      <c r="BP13" s="88" t="n">
        <f aca="false">AI13*(1+IF(K13=3,INDEX(in_sup_vat_rate,1,C13),0))+AO13*Y13/AB13+AV13*BA13+(BC13+BD13)*AV13/AY13+AZ13*AI13/AL13+BN13*AC13/AF13+BO13*Y13/AB13</f>
        <v>4683.16373548939</v>
      </c>
      <c r="BQ13" s="88" t="n">
        <f aca="false">AJ13*(1+IF(K13=3,INDEX(in_sup_vat_rate,1,C13),0))+AO13*Z13/AB13+AW13*BA13+(BC13+BD13)*AW13/AY13+AZ13*AJ13/AL13+BN13*AD13/AF13+BO13*Z13/AB13</f>
        <v>4856.76317477186</v>
      </c>
      <c r="BR13" s="88" t="n">
        <f aca="false">AK13*(1+IF(K13=3,INDEX(in_sup_vat_rate,1,C13),0))+AO13*AA13/AB13+AX13*BA13+(BC13+BD13)*AX13/AY13+AZ13*AK13/AL13+BN13*AE13/AF13+BO13*AA13/AB13</f>
        <v>3864.03530127722</v>
      </c>
      <c r="BS13" s="89" t="n">
        <f aca="false">BP13+BQ13+BR13-BM13</f>
        <v>0</v>
      </c>
      <c r="BT13" s="85" t="n">
        <f aca="false">Y13*(1-R13)</f>
        <v>19900</v>
      </c>
      <c r="BU13" s="85" t="n">
        <f aca="false">Z13*(1-R13)</f>
        <v>19900</v>
      </c>
      <c r="BV13" s="85" t="n">
        <f aca="false">AA13*(1-R13)</f>
        <v>19900</v>
      </c>
      <c r="BW13" s="85" t="n">
        <f aca="false">BT13+BU13+BV13</f>
        <v>59700</v>
      </c>
      <c r="BX13" s="90" t="n">
        <f aca="false">IF(BT13&gt;0,BP13/BT13,0)</f>
        <v>0.235334861079869</v>
      </c>
      <c r="BY13" s="90" t="n">
        <f aca="false">IF(BU13&gt;0,BQ13/BU13,0)</f>
        <v>0.244058450993561</v>
      </c>
      <c r="BZ13" s="90" t="n">
        <f aca="false">IF(BV13&gt;0,BR13/BV13,0)</f>
        <v>0.194172628204885</v>
      </c>
      <c r="CA13" s="90" t="n">
        <f aca="false">INDEX(in_mkt_listing_3464,1,C13)*(1-IF(sku_flute_3464="B",T13,0))*(1-S13)*N13</f>
        <v>0.2856</v>
      </c>
      <c r="CB13" s="90" t="n">
        <f aca="false">INDEX(in_mkt_listing_3463,1,C13)*(1-IF(sku_flute_3463="B",T13,0))*(1-S13)*N13</f>
        <v>0.3128</v>
      </c>
      <c r="CC13" s="90" t="n">
        <f aca="false">INDEX(in_mkt_listing_3460,1,C13)*(1-IF(sku_flute_3460="B",T13,0))*(1-S13)*N13</f>
        <v>0.256</v>
      </c>
      <c r="CD13" s="88" t="n">
        <f aca="false">BT13*CA13+BU13*CB13+BV13*CC13</f>
        <v>17002.56</v>
      </c>
      <c r="CE13" s="88" t="n">
        <f aca="false">CD13-BM13</f>
        <v>3598.59778846154</v>
      </c>
      <c r="CF13" s="87" t="n">
        <f aca="false">IF(CD13&gt;0,CE13/CD13,0)</f>
        <v>0.211650350797853</v>
      </c>
      <c r="CG13" s="87" t="n">
        <f aca="false">W13+INDEX(in_sel_processing,1,C13)+INDEX(in_sel_bad_debt,1,C13)</f>
        <v>0.0325</v>
      </c>
      <c r="CH13" s="88" t="n">
        <f aca="false">CD13*CG13</f>
        <v>552.5832</v>
      </c>
      <c r="CI13" s="88" t="n">
        <f aca="false">INDEX(in_sel_testing,1,C13)*X13+INDEX(in_sel_admin,1,C13)</f>
        <v>1250</v>
      </c>
      <c r="CJ13" s="79" t="n">
        <f aca="false">INDEX(in_sup_lead_days,1,C13)</f>
        <v>14</v>
      </c>
      <c r="CK13" s="79" t="n">
        <f aca="false">CJ13+INDEX(in_oce_transit,1,C13)+IF(F13=4,INDEX(in_oce_lcl_extra_days,1,C13),0)</f>
        <v>39</v>
      </c>
      <c r="CL13" s="79" t="n">
        <f aca="false">CK13+2+INDEX(in_cus_dem_days,1,C13)</f>
        <v>41</v>
      </c>
      <c r="CM13" s="79" t="n">
        <f aca="false">CL13+U13</f>
        <v>71</v>
      </c>
      <c r="CN13" s="79" t="n">
        <f aca="false">CJ13+INDEX(in_sup_vat_lag,1,C13)</f>
        <v>44</v>
      </c>
      <c r="CO13" s="91" t="n">
        <f aca="false">INDEX(in_sup_advance,1,C13)</f>
        <v>0.5</v>
      </c>
      <c r="CP13" s="88" t="n">
        <f aca="false">CO13*(AL13+AM13)+AO13+INDEX(in_sel_testing,1,C13)*X13</f>
        <v>5030.54029304029</v>
      </c>
      <c r="CQ13" s="88" t="n">
        <f aca="false">(1-CO13)*(AL13+AM13)+AR13+AU13+AZ13</f>
        <v>7666.26556776557</v>
      </c>
      <c r="CR13" s="88" t="n">
        <f aca="false">BB13+BC13+BD13+BF13+BJ13</f>
        <v>429.656350732601</v>
      </c>
      <c r="CS13" s="88" t="n">
        <f aca="false">BK13+BL13</f>
        <v>1277.5</v>
      </c>
      <c r="CT13" s="88" t="n">
        <f aca="false">IF(K13=2,AM13,0)</f>
        <v>0</v>
      </c>
      <c r="CU13" s="85" t="n">
        <f aca="false">IF(K13=2,CO13*AM13*(CN13-0)+(1-CO13)*AM13*(CN13-CJ13),0)</f>
        <v>0</v>
      </c>
      <c r="CV13" s="85" t="n">
        <f aca="false">(CP13-CO13*CT13)*(CM13-0)+(CQ13-(1-CO13)*CT13)*(CM13-CJ13)+CR13*(CM13-CK13)+CS13*(CM13-CL13)</f>
        <v>846219.501391941</v>
      </c>
      <c r="CW13" s="88" t="n">
        <f aca="false">INDEX(in_sel_fin_rate,1,C13)/365*(CU13+CV13)</f>
        <v>185.472767428371</v>
      </c>
      <c r="CX13" s="85" t="n">
        <f aca="false">CP13-IF(CN13&lt;=0,CT13,0)</f>
        <v>5030.54029304029</v>
      </c>
      <c r="CY13" s="85" t="n">
        <f aca="false">CP13+CQ13-IF(CN13&lt;=CJ13,CT13,0)</f>
        <v>12696.8058608059</v>
      </c>
      <c r="CZ13" s="85" t="n">
        <f aca="false">CP13+CQ13+CR13-IF(CN13&lt;=CK13,CT13,0)</f>
        <v>13126.4622115385</v>
      </c>
      <c r="DA13" s="85" t="n">
        <f aca="false">CP13+CQ13+CR13+CS13-IF(CN13&lt;=CL13,CT13,0)</f>
        <v>14403.9622115385</v>
      </c>
      <c r="DB13" s="88" t="n">
        <f aca="false">MAX(CX13,CY13,CZ13,DA13)</f>
        <v>14403.9622115385</v>
      </c>
      <c r="DC13" s="88" t="n">
        <f aca="false">CP13+CQ13+CR13+CS13</f>
        <v>14403.9622115385</v>
      </c>
      <c r="DD13" s="88" t="n">
        <f aca="false">CE13-CH13-CI13-CW13</f>
        <v>1610.54182103317</v>
      </c>
      <c r="DE13" s="87" t="n">
        <f aca="false">IF(CD13&gt;0,DD13/CD13,0)</f>
        <v>0.0947234899352314</v>
      </c>
      <c r="DF13" s="86" t="n">
        <f aca="false">IF(CD13&gt;0,(BM13+CI13+CW13)/(CD13*(1-CG13)),0)</f>
        <v>0.902094584046273</v>
      </c>
      <c r="DG13" s="90" t="n">
        <f aca="false">IF(BW13&gt;0,BM13/BW13,0)</f>
        <v>0.224521980092772</v>
      </c>
      <c r="DH13" s="90" t="n">
        <f aca="false">IF(BW13&gt;0,CD13/BW13,0)</f>
        <v>0.2848</v>
      </c>
      <c r="DI13" s="90" t="n">
        <f aca="false">IF(AI13&gt;0,(AI13*IF(K13=3,INDEX(in_sup_vat_rate,1,C13),0)+AV13*BA13+(BC13+BD13)*AV13/AY13+AZ13*AI13/AL13)/AI13,0)</f>
        <v>0.011742389834937</v>
      </c>
      <c r="DJ13" s="90" t="n">
        <f aca="false">IF(AJ13&gt;0,(AJ13*IF(K13=3,INDEX(in_sup_vat_rate,1,C13),0)+AW13*BA13+(BC13+BD13)*AW13/AY13+AZ13*AJ13/AL13)/AJ13,0)</f>
        <v>0.011742389834937</v>
      </c>
      <c r="DK13" s="90" t="n">
        <f aca="false">IF(AK13&gt;0,(AK13*IF(K13=3,INDEX(in_sup_vat_rate,1,C13),0)+AX13*BA13+(BC13+BD13)*AX13/AY13+AZ13*AK13/AL13)/AK13,0)</f>
        <v>0.011742389834937</v>
      </c>
      <c r="DL13" s="90" t="n">
        <f aca="false">IF(Y13&gt;0,(BP13-AI13*(1+DI13))/Y13,0)</f>
        <v>0.0869042703565061</v>
      </c>
      <c r="DM13" s="90" t="n">
        <f aca="false">IF(Z13&gt;0,(BQ13-AJ13*(1+DJ13))/Z13,0)</f>
        <v>0.103769905337289</v>
      </c>
      <c r="DN13" s="90" t="n">
        <f aca="false">IF(AA13&gt;0,(BR13-AK13*(1+DK13))/AA13,0)</f>
        <v>0.0717370880424688</v>
      </c>
      <c r="DO13" s="86" t="n">
        <f aca="false">IF(Y13&gt;0,(CA13*(1-thr_gm_go)*(1-R13)-DL13)/(1+DI13)*I13/((1+AH13)*J13),"")</f>
        <v>7.17040258862021</v>
      </c>
      <c r="DP13" s="86" t="n">
        <f aca="false">IF(Z13&gt;0,(CB13*(1-thr_gm_go)*(1-R13)-DM13)/(1+DJ13)*I13/((1+AH13)*J13),"")</f>
        <v>7.36538370752137</v>
      </c>
      <c r="DQ13" s="86" t="n">
        <f aca="false">IF(AA13&gt;0,(CC13*(1-thr_gm_go)*(1-R13)-DN13)/(1+DK13)*I13/((1+AH13)*J13),"")</f>
        <v>6.77719739346104</v>
      </c>
      <c r="DR13" s="92" t="n">
        <f aca="false">IF(AND(AY13*INDEX(in_cus_mpf_rate,1,C13)&gt;INDEX(in_cus_mpf_min,1,C13),AY13*INDEX(in_cus_mpf_rate,1,C13)&lt;INDEX(in_cus_mpf_max,1,C13)),INDEX(in_cus_mpf_rate,1,C13),0)</f>
        <v>0</v>
      </c>
      <c r="DS13" s="88" t="n">
        <f aca="false">IF(AZ13&gt;INDEX(in_oce_ins_min,1,C13),INDEX(in_oce_ins_rate,1,C13)*(1+INDEX(in_oce_ins_uplift,1,C13))*AL13,0)</f>
        <v>0</v>
      </c>
      <c r="DT13" s="88" t="n">
        <f aca="false">(AL13+AN13)*(1+BA13+INDEX(in_cus_hmf,1,C13)+DR13)+DS13</f>
        <v>8071.15693681319</v>
      </c>
      <c r="DU13" s="86" t="n">
        <f aca="false">IF(DT13&gt;0,(CD13*(1-thr_gm_go)-(BM13-DT13))/DT13,0)</f>
        <v>0.919213290406429</v>
      </c>
      <c r="DV13" s="86" t="n">
        <f aca="false">IF(DT13&gt;0,(CD13-(BM13-DT13))/DT13,0)</f>
        <v>1.44585897866117</v>
      </c>
      <c r="DW13" s="87" t="n">
        <f aca="false">(1+AH13)*J13*DU13-1</f>
        <v>-0.126747374113892</v>
      </c>
      <c r="DX13" s="87" t="n">
        <f aca="false">(1+AH13)*J13*DV13-1</f>
        <v>0.373566029728111</v>
      </c>
      <c r="DY13" s="85" t="n">
        <f aca="false">IF(G13&gt;0,(CD13*(1-thr_gm_go)-(BM13-AT13))/G13,"")</f>
        <v>2147.95778846154</v>
      </c>
      <c r="DZ13" s="90" t="n">
        <f aca="false">IF(AB13&gt;0,(AL13+AN13+BB13+BC13+BD13)/AB13,0)</f>
        <v>0.135095615613553</v>
      </c>
      <c r="EA13" s="88" t="n">
        <f aca="false">BM13-DZ13*AB13</f>
        <v>5298.22527472528</v>
      </c>
      <c r="EB13" s="90" t="n">
        <f aca="false">IF(AB13&gt;0,CD13/AB13,0)</f>
        <v>0.283376</v>
      </c>
      <c r="EC13" s="85" t="n">
        <f aca="false">IF(EB13*(1-thr_gm_go)-DZ13&gt;0,EA13/(EB13*(1-thr_gm_go)-DZ13),"n/a")</f>
        <v>68420.3597146845</v>
      </c>
      <c r="ED13" s="85" t="n">
        <f aca="false">IF(EB13-DZ13&gt;0,EA13/(EB13-DZ13),"n/a")</f>
        <v>35731.127192907</v>
      </c>
      <c r="EE13" s="93" t="b">
        <f aca="false">INDEX(cfg_fits,D13,C13)</f>
        <v>1</v>
      </c>
      <c r="EF13" s="87" t="n">
        <f aca="false">IF(F13=4,"",INDEX(cfg_lenutil,D13,C13))</f>
        <v>0.795641240569992</v>
      </c>
      <c r="EG13" s="31" t="str">
        <f aca="false">IF(O13&gt;1,"Check fit (units scaled up)","")</f>
        <v/>
      </c>
    </row>
    <row r="14" customFormat="false" ht="15" hidden="false" customHeight="false" outlineLevel="0" collapsed="false">
      <c r="A14" s="78" t="n">
        <v>1025</v>
      </c>
      <c r="B14" s="9" t="s">
        <v>3162</v>
      </c>
      <c r="C14" s="78" t="n">
        <v>1</v>
      </c>
      <c r="D14" s="78" t="n">
        <v>2</v>
      </c>
      <c r="E14" s="78" t="n">
        <v>5</v>
      </c>
      <c r="F14" s="79" t="n">
        <f aca="false">INDEX(cfg_ct,D14)</f>
        <v>2</v>
      </c>
      <c r="G14" s="79" t="n">
        <f aca="false">INDEX(cfg_n,D14)</f>
        <v>1</v>
      </c>
      <c r="H14" s="79" t="n">
        <f aca="false">INDEX(dest_port,E14)</f>
        <v>4</v>
      </c>
      <c r="I14" s="80" t="n">
        <f aca="false">INDEX(in_fx_cbe,1,C14)*(1-INDEX(in_fx_spread,1,C14))</f>
        <v>54.6</v>
      </c>
      <c r="J14" s="81" t="n">
        <f aca="false">1</f>
        <v>1</v>
      </c>
      <c r="K14" s="82" t="n">
        <f aca="false">INDEX(in_sup_vat_mode,1,C14)</f>
        <v>1</v>
      </c>
      <c r="L14" s="83" t="n">
        <f aca="false">INDEX(in_cus_s301,1,C14)</f>
        <v>0</v>
      </c>
      <c r="M14" s="84" t="n">
        <f aca="false">1</f>
        <v>1</v>
      </c>
      <c r="N14" s="81" t="n">
        <f aca="false">1</f>
        <v>1</v>
      </c>
      <c r="O14" s="81" t="n">
        <f aca="false">1</f>
        <v>1</v>
      </c>
      <c r="P14" s="81" t="n">
        <f aca="false">1</f>
        <v>1</v>
      </c>
      <c r="Q14" s="81" t="n">
        <f aca="false">1</f>
        <v>1</v>
      </c>
      <c r="R14" s="83" t="n">
        <f aca="false">INDEX(in_sel_damage,1,C14)</f>
        <v>0.005</v>
      </c>
      <c r="S14" s="83" t="n">
        <f aca="false">INDEX(in_mkt_dist_margin,1,C14)</f>
        <v>0.2</v>
      </c>
      <c r="T14" s="83" t="n">
        <f aca="false">INDEX(in_mkt_eflute_disc,1,C14)</f>
        <v>0.15</v>
      </c>
      <c r="U14" s="82" t="n">
        <f aca="false">INDEX(in_sel_credit_days,1,C14)</f>
        <v>30</v>
      </c>
      <c r="V14" s="81" t="n">
        <f aca="false">1</f>
        <v>1</v>
      </c>
      <c r="W14" s="83" t="n">
        <f aca="false">INDEX(in_sel_commission,1,C14)</f>
        <v>0.03</v>
      </c>
      <c r="X14" s="82" t="n">
        <f aca="false">1</f>
        <v>1</v>
      </c>
      <c r="Y14" s="85" t="n">
        <f aca="false">INDEX(cfg_u_3464,D14,C14)*O14</f>
        <v>20000</v>
      </c>
      <c r="Z14" s="85" t="n">
        <f aca="false">INDEX(cfg_u_3463,D14,C14)*O14</f>
        <v>20000</v>
      </c>
      <c r="AA14" s="85" t="n">
        <f aca="false">INDEX(cfg_u_3460,D14,C14)*O14</f>
        <v>20000</v>
      </c>
      <c r="AB14" s="85" t="n">
        <f aca="false">Y14+Z14+AA14</f>
        <v>60000</v>
      </c>
      <c r="AC14" s="86" t="n">
        <f aca="false">Y14*INDEX(lg_vpu_3464,C14)</f>
        <v>13.3386</v>
      </c>
      <c r="AD14" s="86" t="n">
        <f aca="false">Z14*INDEX(lg_vpu_3463,C14)</f>
        <v>16.3176</v>
      </c>
      <c r="AE14" s="86" t="n">
        <f aca="false">AA14*INDEX(lg_vpu_3460,C14)</f>
        <v>10.6596</v>
      </c>
      <c r="AF14" s="86" t="n">
        <f aca="false">AC14+AD14+AE14</f>
        <v>40.3158</v>
      </c>
      <c r="AG14" s="85" t="n">
        <f aca="false">Y14*INDEX(lg_kpu_3464,C14)+Z14*INDEX(lg_kpu_3463,C14)+AA14*INDEX(lg_kpu_3460,C14)</f>
        <v>9855.3664</v>
      </c>
      <c r="AH14" s="87" t="n">
        <f aca="false">INDEX(in_sup_requote,1,C14)</f>
        <v>-0.05</v>
      </c>
      <c r="AI14" s="88" t="n">
        <f aca="false">Y14*q_price_3464*(1+AH14)*J14/I14</f>
        <v>2910.89743589744</v>
      </c>
      <c r="AJ14" s="88" t="n">
        <f aca="false">Z14*q_price_3463*(1+AH14)*J14/I14</f>
        <v>2749.08424908425</v>
      </c>
      <c r="AK14" s="88" t="n">
        <f aca="false">AA14*q_price_3460*(1+AH14)*J14/I14</f>
        <v>2401.0989010989</v>
      </c>
      <c r="AL14" s="88" t="n">
        <f aca="false">AI14+AJ14+AK14</f>
        <v>8061.08058608059</v>
      </c>
      <c r="AM14" s="88" t="n">
        <f aca="false">IF(OR(K14=2,K14=3),AL14*INDEX(in_sup_vat_rate,1,C14),0)</f>
        <v>0</v>
      </c>
      <c r="AN14" s="88" t="n">
        <f aca="false">IF(K14=3,AM14,0)</f>
        <v>0</v>
      </c>
      <c r="AO14" s="88" t="n">
        <f aca="false">INDEX(in_sup_tooling_egp,1,C14)/I14</f>
        <v>0</v>
      </c>
      <c r="AP14" s="88" t="n">
        <f aca="false">IF(F14=4,INDEX(in_ori_lcl_truck,1,C14)*V14/I14+INDEX(in_ori_lcl_cfs_o,1,C14),G14*(IF(F14=1,INDEX(in_ori_truck_20,1,C14),INDEX(in_ori_truck_40,1,C14))*V14/I14+INDEX(in_ori_terminal,1,C14)+IF(F14=1,INDEX(in_ori_othc_20,1,C14),INDEX(in_ori_othc_40,1,C14))*(1-INDEX(in_ori_othc_in_freight,1,C14))+INDEX(in_ori_seal,1,C14)+INDEX(in_ori_inspection,1,C14)+INDEX(in_ori_dd_days,1,C14)*IF(F14=1,INDEX(in_ori_dd_20,1,C14),INDEX(in_ori_dd_40,1,C14))+INDEX(in_ori_loading_egp,1,C14)/I14))</f>
        <v>457.465201465201</v>
      </c>
      <c r="AQ14" s="88" t="n">
        <f aca="false">(INDEX(in_ori_clearance,1,C14)+INDEX(in_ori_coo,1,C14))/I14+INDEX(in_ori_bl_fee,1,C14)+INDEX(in_ori_fwd_fee,1,C14)+INDEX(in_ori_qc,1,C14)+INDEX(in_ori_wires,1,C14)*INDEX(in_ori_wire_fee,1,C14)</f>
        <v>298.260073260073</v>
      </c>
      <c r="AR14" s="88" t="n">
        <f aca="false">AP14+AQ14</f>
        <v>755.725274725275</v>
      </c>
      <c r="AS14" s="85" t="n">
        <f aca="false">INDEX(tbl_port_diff,H14,C14)</f>
        <v>0</v>
      </c>
      <c r="AT14" s="88" t="n">
        <f aca="false">IF(F14=4,MAX(AF14*INDEX(in_oce_lcl_factor,1,C14),AG14/1000,1)*INDEX(in_oce_lcl_rate,1,C14)*M14,G14*(INDEX(tbl_ocean_rate,MIN(F14,3),C14)+AS14)*M14)</f>
        <v>2800</v>
      </c>
      <c r="AU14" s="88" t="n">
        <f aca="false">AT14+INDEX(in_oce_ams,1,C14)</f>
        <v>2830</v>
      </c>
      <c r="AV14" s="88" t="n">
        <f aca="false">AI14*(1+IF(K14=3,INDEX(in_sup_vat_rate,1,C14),0))+AO14*Y14/AB14</f>
        <v>2910.89743589744</v>
      </c>
      <c r="AW14" s="88" t="n">
        <f aca="false">AJ14*(1+IF(K14=3,INDEX(in_sup_vat_rate,1,C14),0))+AO14*Z14/AB14</f>
        <v>2749.08424908425</v>
      </c>
      <c r="AX14" s="88" t="n">
        <f aca="false">AK14*(1+IF(K14=3,INDEX(in_sup_vat_rate,1,C14),0))+AO14*AA14/AB14</f>
        <v>2401.0989010989</v>
      </c>
      <c r="AY14" s="88" t="n">
        <f aca="false">AV14+AW14+AX14</f>
        <v>8061.08058608059</v>
      </c>
      <c r="AZ14" s="88" t="n">
        <f aca="false">MAX(INDEX(in_oce_ins_min,1,C14),INDEX(in_oce_ins_rate,1,C14)*(1+INDEX(in_oce_ins_uplift,1,C14))*(AL14+AO14+AR14+AU14))*(1-INDEX(in_oce_ins_in_other,1,C14))</f>
        <v>50</v>
      </c>
      <c r="BA14" s="87" t="n">
        <f aca="false">INDEX(in_cus_mfn,1,C14)+L14</f>
        <v>0</v>
      </c>
      <c r="BB14" s="88" t="n">
        <f aca="false">AY14*BA14</f>
        <v>0</v>
      </c>
      <c r="BC14" s="88" t="n">
        <f aca="false">MIN(MAX(AY14*INDEX(in_cus_mpf_rate,1,C14),INDEX(in_cus_mpf_min,1,C14)),INDEX(in_cus_mpf_max,1,C14))</f>
        <v>34.58</v>
      </c>
      <c r="BD14" s="88" t="n">
        <f aca="false">AY14*INDEX(in_cus_hmf,1,C14)</f>
        <v>10.0763507326007</v>
      </c>
      <c r="BE14" s="88" t="n">
        <f aca="false">MAX(INDEX(in_cus_stb_min,1,C14),INDEX(in_cus_stb_rate,1,C14)/1000*(AY14+BB14+BC14+BD14))</f>
        <v>50</v>
      </c>
      <c r="BF14" s="88" t="n">
        <f aca="false">INDEX(in_cus_broker,1,C14)+INDEX(in_cus_isf,1,C14)+INDEX(in_cus_do_fee,1,C14)+BE14+INDEX(in_cus_isf_bond,1,C14)</f>
        <v>385</v>
      </c>
      <c r="BG14" s="88" t="n">
        <f aca="false">IF(H14=1,INDEX(in_cus_cfc,1,C14)*INDEX(ct_teu,F14)*G14*(1-INDEX(in_cus_cfc_in_freight,1,C14)),0)</f>
        <v>0</v>
      </c>
      <c r="BH14" s="88" t="n">
        <f aca="false">IF(F14=4,1,G14)*(INDEX(in_cus_exam,1,C14)+INDEX(in_cus_exam_dray,1,C14))</f>
        <v>0</v>
      </c>
      <c r="BI14" s="88" t="n">
        <f aca="false">IF(F14=4,1,G14)*INDEX(in_cus_dem_days,1,C14)*INDEX(in_cus_dem_rate,1,C14)</f>
        <v>0</v>
      </c>
      <c r="BJ14" s="88" t="n">
        <f aca="false">BG14+BH14+BI14</f>
        <v>0</v>
      </c>
      <c r="BK14" s="88" t="n">
        <f aca="false">IF(F14=4,(INDEX(in_dra_lcl_cfs_d,1,C14)+INDEX(in_dra_lcl_deliv,1,C14))*P14,G14*(INDEX(tbl_dest_line,E14,C14)*P14*(1+INDEX(in_dra_fsc,1,C14))+INDEX(tbl_dest_tolls,E14,C14)+INDEX(in_dra_chassis_days,1,C14)*INDEX(tbl_dest_chassis,E14,C14)*(1-INDEX(in_dra_chassis_in_dray,1,C14))+INDEX(in_dra_wait_hours,1,C14)*INDEX(in_dra_wait_rate,1,C14)+INDEX(in_dra_split,1,C14)+INDEX(in_dra_prepull,1,C14)+INDEX(in_dra_dryrun,1,C14)))</f>
        <v>1424</v>
      </c>
      <c r="BL14" s="88" t="n">
        <f aca="false">IF(F14=4,0,G14*IF(F14=1,INDEX(in_dra_unload_20,1,C14),INDEX(in_dra_unload_40,1,C14))*Q14*(1-INDEX(in_dra_unload_in_dray,1,C14)))</f>
        <v>250</v>
      </c>
      <c r="BM14" s="88" t="n">
        <f aca="false">AL14+AN14+AO14+AR14+AU14+AZ14+BB14+BC14+BD14+BF14+BJ14+BK14+BL14</f>
        <v>13800.4622115385</v>
      </c>
      <c r="BN14" s="88" t="n">
        <f aca="false">AP14+AU14+BJ14+BK14+BL14</f>
        <v>4961.4652014652</v>
      </c>
      <c r="BO14" s="88" t="n">
        <f aca="false">AQ14+BF14</f>
        <v>683.260073260073</v>
      </c>
      <c r="BP14" s="88" t="n">
        <f aca="false">AI14*(1+IF(K14=3,INDEX(in_sup_vat_rate,1,C14),0))+AO14*Y14/AB14+AV14*BA14+(BC14+BD14)*AV14/AY14+AZ14*AI14/AL14+BN14*AC14/AF14+BO14*Y14/AB14</f>
        <v>4814.34691677315</v>
      </c>
      <c r="BQ14" s="88" t="n">
        <f aca="false">AJ14*(1+IF(K14=3,INDEX(in_sup_vat_rate,1,C14),0))+AO14*Z14/AB14+AW14*BA14+(BC14+BD14)*AW14/AY14+AZ14*AJ14/AL14+BN14*AD14/AF14+BO14*Z14/AB14</f>
        <v>5017.24438561227</v>
      </c>
      <c r="BR14" s="88" t="n">
        <f aca="false">AK14*(1+IF(K14=3,INDEX(in_sup_vat_rate,1,C14),0))+AO14*AA14/AB14+AX14*BA14+(BC14+BD14)*AX14/AY14+AZ14*AK14/AL14+BN14*AE14/AF14+BO14*AA14/AB14</f>
        <v>3968.87090915304</v>
      </c>
      <c r="BS14" s="89" t="n">
        <f aca="false">BP14+BQ14+BR14-BM14</f>
        <v>0</v>
      </c>
      <c r="BT14" s="85" t="n">
        <f aca="false">Y14*(1-R14)</f>
        <v>19900</v>
      </c>
      <c r="BU14" s="85" t="n">
        <f aca="false">Z14*(1-R14)</f>
        <v>19900</v>
      </c>
      <c r="BV14" s="85" t="n">
        <f aca="false">AA14*(1-R14)</f>
        <v>19900</v>
      </c>
      <c r="BW14" s="85" t="n">
        <f aca="false">BT14+BU14+BV14</f>
        <v>59700</v>
      </c>
      <c r="BX14" s="90" t="n">
        <f aca="false">IF(BT14&gt;0,BP14/BT14,0)</f>
        <v>0.241926980742369</v>
      </c>
      <c r="BY14" s="90" t="n">
        <f aca="false">IF(BU14&gt;0,BQ14/BU14,0)</f>
        <v>0.252122833447853</v>
      </c>
      <c r="BZ14" s="90" t="n">
        <f aca="false">IF(BV14&gt;0,BR14/BV14,0)</f>
        <v>0.19944074920367</v>
      </c>
      <c r="CA14" s="90" t="n">
        <f aca="false">INDEX(in_mkt_listing_3464,1,C14)*(1-IF(sku_flute_3464="B",T14,0))*(1-S14)*N14</f>
        <v>0.2856</v>
      </c>
      <c r="CB14" s="90" t="n">
        <f aca="false">INDEX(in_mkt_listing_3463,1,C14)*(1-IF(sku_flute_3463="B",T14,0))*(1-S14)*N14</f>
        <v>0.3128</v>
      </c>
      <c r="CC14" s="90" t="n">
        <f aca="false">INDEX(in_mkt_listing_3460,1,C14)*(1-IF(sku_flute_3460="B",T14,0))*(1-S14)*N14</f>
        <v>0.256</v>
      </c>
      <c r="CD14" s="88" t="n">
        <f aca="false">BT14*CA14+BU14*CB14+BV14*CC14</f>
        <v>17002.56</v>
      </c>
      <c r="CE14" s="88" t="n">
        <f aca="false">CD14-BM14</f>
        <v>3202.09778846154</v>
      </c>
      <c r="CF14" s="87" t="n">
        <f aca="false">IF(CD14&gt;0,CE14/CD14,0)</f>
        <v>0.188330333106399</v>
      </c>
      <c r="CG14" s="87" t="n">
        <f aca="false">W14+INDEX(in_sel_processing,1,C14)+INDEX(in_sel_bad_debt,1,C14)</f>
        <v>0.0325</v>
      </c>
      <c r="CH14" s="88" t="n">
        <f aca="false">CD14*CG14</f>
        <v>552.5832</v>
      </c>
      <c r="CI14" s="88" t="n">
        <f aca="false">INDEX(in_sel_testing,1,C14)*X14+INDEX(in_sel_admin,1,C14)</f>
        <v>1250</v>
      </c>
      <c r="CJ14" s="79" t="n">
        <f aca="false">INDEX(in_sup_lead_days,1,C14)</f>
        <v>14</v>
      </c>
      <c r="CK14" s="79" t="n">
        <f aca="false">CJ14+INDEX(in_oce_transit,1,C14)+IF(F14=4,INDEX(in_oce_lcl_extra_days,1,C14),0)</f>
        <v>39</v>
      </c>
      <c r="CL14" s="79" t="n">
        <f aca="false">CK14+2+INDEX(in_cus_dem_days,1,C14)</f>
        <v>41</v>
      </c>
      <c r="CM14" s="79" t="n">
        <f aca="false">CL14+U14</f>
        <v>71</v>
      </c>
      <c r="CN14" s="79" t="n">
        <f aca="false">CJ14+INDEX(in_sup_vat_lag,1,C14)</f>
        <v>44</v>
      </c>
      <c r="CO14" s="91" t="n">
        <f aca="false">INDEX(in_sup_advance,1,C14)</f>
        <v>0.5</v>
      </c>
      <c r="CP14" s="88" t="n">
        <f aca="false">CO14*(AL14+AM14)+AO14+INDEX(in_sel_testing,1,C14)*X14</f>
        <v>5030.54029304029</v>
      </c>
      <c r="CQ14" s="88" t="n">
        <f aca="false">(1-CO14)*(AL14+AM14)+AR14+AU14+AZ14</f>
        <v>7666.26556776557</v>
      </c>
      <c r="CR14" s="88" t="n">
        <f aca="false">BB14+BC14+BD14+BF14+BJ14</f>
        <v>429.656350732601</v>
      </c>
      <c r="CS14" s="88" t="n">
        <f aca="false">BK14+BL14</f>
        <v>1674</v>
      </c>
      <c r="CT14" s="88" t="n">
        <f aca="false">IF(K14=2,AM14,0)</f>
        <v>0</v>
      </c>
      <c r="CU14" s="85" t="n">
        <f aca="false">IF(K14=2,CO14*AM14*(CN14-0)+(1-CO14)*AM14*(CN14-CJ14),0)</f>
        <v>0</v>
      </c>
      <c r="CV14" s="85" t="n">
        <f aca="false">(CP14-CO14*CT14)*(CM14-0)+(CQ14-(1-CO14)*CT14)*(CM14-CJ14)+CR14*(CM14-CK14)+CS14*(CM14-CL14)</f>
        <v>858114.501391941</v>
      </c>
      <c r="CW14" s="88" t="n">
        <f aca="false">INDEX(in_sel_fin_rate,1,C14)/365*(CU14+CV14)</f>
        <v>188.079890716042</v>
      </c>
      <c r="CX14" s="85" t="n">
        <f aca="false">CP14-IF(CN14&lt;=0,CT14,0)</f>
        <v>5030.54029304029</v>
      </c>
      <c r="CY14" s="85" t="n">
        <f aca="false">CP14+CQ14-IF(CN14&lt;=CJ14,CT14,0)</f>
        <v>12696.8058608059</v>
      </c>
      <c r="CZ14" s="85" t="n">
        <f aca="false">CP14+CQ14+CR14-IF(CN14&lt;=CK14,CT14,0)</f>
        <v>13126.4622115385</v>
      </c>
      <c r="DA14" s="85" t="n">
        <f aca="false">CP14+CQ14+CR14+CS14-IF(CN14&lt;=CL14,CT14,0)</f>
        <v>14800.4622115385</v>
      </c>
      <c r="DB14" s="88" t="n">
        <f aca="false">MAX(CX14,CY14,CZ14,DA14)</f>
        <v>14800.4622115385</v>
      </c>
      <c r="DC14" s="88" t="n">
        <f aca="false">CP14+CQ14+CR14+CS14</f>
        <v>14800.4622115385</v>
      </c>
      <c r="DD14" s="88" t="n">
        <f aca="false">CE14-CH14-CI14-CW14</f>
        <v>1211.4346977455</v>
      </c>
      <c r="DE14" s="87" t="n">
        <f aca="false">IF(CD14&gt;0,DD14/CD14,0)</f>
        <v>0.0712501351411491</v>
      </c>
      <c r="DF14" s="86" t="n">
        <f aca="false">IF(CD14&gt;0,(BM14+CI14+CW14)/(CD14*(1-CG14)),0)</f>
        <v>0.926356449466513</v>
      </c>
      <c r="DG14" s="90" t="n">
        <f aca="false">IF(BW14&gt;0,BM14/BW14,0)</f>
        <v>0.231163521131298</v>
      </c>
      <c r="DH14" s="90" t="n">
        <f aca="false">IF(BW14&gt;0,CD14/BW14,0)</f>
        <v>0.2848</v>
      </c>
      <c r="DI14" s="90" t="n">
        <f aca="false">IF(AI14&gt;0,(AI14*IF(K14=3,INDEX(in_sup_vat_rate,1,C14),0)+AV14*BA14+(BC14+BD14)*AV14/AY14+AZ14*AI14/AL14)/AI14,0)</f>
        <v>0.011742389834937</v>
      </c>
      <c r="DJ14" s="90" t="n">
        <f aca="false">IF(AJ14&gt;0,(AJ14*IF(K14=3,INDEX(in_sup_vat_rate,1,C14),0)+AW14*BA14+(BC14+BD14)*AW14/AY14+AZ14*AJ14/AL14)/AJ14,0)</f>
        <v>0.011742389834937</v>
      </c>
      <c r="DK14" s="90" t="n">
        <f aca="false">IF(AK14&gt;0,(AK14*IF(K14=3,INDEX(in_sup_vat_rate,1,C14),0)+AX14*BA14+(BC14+BD14)*AX14/AY14+AZ14*AK14/AL14)/AK14,0)</f>
        <v>0.011742389834937</v>
      </c>
      <c r="DL14" s="90" t="n">
        <f aca="false">IF(Y14&gt;0,(BP14-AI14*(1+DI14))/Y14,0)</f>
        <v>0.0934634294206944</v>
      </c>
      <c r="DM14" s="90" t="n">
        <f aca="false">IF(Z14&gt;0,(BQ14-AJ14*(1+DJ14))/Z14,0)</f>
        <v>0.11179396587931</v>
      </c>
      <c r="DN14" s="90" t="n">
        <f aca="false">IF(AA14&gt;0,(BR14-AK14*(1+DK14))/AA14,0)</f>
        <v>0.0769788684362599</v>
      </c>
      <c r="DO14" s="86" t="n">
        <f aca="false">IF(Y14&gt;0,(CA14*(1-thr_gm_go)*(1-R14)-DL14)/(1+DI14)*I14/((1+AH14)*J14),"")</f>
        <v>6.79779881069284</v>
      </c>
      <c r="DP14" s="86" t="n">
        <f aca="false">IF(Z14&gt;0,(CB14*(1-thr_gm_go)*(1-R14)-DM14)/(1+DJ14)*I14/((1+AH14)*J14),"")</f>
        <v>6.90956380088142</v>
      </c>
      <c r="DQ14" s="86" t="n">
        <f aca="false">IF(AA14&gt;0,(CC14*(1-thr_gm_go)*(1-R14)-DN14)/(1+DK14)*I14/((1+AH14)*J14),"")</f>
        <v>6.47942946945142</v>
      </c>
      <c r="DR14" s="92" t="n">
        <f aca="false">IF(AND(AY14*INDEX(in_cus_mpf_rate,1,C14)&gt;INDEX(in_cus_mpf_min,1,C14),AY14*INDEX(in_cus_mpf_rate,1,C14)&lt;INDEX(in_cus_mpf_max,1,C14)),INDEX(in_cus_mpf_rate,1,C14),0)</f>
        <v>0</v>
      </c>
      <c r="DS14" s="88" t="n">
        <f aca="false">IF(AZ14&gt;INDEX(in_oce_ins_min,1,C14),INDEX(in_oce_ins_rate,1,C14)*(1+INDEX(in_oce_ins_uplift,1,C14))*AL14,0)</f>
        <v>0</v>
      </c>
      <c r="DT14" s="88" t="n">
        <f aca="false">(AL14+AN14)*(1+BA14+INDEX(in_cus_hmf,1,C14)+DR14)+DS14</f>
        <v>8071.15693681319</v>
      </c>
      <c r="DU14" s="86" t="n">
        <f aca="false">IF(DT14&gt;0,(CD14*(1-thr_gm_go)-(BM14-DT14))/DT14,0)</f>
        <v>0.870087743337516</v>
      </c>
      <c r="DV14" s="86" t="n">
        <f aca="false">IF(DT14&gt;0,(CD14-(BM14-DT14))/DT14,0)</f>
        <v>1.39673343159226</v>
      </c>
      <c r="DW14" s="87" t="n">
        <f aca="false">(1+AH14)*J14*DU14-1</f>
        <v>-0.17341664382936</v>
      </c>
      <c r="DX14" s="87" t="n">
        <f aca="false">(1+AH14)*J14*DV14-1</f>
        <v>0.326896760012643</v>
      </c>
      <c r="DY14" s="85" t="n">
        <f aca="false">IF(G14&gt;0,(CD14*(1-thr_gm_go)-(BM14-AT14))/G14,"")</f>
        <v>1751.45778846154</v>
      </c>
      <c r="DZ14" s="90" t="n">
        <f aca="false">IF(AB14&gt;0,(AL14+AN14+BB14+BC14+BD14)/AB14,0)</f>
        <v>0.135095615613553</v>
      </c>
      <c r="EA14" s="88" t="n">
        <f aca="false">BM14-DZ14*AB14</f>
        <v>5694.72527472528</v>
      </c>
      <c r="EB14" s="90" t="n">
        <f aca="false">IF(AB14&gt;0,CD14/AB14,0)</f>
        <v>0.283376</v>
      </c>
      <c r="EC14" s="85" t="n">
        <f aca="false">IF(EB14*(1-thr_gm_go)-DZ14&gt;0,EA14/(EB14*(1-thr_gm_go)-DZ14),"n/a")</f>
        <v>73540.6917542238</v>
      </c>
      <c r="ED14" s="85" t="n">
        <f aca="false">IF(EB14-DZ14&gt;0,EA14/(EB14-DZ14),"n/a")</f>
        <v>38405.1154054453</v>
      </c>
      <c r="EE14" s="93" t="b">
        <f aca="false">INDEX(cfg_fits,D14,C14)</f>
        <v>1</v>
      </c>
      <c r="EF14" s="87" t="n">
        <f aca="false">IF(F14=4,"",INDEX(cfg_lenutil,D14,C14))</f>
        <v>0.795641240569992</v>
      </c>
      <c r="EG14" s="31" t="str">
        <f aca="false">IF(O14&gt;1,"Check fit (units scaled up)","")</f>
        <v/>
      </c>
    </row>
    <row r="15" customFormat="false" ht="15" hidden="false" customHeight="false" outlineLevel="0" collapsed="false">
      <c r="A15" s="78" t="n">
        <v>1031</v>
      </c>
      <c r="B15" s="9" t="s">
        <v>3163</v>
      </c>
      <c r="C15" s="78" t="n">
        <v>1</v>
      </c>
      <c r="D15" s="78" t="n">
        <v>3</v>
      </c>
      <c r="E15" s="78" t="n">
        <v>1</v>
      </c>
      <c r="F15" s="79" t="n">
        <f aca="false">INDEX(cfg_ct,D15)</f>
        <v>1</v>
      </c>
      <c r="G15" s="79" t="n">
        <f aca="false">INDEX(cfg_n,D15)</f>
        <v>2</v>
      </c>
      <c r="H15" s="79" t="n">
        <f aca="false">INDEX(dest_port,E15)</f>
        <v>1</v>
      </c>
      <c r="I15" s="80" t="n">
        <f aca="false">INDEX(in_fx_cbe,1,C15)*(1-INDEX(in_fx_spread,1,C15))</f>
        <v>54.6</v>
      </c>
      <c r="J15" s="81" t="n">
        <f aca="false">1</f>
        <v>1</v>
      </c>
      <c r="K15" s="82" t="n">
        <f aca="false">INDEX(in_sup_vat_mode,1,C15)</f>
        <v>1</v>
      </c>
      <c r="L15" s="83" t="n">
        <f aca="false">INDEX(in_cus_s301,1,C15)</f>
        <v>0</v>
      </c>
      <c r="M15" s="84" t="n">
        <f aca="false">1</f>
        <v>1</v>
      </c>
      <c r="N15" s="81" t="n">
        <f aca="false">1</f>
        <v>1</v>
      </c>
      <c r="O15" s="81" t="n">
        <f aca="false">1</f>
        <v>1</v>
      </c>
      <c r="P15" s="81" t="n">
        <f aca="false">1</f>
        <v>1</v>
      </c>
      <c r="Q15" s="81" t="n">
        <f aca="false">1</f>
        <v>1</v>
      </c>
      <c r="R15" s="83" t="n">
        <f aca="false">INDEX(in_sel_damage,1,C15)</f>
        <v>0.005</v>
      </c>
      <c r="S15" s="83" t="n">
        <f aca="false">INDEX(in_mkt_dist_margin,1,C15)</f>
        <v>0.2</v>
      </c>
      <c r="T15" s="83" t="n">
        <f aca="false">INDEX(in_mkt_eflute_disc,1,C15)</f>
        <v>0.15</v>
      </c>
      <c r="U15" s="82" t="n">
        <f aca="false">INDEX(in_sel_credit_days,1,C15)</f>
        <v>30</v>
      </c>
      <c r="V15" s="81" t="n">
        <f aca="false">1</f>
        <v>1</v>
      </c>
      <c r="W15" s="83" t="n">
        <f aca="false">INDEX(in_sel_commission,1,C15)</f>
        <v>0.03</v>
      </c>
      <c r="X15" s="82" t="n">
        <f aca="false">1</f>
        <v>1</v>
      </c>
      <c r="Y15" s="85" t="n">
        <f aca="false">INDEX(cfg_u_3464,D15,C15)*O15</f>
        <v>20000</v>
      </c>
      <c r="Z15" s="85" t="n">
        <f aca="false">INDEX(cfg_u_3463,D15,C15)*O15</f>
        <v>20000</v>
      </c>
      <c r="AA15" s="85" t="n">
        <f aca="false">INDEX(cfg_u_3460,D15,C15)*O15</f>
        <v>20000</v>
      </c>
      <c r="AB15" s="85" t="n">
        <f aca="false">Y15+Z15+AA15</f>
        <v>60000</v>
      </c>
      <c r="AC15" s="86" t="n">
        <f aca="false">Y15*INDEX(lg_vpu_3464,C15)</f>
        <v>13.3386</v>
      </c>
      <c r="AD15" s="86" t="n">
        <f aca="false">Z15*INDEX(lg_vpu_3463,C15)</f>
        <v>16.3176</v>
      </c>
      <c r="AE15" s="86" t="n">
        <f aca="false">AA15*INDEX(lg_vpu_3460,C15)</f>
        <v>10.6596</v>
      </c>
      <c r="AF15" s="86" t="n">
        <f aca="false">AC15+AD15+AE15</f>
        <v>40.3158</v>
      </c>
      <c r="AG15" s="85" t="n">
        <f aca="false">Y15*INDEX(lg_kpu_3464,C15)+Z15*INDEX(lg_kpu_3463,C15)+AA15*INDEX(lg_kpu_3460,C15)</f>
        <v>9855.3664</v>
      </c>
      <c r="AH15" s="87" t="n">
        <f aca="false">INDEX(in_sup_requote,1,C15)</f>
        <v>-0.05</v>
      </c>
      <c r="AI15" s="88" t="n">
        <f aca="false">Y15*q_price_3464*(1+AH15)*J15/I15</f>
        <v>2910.89743589744</v>
      </c>
      <c r="AJ15" s="88" t="n">
        <f aca="false">Z15*q_price_3463*(1+AH15)*J15/I15</f>
        <v>2749.08424908425</v>
      </c>
      <c r="AK15" s="88" t="n">
        <f aca="false">AA15*q_price_3460*(1+AH15)*J15/I15</f>
        <v>2401.0989010989</v>
      </c>
      <c r="AL15" s="88" t="n">
        <f aca="false">AI15+AJ15+AK15</f>
        <v>8061.08058608059</v>
      </c>
      <c r="AM15" s="88" t="n">
        <f aca="false">IF(OR(K15=2,K15=3),AL15*INDEX(in_sup_vat_rate,1,C15),0)</f>
        <v>0</v>
      </c>
      <c r="AN15" s="88" t="n">
        <f aca="false">IF(K15=3,AM15,0)</f>
        <v>0</v>
      </c>
      <c r="AO15" s="88" t="n">
        <f aca="false">INDEX(in_sup_tooling_egp,1,C15)/I15</f>
        <v>0</v>
      </c>
      <c r="AP15" s="88" t="n">
        <f aca="false">IF(F15=4,INDEX(in_ori_lcl_truck,1,C15)*V15/I15+INDEX(in_ori_lcl_cfs_o,1,C15),G15*(IF(F15=1,INDEX(in_ori_truck_20,1,C15),INDEX(in_ori_truck_40,1,C15))*V15/I15+INDEX(in_ori_terminal,1,C15)+IF(F15=1,INDEX(in_ori_othc_20,1,C15),INDEX(in_ori_othc_40,1,C15))*(1-INDEX(in_ori_othc_in_freight,1,C15))+INDEX(in_ori_seal,1,C15)+INDEX(in_ori_inspection,1,C15)+INDEX(in_ori_dd_days,1,C15)*IF(F15=1,INDEX(in_ori_dd_20,1,C15),INDEX(in_ori_dd_40,1,C15))+INDEX(in_ori_loading_egp,1,C15)/I15))</f>
        <v>681.355311355311</v>
      </c>
      <c r="AQ15" s="88" t="n">
        <f aca="false">(INDEX(in_ori_clearance,1,C15)+INDEX(in_ori_coo,1,C15))/I15+INDEX(in_ori_bl_fee,1,C15)+INDEX(in_ori_fwd_fee,1,C15)+INDEX(in_ori_qc,1,C15)+INDEX(in_ori_wires,1,C15)*INDEX(in_ori_wire_fee,1,C15)</f>
        <v>298.260073260073</v>
      </c>
      <c r="AR15" s="88" t="n">
        <f aca="false">AP15+AQ15</f>
        <v>979.615384615385</v>
      </c>
      <c r="AS15" s="85" t="n">
        <f aca="false">INDEX(tbl_port_diff,H15,C15)</f>
        <v>0</v>
      </c>
      <c r="AT15" s="88" t="n">
        <f aca="false">IF(F15=4,MAX(AF15*INDEX(in_oce_lcl_factor,1,C15),AG15/1000,1)*INDEX(in_oce_lcl_rate,1,C15)*M15,G15*(INDEX(tbl_ocean_rate,MIN(F15,3),C15)+AS15)*M15)</f>
        <v>4000</v>
      </c>
      <c r="AU15" s="88" t="n">
        <f aca="false">AT15+INDEX(in_oce_ams,1,C15)</f>
        <v>4030</v>
      </c>
      <c r="AV15" s="88" t="n">
        <f aca="false">AI15*(1+IF(K15=3,INDEX(in_sup_vat_rate,1,C15),0))+AO15*Y15/AB15</f>
        <v>2910.89743589744</v>
      </c>
      <c r="AW15" s="88" t="n">
        <f aca="false">AJ15*(1+IF(K15=3,INDEX(in_sup_vat_rate,1,C15),0))+AO15*Z15/AB15</f>
        <v>2749.08424908425</v>
      </c>
      <c r="AX15" s="88" t="n">
        <f aca="false">AK15*(1+IF(K15=3,INDEX(in_sup_vat_rate,1,C15),0))+AO15*AA15/AB15</f>
        <v>2401.0989010989</v>
      </c>
      <c r="AY15" s="88" t="n">
        <f aca="false">AV15+AW15+AX15</f>
        <v>8061.08058608059</v>
      </c>
      <c r="AZ15" s="88" t="n">
        <f aca="false">MAX(INDEX(in_oce_ins_min,1,C15),INDEX(in_oce_ins_rate,1,C15)*(1+INDEX(in_oce_ins_uplift,1,C15))*(AL15+AO15+AR15+AU15))*(1-INDEX(in_oce_ins_in_other,1,C15))</f>
        <v>50</v>
      </c>
      <c r="BA15" s="87" t="n">
        <f aca="false">INDEX(in_cus_mfn,1,C15)+L15</f>
        <v>0</v>
      </c>
      <c r="BB15" s="88" t="n">
        <f aca="false">AY15*BA15</f>
        <v>0</v>
      </c>
      <c r="BC15" s="88" t="n">
        <f aca="false">MIN(MAX(AY15*INDEX(in_cus_mpf_rate,1,C15),INDEX(in_cus_mpf_min,1,C15)),INDEX(in_cus_mpf_max,1,C15))</f>
        <v>34.58</v>
      </c>
      <c r="BD15" s="88" t="n">
        <f aca="false">AY15*INDEX(in_cus_hmf,1,C15)</f>
        <v>10.0763507326007</v>
      </c>
      <c r="BE15" s="88" t="n">
        <f aca="false">MAX(INDEX(in_cus_stb_min,1,C15),INDEX(in_cus_stb_rate,1,C15)/1000*(AY15+BB15+BC15+BD15))</f>
        <v>50</v>
      </c>
      <c r="BF15" s="88" t="n">
        <f aca="false">INDEX(in_cus_broker,1,C15)+INDEX(in_cus_isf,1,C15)+INDEX(in_cus_do_fee,1,C15)+BE15+INDEX(in_cus_isf_bond,1,C15)</f>
        <v>385</v>
      </c>
      <c r="BG15" s="88" t="n">
        <f aca="false">IF(H15=1,INDEX(in_cus_cfc,1,C15)*INDEX(ct_teu,F15)*G15*(1-INDEX(in_cus_cfc_in_freight,1,C15)),0)</f>
        <v>29.6</v>
      </c>
      <c r="BH15" s="88" t="n">
        <f aca="false">IF(F15=4,1,G15)*(INDEX(in_cus_exam,1,C15)+INDEX(in_cus_exam_dray,1,C15))</f>
        <v>0</v>
      </c>
      <c r="BI15" s="88" t="n">
        <f aca="false">IF(F15=4,1,G15)*INDEX(in_cus_dem_days,1,C15)*INDEX(in_cus_dem_rate,1,C15)</f>
        <v>0</v>
      </c>
      <c r="BJ15" s="88" t="n">
        <f aca="false">BG15+BH15+BI15</f>
        <v>29.6</v>
      </c>
      <c r="BK15" s="88" t="n">
        <f aca="false">IF(F15=4,(INDEX(in_dra_lcl_cfs_d,1,C15)+INDEX(in_dra_lcl_deliv,1,C15))*P15,G15*(INDEX(tbl_dest_line,E15,C15)*P15*(1+INDEX(in_dra_fsc,1,C15))+INDEX(tbl_dest_tolls,E15,C15)+INDEX(in_dra_chassis_days,1,C15)*INDEX(tbl_dest_chassis,E15,C15)*(1-INDEX(in_dra_chassis_in_dray,1,C15))+INDEX(in_dra_wait_hours,1,C15)*INDEX(in_dra_wait_rate,1,C15)+INDEX(in_dra_split,1,C15)+INDEX(in_dra_prepull,1,C15)+INDEX(in_dra_dryrun,1,C15)))</f>
        <v>1322</v>
      </c>
      <c r="BL15" s="88" t="n">
        <f aca="false">IF(F15=4,0,G15*IF(F15=1,INDEX(in_dra_unload_20,1,C15),INDEX(in_dra_unload_40,1,C15))*Q15*(1-INDEX(in_dra_unload_in_dray,1,C15)))</f>
        <v>300</v>
      </c>
      <c r="BM15" s="88" t="n">
        <f aca="false">AL15+AN15+AO15+AR15+AU15+AZ15+BB15+BC15+BD15+BF15+BJ15+BK15+BL15</f>
        <v>15201.9523214286</v>
      </c>
      <c r="BN15" s="88" t="n">
        <f aca="false">AP15+AU15+BJ15+BK15+BL15</f>
        <v>6362.95531135531</v>
      </c>
      <c r="BO15" s="88" t="n">
        <f aca="false">AQ15+BF15</f>
        <v>683.260073260073</v>
      </c>
      <c r="BP15" s="88" t="n">
        <f aca="false">AI15*(1+IF(K15=3,INDEX(in_sup_vat_rate,1,C15),0))+AO15*Y15/AB15+AV15*BA15+(BC15+BD15)*AV15/AY15+AZ15*AI15/AL15+BN15*AC15/AF15+BO15*Y15/AB15</f>
        <v>5278.03400669274</v>
      </c>
      <c r="BQ15" s="88" t="n">
        <f aca="false">AJ15*(1+IF(K15=3,INDEX(in_sup_vat_rate,1,C15),0))+AO15*Z15/AB15+AW15*BA15+(BC15+BD15)*AW15/AY15+AZ15*AJ15/AL15+BN15*AD15/AF15+BO15*Z15/AB15</f>
        <v>5584.48985803606</v>
      </c>
      <c r="BR15" s="88" t="n">
        <f aca="false">AK15*(1+IF(K15=3,INDEX(in_sup_vat_rate,1,C15),0))+AO15*AA15/AB15+AX15*BA15+(BC15+BD15)*AX15/AY15+AZ15*AK15/AL15+BN15*AE15/AF15+BO15*AA15/AB15</f>
        <v>4339.42845669977</v>
      </c>
      <c r="BS15" s="89" t="n">
        <f aca="false">BP15+BQ15+BR15-BM15</f>
        <v>0</v>
      </c>
      <c r="BT15" s="85" t="n">
        <f aca="false">Y15*(1-R15)</f>
        <v>19900</v>
      </c>
      <c r="BU15" s="85" t="n">
        <f aca="false">Z15*(1-R15)</f>
        <v>19900</v>
      </c>
      <c r="BV15" s="85" t="n">
        <f aca="false">AA15*(1-R15)</f>
        <v>19900</v>
      </c>
      <c r="BW15" s="85" t="n">
        <f aca="false">BT15+BU15+BV15</f>
        <v>59700</v>
      </c>
      <c r="BX15" s="90" t="n">
        <f aca="false">IF(BT15&gt;0,BP15/BT15,0)</f>
        <v>0.265227839532299</v>
      </c>
      <c r="BY15" s="90" t="n">
        <f aca="false">IF(BU15&gt;0,BQ15/BU15,0)</f>
        <v>0.280627631057088</v>
      </c>
      <c r="BZ15" s="90" t="n">
        <f aca="false">IF(BV15&gt;0,BR15/BV15,0)</f>
        <v>0.218061731492451</v>
      </c>
      <c r="CA15" s="90" t="n">
        <f aca="false">INDEX(in_mkt_listing_3464,1,C15)*(1-IF(sku_flute_3464="B",T15,0))*(1-S15)*N15</f>
        <v>0.2856</v>
      </c>
      <c r="CB15" s="90" t="n">
        <f aca="false">INDEX(in_mkt_listing_3463,1,C15)*(1-IF(sku_flute_3463="B",T15,0))*(1-S15)*N15</f>
        <v>0.3128</v>
      </c>
      <c r="CC15" s="90" t="n">
        <f aca="false">INDEX(in_mkt_listing_3460,1,C15)*(1-IF(sku_flute_3460="B",T15,0))*(1-S15)*N15</f>
        <v>0.256</v>
      </c>
      <c r="CD15" s="88" t="n">
        <f aca="false">BT15*CA15+BU15*CB15+BV15*CC15</f>
        <v>17002.56</v>
      </c>
      <c r="CE15" s="88" t="n">
        <f aca="false">CD15-BM15</f>
        <v>1800.60767857143</v>
      </c>
      <c r="CF15" s="87" t="n">
        <f aca="false">IF(CD15&gt;0,CE15/CD15,0)</f>
        <v>0.105902151121445</v>
      </c>
      <c r="CG15" s="87" t="n">
        <f aca="false">W15+INDEX(in_sel_processing,1,C15)+INDEX(in_sel_bad_debt,1,C15)</f>
        <v>0.0325</v>
      </c>
      <c r="CH15" s="88" t="n">
        <f aca="false">CD15*CG15</f>
        <v>552.5832</v>
      </c>
      <c r="CI15" s="88" t="n">
        <f aca="false">INDEX(in_sel_testing,1,C15)*X15+INDEX(in_sel_admin,1,C15)</f>
        <v>1250</v>
      </c>
      <c r="CJ15" s="79" t="n">
        <f aca="false">INDEX(in_sup_lead_days,1,C15)</f>
        <v>14</v>
      </c>
      <c r="CK15" s="79" t="n">
        <f aca="false">CJ15+INDEX(in_oce_transit,1,C15)+IF(F15=4,INDEX(in_oce_lcl_extra_days,1,C15),0)</f>
        <v>39</v>
      </c>
      <c r="CL15" s="79" t="n">
        <f aca="false">CK15+2+INDEX(in_cus_dem_days,1,C15)</f>
        <v>41</v>
      </c>
      <c r="CM15" s="79" t="n">
        <f aca="false">CL15+U15</f>
        <v>71</v>
      </c>
      <c r="CN15" s="79" t="n">
        <f aca="false">CJ15+INDEX(in_sup_vat_lag,1,C15)</f>
        <v>44</v>
      </c>
      <c r="CO15" s="91" t="n">
        <f aca="false">INDEX(in_sup_advance,1,C15)</f>
        <v>0.5</v>
      </c>
      <c r="CP15" s="88" t="n">
        <f aca="false">CO15*(AL15+AM15)+AO15+INDEX(in_sel_testing,1,C15)*X15</f>
        <v>5030.54029304029</v>
      </c>
      <c r="CQ15" s="88" t="n">
        <f aca="false">(1-CO15)*(AL15+AM15)+AR15+AU15+AZ15</f>
        <v>9090.15567765568</v>
      </c>
      <c r="CR15" s="88" t="n">
        <f aca="false">BB15+BC15+BD15+BF15+BJ15</f>
        <v>459.256350732601</v>
      </c>
      <c r="CS15" s="88" t="n">
        <f aca="false">BK15+BL15</f>
        <v>1622</v>
      </c>
      <c r="CT15" s="88" t="n">
        <f aca="false">IF(K15=2,AM15,0)</f>
        <v>0</v>
      </c>
      <c r="CU15" s="85" t="n">
        <f aca="false">IF(K15=2,CO15*AM15*(CN15-0)+(1-CO15)*AM15*(CN15-CJ15),0)</f>
        <v>0</v>
      </c>
      <c r="CV15" s="85" t="n">
        <f aca="false">(CP15-CO15*CT15)*(CM15-0)+(CQ15-(1-CO15)*CT15)*(CM15-CJ15)+CR15*(CM15-CK15)+CS15*(CM15-CL15)</f>
        <v>938663.437655678</v>
      </c>
      <c r="CW15" s="88" t="n">
        <f aca="false">INDEX(in_sel_fin_rate,1,C15)/365*(CU15+CV15)</f>
        <v>205.734452088916</v>
      </c>
      <c r="CX15" s="85" t="n">
        <f aca="false">CP15-IF(CN15&lt;=0,CT15,0)</f>
        <v>5030.54029304029</v>
      </c>
      <c r="CY15" s="85" t="n">
        <f aca="false">CP15+CQ15-IF(CN15&lt;=CJ15,CT15,0)</f>
        <v>14120.695970696</v>
      </c>
      <c r="CZ15" s="85" t="n">
        <f aca="false">CP15+CQ15+CR15-IF(CN15&lt;=CK15,CT15,0)</f>
        <v>14579.9523214286</v>
      </c>
      <c r="DA15" s="85" t="n">
        <f aca="false">CP15+CQ15+CR15+CS15-IF(CN15&lt;=CL15,CT15,0)</f>
        <v>16201.9523214286</v>
      </c>
      <c r="DB15" s="88" t="n">
        <f aca="false">MAX(CX15,CY15,CZ15,DA15)</f>
        <v>16201.9523214286</v>
      </c>
      <c r="DC15" s="88" t="n">
        <f aca="false">CP15+CQ15+CR15+CS15</f>
        <v>16201.9523214286</v>
      </c>
      <c r="DD15" s="88" t="n">
        <f aca="false">CE15-CH15-CI15-CW15</f>
        <v>-207.709973517487</v>
      </c>
      <c r="DE15" s="87" t="n">
        <f aca="false">IF(CD15&gt;0,DD15/CD15,0)</f>
        <v>-0.0122163940910949</v>
      </c>
      <c r="DF15" s="86" t="n">
        <f aca="false">IF(CD15&gt;0,(BM15+CI15+CW15)/(CD15*(1-CG15)),0)</f>
        <v>1.01262676391844</v>
      </c>
      <c r="DG15" s="90" t="n">
        <f aca="false">IF(BW15&gt;0,BM15/BW15,0)</f>
        <v>0.254639067360613</v>
      </c>
      <c r="DH15" s="90" t="n">
        <f aca="false">IF(BW15&gt;0,CD15/BW15,0)</f>
        <v>0.2848</v>
      </c>
      <c r="DI15" s="90" t="n">
        <f aca="false">IF(AI15&gt;0,(AI15*IF(K15=3,INDEX(in_sup_vat_rate,1,C15),0)+AV15*BA15+(BC15+BD15)*AV15/AY15+AZ15*AI15/AL15)/AI15,0)</f>
        <v>0.011742389834937</v>
      </c>
      <c r="DJ15" s="90" t="n">
        <f aca="false">IF(AJ15&gt;0,(AJ15*IF(K15=3,INDEX(in_sup_vat_rate,1,C15),0)+AW15*BA15+(BC15+BD15)*AW15/AY15+AZ15*AJ15/AL15)/AJ15,0)</f>
        <v>0.011742389834937</v>
      </c>
      <c r="DK15" s="90" t="n">
        <f aca="false">IF(AK15&gt;0,(AK15*IF(K15=3,INDEX(in_sup_vat_rate,1,C15),0)+AX15*BA15+(BC15+BD15)*AX15/AY15+AZ15*AK15/AL15)/AK15,0)</f>
        <v>0.011742389834937</v>
      </c>
      <c r="DL15" s="90" t="n">
        <f aca="false">IF(Y15&gt;0,(BP15-AI15*(1+DI15))/Y15,0)</f>
        <v>0.116647783916674</v>
      </c>
      <c r="DM15" s="90" t="n">
        <f aca="false">IF(Z15&gt;0,(BQ15-AJ15*(1+DJ15))/Z15,0)</f>
        <v>0.140156239500499</v>
      </c>
      <c r="DN15" s="90" t="n">
        <f aca="false">IF(AA15&gt;0,(BR15-AK15*(1+DK15))/AA15,0)</f>
        <v>0.0955067458135966</v>
      </c>
      <c r="DO15" s="86" t="n">
        <f aca="false">IF(Y15&gt;0,(CA15*(1-thr_gm_go)*(1-R15)-DL15)/(1+DI15)*I15/((1+AH15)*J15),"")</f>
        <v>5.48077356561615</v>
      </c>
      <c r="DP15" s="86" t="n">
        <f aca="false">IF(Z15&gt;0,(CB15*(1-thr_gm_go)*(1-R15)-DM15)/(1+DJ15)*I15/((1+AH15)*J15),"")</f>
        <v>5.29839837579458</v>
      </c>
      <c r="DQ15" s="86" t="n">
        <f aca="false">IF(AA15&gt;0,(CC15*(1-thr_gm_go)*(1-R15)-DN15)/(1+DK15)*I15/((1+AH15)*J15),"")</f>
        <v>5.42692303681086</v>
      </c>
      <c r="DR15" s="92" t="n">
        <f aca="false">IF(AND(AY15*INDEX(in_cus_mpf_rate,1,C15)&gt;INDEX(in_cus_mpf_min,1,C15),AY15*INDEX(in_cus_mpf_rate,1,C15)&lt;INDEX(in_cus_mpf_max,1,C15)),INDEX(in_cus_mpf_rate,1,C15),0)</f>
        <v>0</v>
      </c>
      <c r="DS15" s="88" t="n">
        <f aca="false">IF(AZ15&gt;INDEX(in_oce_ins_min,1,C15),INDEX(in_oce_ins_rate,1,C15)*(1+INDEX(in_oce_ins_uplift,1,C15))*AL15,0)</f>
        <v>0</v>
      </c>
      <c r="DT15" s="88" t="n">
        <f aca="false">(AL15+AN15)*(1+BA15+INDEX(in_cus_hmf,1,C15)+DR15)+DS15</f>
        <v>8071.15693681319</v>
      </c>
      <c r="DU15" s="86" t="n">
        <f aca="false">IF(DT15&gt;0,(CD15*(1-thr_gm_go)-(BM15-DT15))/DT15,0)</f>
        <v>0.696445956805303</v>
      </c>
      <c r="DV15" s="86" t="n">
        <f aca="false">IF(DT15&gt;0,(CD15-(BM15-DT15))/DT15,0)</f>
        <v>1.22309164506004</v>
      </c>
      <c r="DW15" s="87" t="n">
        <f aca="false">(1+AH15)*J15*DU15-1</f>
        <v>-0.338376341034962</v>
      </c>
      <c r="DX15" s="87" t="n">
        <f aca="false">(1+AH15)*J15*DV15-1</f>
        <v>0.16193706280704</v>
      </c>
      <c r="DY15" s="85" t="n">
        <f aca="false">IF(G15&gt;0,(CD15*(1-thr_gm_go)-(BM15-AT15))/G15,"")</f>
        <v>774.983839285715</v>
      </c>
      <c r="DZ15" s="90" t="n">
        <f aca="false">IF(AB15&gt;0,(AL15+AN15+BB15+BC15+BD15)/AB15,0)</f>
        <v>0.135095615613553</v>
      </c>
      <c r="EA15" s="88" t="n">
        <f aca="false">BM15-DZ15*AB15</f>
        <v>7096.21538461539</v>
      </c>
      <c r="EB15" s="90" t="n">
        <f aca="false">IF(AB15&gt;0,CD15/AB15,0)</f>
        <v>0.283376</v>
      </c>
      <c r="EC15" s="85" t="n">
        <f aca="false">IF(EB15*(1-thr_gm_go)-DZ15&gt;0,EA15/(EB15*(1-thr_gm_go)-DZ15),"n/a")</f>
        <v>91639.2912820112</v>
      </c>
      <c r="ED15" s="85" t="n">
        <f aca="false">IF(EB15-DZ15&gt;0,EA15/(EB15-DZ15),"n/a")</f>
        <v>47856.7371805653</v>
      </c>
      <c r="EE15" s="93" t="b">
        <f aca="false">INDEX(cfg_fits,D15,C15)</f>
        <v>1</v>
      </c>
      <c r="EF15" s="87" t="n">
        <f aca="false">IF(F15=4,"",INDEX(cfg_lenutil,D15,C15))</f>
        <v>0.901551724137931</v>
      </c>
      <c r="EG15" s="31" t="str">
        <f aca="false">IF(O15&gt;1,"Check fit (units scaled up)","")</f>
        <v/>
      </c>
    </row>
    <row r="16" customFormat="false" ht="15" hidden="false" customHeight="false" outlineLevel="0" collapsed="false">
      <c r="A16" s="78" t="n">
        <v>1032</v>
      </c>
      <c r="B16" s="9" t="s">
        <v>3164</v>
      </c>
      <c r="C16" s="78" t="n">
        <v>1</v>
      </c>
      <c r="D16" s="78" t="n">
        <v>3</v>
      </c>
      <c r="E16" s="78" t="n">
        <v>2</v>
      </c>
      <c r="F16" s="79" t="n">
        <f aca="false">INDEX(cfg_ct,D16)</f>
        <v>1</v>
      </c>
      <c r="G16" s="79" t="n">
        <f aca="false">INDEX(cfg_n,D16)</f>
        <v>2</v>
      </c>
      <c r="H16" s="79" t="n">
        <f aca="false">INDEX(dest_port,E16)</f>
        <v>1</v>
      </c>
      <c r="I16" s="80" t="n">
        <f aca="false">INDEX(in_fx_cbe,1,C16)*(1-INDEX(in_fx_spread,1,C16))</f>
        <v>54.6</v>
      </c>
      <c r="J16" s="81" t="n">
        <f aca="false">1</f>
        <v>1</v>
      </c>
      <c r="K16" s="82" t="n">
        <f aca="false">INDEX(in_sup_vat_mode,1,C16)</f>
        <v>1</v>
      </c>
      <c r="L16" s="83" t="n">
        <f aca="false">INDEX(in_cus_s301,1,C16)</f>
        <v>0</v>
      </c>
      <c r="M16" s="84" t="n">
        <f aca="false">1</f>
        <v>1</v>
      </c>
      <c r="N16" s="81" t="n">
        <f aca="false">1</f>
        <v>1</v>
      </c>
      <c r="O16" s="81" t="n">
        <f aca="false">1</f>
        <v>1</v>
      </c>
      <c r="P16" s="81" t="n">
        <f aca="false">1</f>
        <v>1</v>
      </c>
      <c r="Q16" s="81" t="n">
        <f aca="false">1</f>
        <v>1</v>
      </c>
      <c r="R16" s="83" t="n">
        <f aca="false">INDEX(in_sel_damage,1,C16)</f>
        <v>0.005</v>
      </c>
      <c r="S16" s="83" t="n">
        <f aca="false">INDEX(in_mkt_dist_margin,1,C16)</f>
        <v>0.2</v>
      </c>
      <c r="T16" s="83" t="n">
        <f aca="false">INDEX(in_mkt_eflute_disc,1,C16)</f>
        <v>0.15</v>
      </c>
      <c r="U16" s="82" t="n">
        <f aca="false">INDEX(in_sel_credit_days,1,C16)</f>
        <v>30</v>
      </c>
      <c r="V16" s="81" t="n">
        <f aca="false">1</f>
        <v>1</v>
      </c>
      <c r="W16" s="83" t="n">
        <f aca="false">INDEX(in_sel_commission,1,C16)</f>
        <v>0.03</v>
      </c>
      <c r="X16" s="82" t="n">
        <f aca="false">1</f>
        <v>1</v>
      </c>
      <c r="Y16" s="85" t="n">
        <f aca="false">INDEX(cfg_u_3464,D16,C16)*O16</f>
        <v>20000</v>
      </c>
      <c r="Z16" s="85" t="n">
        <f aca="false">INDEX(cfg_u_3463,D16,C16)*O16</f>
        <v>20000</v>
      </c>
      <c r="AA16" s="85" t="n">
        <f aca="false">INDEX(cfg_u_3460,D16,C16)*O16</f>
        <v>20000</v>
      </c>
      <c r="AB16" s="85" t="n">
        <f aca="false">Y16+Z16+AA16</f>
        <v>60000</v>
      </c>
      <c r="AC16" s="86" t="n">
        <f aca="false">Y16*INDEX(lg_vpu_3464,C16)</f>
        <v>13.3386</v>
      </c>
      <c r="AD16" s="86" t="n">
        <f aca="false">Z16*INDEX(lg_vpu_3463,C16)</f>
        <v>16.3176</v>
      </c>
      <c r="AE16" s="86" t="n">
        <f aca="false">AA16*INDEX(lg_vpu_3460,C16)</f>
        <v>10.6596</v>
      </c>
      <c r="AF16" s="86" t="n">
        <f aca="false">AC16+AD16+AE16</f>
        <v>40.3158</v>
      </c>
      <c r="AG16" s="85" t="n">
        <f aca="false">Y16*INDEX(lg_kpu_3464,C16)+Z16*INDEX(lg_kpu_3463,C16)+AA16*INDEX(lg_kpu_3460,C16)</f>
        <v>9855.3664</v>
      </c>
      <c r="AH16" s="87" t="n">
        <f aca="false">INDEX(in_sup_requote,1,C16)</f>
        <v>-0.05</v>
      </c>
      <c r="AI16" s="88" t="n">
        <f aca="false">Y16*q_price_3464*(1+AH16)*J16/I16</f>
        <v>2910.89743589744</v>
      </c>
      <c r="AJ16" s="88" t="n">
        <f aca="false">Z16*q_price_3463*(1+AH16)*J16/I16</f>
        <v>2749.08424908425</v>
      </c>
      <c r="AK16" s="88" t="n">
        <f aca="false">AA16*q_price_3460*(1+AH16)*J16/I16</f>
        <v>2401.0989010989</v>
      </c>
      <c r="AL16" s="88" t="n">
        <f aca="false">AI16+AJ16+AK16</f>
        <v>8061.08058608059</v>
      </c>
      <c r="AM16" s="88" t="n">
        <f aca="false">IF(OR(K16=2,K16=3),AL16*INDEX(in_sup_vat_rate,1,C16),0)</f>
        <v>0</v>
      </c>
      <c r="AN16" s="88" t="n">
        <f aca="false">IF(K16=3,AM16,0)</f>
        <v>0</v>
      </c>
      <c r="AO16" s="88" t="n">
        <f aca="false">INDEX(in_sup_tooling_egp,1,C16)/I16</f>
        <v>0</v>
      </c>
      <c r="AP16" s="88" t="n">
        <f aca="false">IF(F16=4,INDEX(in_ori_lcl_truck,1,C16)*V16/I16+INDEX(in_ori_lcl_cfs_o,1,C16),G16*(IF(F16=1,INDEX(in_ori_truck_20,1,C16),INDEX(in_ori_truck_40,1,C16))*V16/I16+INDEX(in_ori_terminal,1,C16)+IF(F16=1,INDEX(in_ori_othc_20,1,C16),INDEX(in_ori_othc_40,1,C16))*(1-INDEX(in_ori_othc_in_freight,1,C16))+INDEX(in_ori_seal,1,C16)+INDEX(in_ori_inspection,1,C16)+INDEX(in_ori_dd_days,1,C16)*IF(F16=1,INDEX(in_ori_dd_20,1,C16),INDEX(in_ori_dd_40,1,C16))+INDEX(in_ori_loading_egp,1,C16)/I16))</f>
        <v>681.355311355311</v>
      </c>
      <c r="AQ16" s="88" t="n">
        <f aca="false">(INDEX(in_ori_clearance,1,C16)+INDEX(in_ori_coo,1,C16))/I16+INDEX(in_ori_bl_fee,1,C16)+INDEX(in_ori_fwd_fee,1,C16)+INDEX(in_ori_qc,1,C16)+INDEX(in_ori_wires,1,C16)*INDEX(in_ori_wire_fee,1,C16)</f>
        <v>298.260073260073</v>
      </c>
      <c r="AR16" s="88" t="n">
        <f aca="false">AP16+AQ16</f>
        <v>979.615384615385</v>
      </c>
      <c r="AS16" s="85" t="n">
        <f aca="false">INDEX(tbl_port_diff,H16,C16)</f>
        <v>0</v>
      </c>
      <c r="AT16" s="88" t="n">
        <f aca="false">IF(F16=4,MAX(AF16*INDEX(in_oce_lcl_factor,1,C16),AG16/1000,1)*INDEX(in_oce_lcl_rate,1,C16)*M16,G16*(INDEX(tbl_ocean_rate,MIN(F16,3),C16)+AS16)*M16)</f>
        <v>4000</v>
      </c>
      <c r="AU16" s="88" t="n">
        <f aca="false">AT16+INDEX(in_oce_ams,1,C16)</f>
        <v>4030</v>
      </c>
      <c r="AV16" s="88" t="n">
        <f aca="false">AI16*(1+IF(K16=3,INDEX(in_sup_vat_rate,1,C16),0))+AO16*Y16/AB16</f>
        <v>2910.89743589744</v>
      </c>
      <c r="AW16" s="88" t="n">
        <f aca="false">AJ16*(1+IF(K16=3,INDEX(in_sup_vat_rate,1,C16),0))+AO16*Z16/AB16</f>
        <v>2749.08424908425</v>
      </c>
      <c r="AX16" s="88" t="n">
        <f aca="false">AK16*(1+IF(K16=3,INDEX(in_sup_vat_rate,1,C16),0))+AO16*AA16/AB16</f>
        <v>2401.0989010989</v>
      </c>
      <c r="AY16" s="88" t="n">
        <f aca="false">AV16+AW16+AX16</f>
        <v>8061.08058608059</v>
      </c>
      <c r="AZ16" s="88" t="n">
        <f aca="false">MAX(INDEX(in_oce_ins_min,1,C16),INDEX(in_oce_ins_rate,1,C16)*(1+INDEX(in_oce_ins_uplift,1,C16))*(AL16+AO16+AR16+AU16))*(1-INDEX(in_oce_ins_in_other,1,C16))</f>
        <v>50</v>
      </c>
      <c r="BA16" s="87" t="n">
        <f aca="false">INDEX(in_cus_mfn,1,C16)+L16</f>
        <v>0</v>
      </c>
      <c r="BB16" s="88" t="n">
        <f aca="false">AY16*BA16</f>
        <v>0</v>
      </c>
      <c r="BC16" s="88" t="n">
        <f aca="false">MIN(MAX(AY16*INDEX(in_cus_mpf_rate,1,C16),INDEX(in_cus_mpf_min,1,C16)),INDEX(in_cus_mpf_max,1,C16))</f>
        <v>34.58</v>
      </c>
      <c r="BD16" s="88" t="n">
        <f aca="false">AY16*INDEX(in_cus_hmf,1,C16)</f>
        <v>10.0763507326007</v>
      </c>
      <c r="BE16" s="88" t="n">
        <f aca="false">MAX(INDEX(in_cus_stb_min,1,C16),INDEX(in_cus_stb_rate,1,C16)/1000*(AY16+BB16+BC16+BD16))</f>
        <v>50</v>
      </c>
      <c r="BF16" s="88" t="n">
        <f aca="false">INDEX(in_cus_broker,1,C16)+INDEX(in_cus_isf,1,C16)+INDEX(in_cus_do_fee,1,C16)+BE16+INDEX(in_cus_isf_bond,1,C16)</f>
        <v>385</v>
      </c>
      <c r="BG16" s="88" t="n">
        <f aca="false">IF(H16=1,INDEX(in_cus_cfc,1,C16)*INDEX(ct_teu,F16)*G16*(1-INDEX(in_cus_cfc_in_freight,1,C16)),0)</f>
        <v>29.6</v>
      </c>
      <c r="BH16" s="88" t="n">
        <f aca="false">IF(F16=4,1,G16)*(INDEX(in_cus_exam,1,C16)+INDEX(in_cus_exam_dray,1,C16))</f>
        <v>0</v>
      </c>
      <c r="BI16" s="88" t="n">
        <f aca="false">IF(F16=4,1,G16)*INDEX(in_cus_dem_days,1,C16)*INDEX(in_cus_dem_rate,1,C16)</f>
        <v>0</v>
      </c>
      <c r="BJ16" s="88" t="n">
        <f aca="false">BG16+BH16+BI16</f>
        <v>29.6</v>
      </c>
      <c r="BK16" s="88" t="n">
        <f aca="false">IF(F16=4,(INDEX(in_dra_lcl_cfs_d,1,C16)+INDEX(in_dra_lcl_deliv,1,C16))*P16,G16*(INDEX(tbl_dest_line,E16,C16)*P16*(1+INDEX(in_dra_fsc,1,C16))+INDEX(tbl_dest_tolls,E16,C16)+INDEX(in_dra_chassis_days,1,C16)*INDEX(tbl_dest_chassis,E16,C16)*(1-INDEX(in_dra_chassis_in_dray,1,C16))+INDEX(in_dra_wait_hours,1,C16)*INDEX(in_dra_wait_rate,1,C16)+INDEX(in_dra_split,1,C16)+INDEX(in_dra_prepull,1,C16)+INDEX(in_dra_dryrun,1,C16)))</f>
        <v>1732</v>
      </c>
      <c r="BL16" s="88" t="n">
        <f aca="false">IF(F16=4,0,G16*IF(F16=1,INDEX(in_dra_unload_20,1,C16),INDEX(in_dra_unload_40,1,C16))*Q16*(1-INDEX(in_dra_unload_in_dray,1,C16)))</f>
        <v>300</v>
      </c>
      <c r="BM16" s="88" t="n">
        <f aca="false">AL16+AN16+AO16+AR16+AU16+AZ16+BB16+BC16+BD16+BF16+BJ16+BK16+BL16</f>
        <v>15611.9523214286</v>
      </c>
      <c r="BN16" s="88" t="n">
        <f aca="false">AP16+AU16+BJ16+BK16+BL16</f>
        <v>6772.95531135531</v>
      </c>
      <c r="BO16" s="88" t="n">
        <f aca="false">AQ16+BF16</f>
        <v>683.260073260073</v>
      </c>
      <c r="BP16" s="88" t="n">
        <f aca="false">AI16*(1+IF(K16=3,INDEX(in_sup_vat_rate,1,C16),0))+AO16*Y16/AB16+AV16*BA16+(BC16+BD16)*AV16/AY16+AZ16*AI16/AL16+BN16*AC16/AF16+BO16*Y16/AB16</f>
        <v>5413.68370234556</v>
      </c>
      <c r="BQ16" s="88" t="n">
        <f aca="false">AJ16*(1+IF(K16=3,INDEX(in_sup_vat_rate,1,C16),0))+AO16*Z16/AB16+AW16*BA16+(BC16+BD16)*AW16/AY16+AZ16*AJ16/AL16+BN16*AD16/AF16+BO16*Z16/AB16</f>
        <v>5750.43512019134</v>
      </c>
      <c r="BR16" s="88" t="n">
        <f aca="false">AK16*(1+IF(K16=3,INDEX(in_sup_vat_rate,1,C16),0))+AO16*AA16/AB16+AX16*BA16+(BC16+BD16)*AX16/AY16+AZ16*AK16/AL16+BN16*AE16/AF16+BO16*AA16/AB16</f>
        <v>4447.83349889167</v>
      </c>
      <c r="BS16" s="89" t="n">
        <f aca="false">BP16+BQ16+BR16-BM16</f>
        <v>0</v>
      </c>
      <c r="BT16" s="85" t="n">
        <f aca="false">Y16*(1-R16)</f>
        <v>19900</v>
      </c>
      <c r="BU16" s="85" t="n">
        <f aca="false">Z16*(1-R16)</f>
        <v>19900</v>
      </c>
      <c r="BV16" s="85" t="n">
        <f aca="false">AA16*(1-R16)</f>
        <v>19900</v>
      </c>
      <c r="BW16" s="85" t="n">
        <f aca="false">BT16+BU16+BV16</f>
        <v>59700</v>
      </c>
      <c r="BX16" s="90" t="n">
        <f aca="false">IF(BT16&gt;0,BP16/BT16,0)</f>
        <v>0.272044407153043</v>
      </c>
      <c r="BY16" s="90" t="n">
        <f aca="false">IF(BU16&gt;0,BQ16/BU16,0)</f>
        <v>0.288966588954339</v>
      </c>
      <c r="BZ16" s="90" t="n">
        <f aca="false">IF(BV16&gt;0,BR16/BV16,0)</f>
        <v>0.223509221049833</v>
      </c>
      <c r="CA16" s="90" t="n">
        <f aca="false">INDEX(in_mkt_listing_3464,1,C16)*(1-IF(sku_flute_3464="B",T16,0))*(1-S16)*N16</f>
        <v>0.2856</v>
      </c>
      <c r="CB16" s="90" t="n">
        <f aca="false">INDEX(in_mkt_listing_3463,1,C16)*(1-IF(sku_flute_3463="B",T16,0))*(1-S16)*N16</f>
        <v>0.3128</v>
      </c>
      <c r="CC16" s="90" t="n">
        <f aca="false">INDEX(in_mkt_listing_3460,1,C16)*(1-IF(sku_flute_3460="B",T16,0))*(1-S16)*N16</f>
        <v>0.256</v>
      </c>
      <c r="CD16" s="88" t="n">
        <f aca="false">BT16*CA16+BU16*CB16+BV16*CC16</f>
        <v>17002.56</v>
      </c>
      <c r="CE16" s="88" t="n">
        <f aca="false">CD16-BM16</f>
        <v>1390.60767857143</v>
      </c>
      <c r="CF16" s="87" t="n">
        <f aca="false">IF(CD16&gt;0,CE16/CD16,0)</f>
        <v>0.081788135349702</v>
      </c>
      <c r="CG16" s="87" t="n">
        <f aca="false">W16+INDEX(in_sel_processing,1,C16)+INDEX(in_sel_bad_debt,1,C16)</f>
        <v>0.0325</v>
      </c>
      <c r="CH16" s="88" t="n">
        <f aca="false">CD16*CG16</f>
        <v>552.5832</v>
      </c>
      <c r="CI16" s="88" t="n">
        <f aca="false">INDEX(in_sel_testing,1,C16)*X16+INDEX(in_sel_admin,1,C16)</f>
        <v>1250</v>
      </c>
      <c r="CJ16" s="79" t="n">
        <f aca="false">INDEX(in_sup_lead_days,1,C16)</f>
        <v>14</v>
      </c>
      <c r="CK16" s="79" t="n">
        <f aca="false">CJ16+INDEX(in_oce_transit,1,C16)+IF(F16=4,INDEX(in_oce_lcl_extra_days,1,C16),0)</f>
        <v>39</v>
      </c>
      <c r="CL16" s="79" t="n">
        <f aca="false">CK16+2+INDEX(in_cus_dem_days,1,C16)</f>
        <v>41</v>
      </c>
      <c r="CM16" s="79" t="n">
        <f aca="false">CL16+U16</f>
        <v>71</v>
      </c>
      <c r="CN16" s="79" t="n">
        <f aca="false">CJ16+INDEX(in_sup_vat_lag,1,C16)</f>
        <v>44</v>
      </c>
      <c r="CO16" s="91" t="n">
        <f aca="false">INDEX(in_sup_advance,1,C16)</f>
        <v>0.5</v>
      </c>
      <c r="CP16" s="88" t="n">
        <f aca="false">CO16*(AL16+AM16)+AO16+INDEX(in_sel_testing,1,C16)*X16</f>
        <v>5030.54029304029</v>
      </c>
      <c r="CQ16" s="88" t="n">
        <f aca="false">(1-CO16)*(AL16+AM16)+AR16+AU16+AZ16</f>
        <v>9090.15567765568</v>
      </c>
      <c r="CR16" s="88" t="n">
        <f aca="false">BB16+BC16+BD16+BF16+BJ16</f>
        <v>459.256350732601</v>
      </c>
      <c r="CS16" s="88" t="n">
        <f aca="false">BK16+BL16</f>
        <v>2032</v>
      </c>
      <c r="CT16" s="88" t="n">
        <f aca="false">IF(K16=2,AM16,0)</f>
        <v>0</v>
      </c>
      <c r="CU16" s="85" t="n">
        <f aca="false">IF(K16=2,CO16*AM16*(CN16-0)+(1-CO16)*AM16*(CN16-CJ16),0)</f>
        <v>0</v>
      </c>
      <c r="CV16" s="85" t="n">
        <f aca="false">(CP16-CO16*CT16)*(CM16-0)+(CQ16-(1-CO16)*CT16)*(CM16-CJ16)+CR16*(CM16-CK16)+CS16*(CM16-CL16)</f>
        <v>950963.437655678</v>
      </c>
      <c r="CW16" s="88" t="n">
        <f aca="false">INDEX(in_sel_fin_rate,1,C16)/365*(CU16+CV16)</f>
        <v>208.430342499875</v>
      </c>
      <c r="CX16" s="85" t="n">
        <f aca="false">CP16-IF(CN16&lt;=0,CT16,0)</f>
        <v>5030.54029304029</v>
      </c>
      <c r="CY16" s="85" t="n">
        <f aca="false">CP16+CQ16-IF(CN16&lt;=CJ16,CT16,0)</f>
        <v>14120.695970696</v>
      </c>
      <c r="CZ16" s="85" t="n">
        <f aca="false">CP16+CQ16+CR16-IF(CN16&lt;=CK16,CT16,0)</f>
        <v>14579.9523214286</v>
      </c>
      <c r="DA16" s="85" t="n">
        <f aca="false">CP16+CQ16+CR16+CS16-IF(CN16&lt;=CL16,CT16,0)</f>
        <v>16611.9523214286</v>
      </c>
      <c r="DB16" s="88" t="n">
        <f aca="false">MAX(CX16,CY16,CZ16,DA16)</f>
        <v>16611.9523214286</v>
      </c>
      <c r="DC16" s="88" t="n">
        <f aca="false">CP16+CQ16+CR16+CS16</f>
        <v>16611.9523214286</v>
      </c>
      <c r="DD16" s="88" t="n">
        <f aca="false">CE16-CH16-CI16-CW16</f>
        <v>-620.405863928446</v>
      </c>
      <c r="DE16" s="87" t="n">
        <f aca="false">IF(CD16&gt;0,DD16/CD16,0)</f>
        <v>-0.0364889677747613</v>
      </c>
      <c r="DF16" s="86" t="n">
        <f aca="false">IF(CD16&gt;0,(BM16+CI16+CW16)/(CD16*(1-CG16)),0)</f>
        <v>1.03771469537443</v>
      </c>
      <c r="DG16" s="90" t="n">
        <f aca="false">IF(BW16&gt;0,BM16/BW16,0)</f>
        <v>0.261506739052405</v>
      </c>
      <c r="DH16" s="90" t="n">
        <f aca="false">IF(BW16&gt;0,CD16/BW16,0)</f>
        <v>0.2848</v>
      </c>
      <c r="DI16" s="90" t="n">
        <f aca="false">IF(AI16&gt;0,(AI16*IF(K16=3,INDEX(in_sup_vat_rate,1,C16),0)+AV16*BA16+(BC16+BD16)*AV16/AY16+AZ16*AI16/AL16)/AI16,0)</f>
        <v>0.011742389834937</v>
      </c>
      <c r="DJ16" s="90" t="n">
        <f aca="false">IF(AJ16&gt;0,(AJ16*IF(K16=3,INDEX(in_sup_vat_rate,1,C16),0)+AW16*BA16+(BC16+BD16)*AW16/AY16+AZ16*AJ16/AL16)/AJ16,0)</f>
        <v>0.011742389834937</v>
      </c>
      <c r="DK16" s="90" t="n">
        <f aca="false">IF(AK16&gt;0,(AK16*IF(K16=3,INDEX(in_sup_vat_rate,1,C16),0)+AX16*BA16+(BC16+BD16)*AX16/AY16+AZ16*AK16/AL16)/AK16,0)</f>
        <v>0.011742389834937</v>
      </c>
      <c r="DL16" s="90" t="n">
        <f aca="false">IF(Y16&gt;0,(BP16-AI16*(1+DI16))/Y16,0)</f>
        <v>0.123430268699315</v>
      </c>
      <c r="DM16" s="90" t="n">
        <f aca="false">IF(Z16&gt;0,(BQ16-AJ16*(1+DJ16))/Z16,0)</f>
        <v>0.148453502608263</v>
      </c>
      <c r="DN16" s="90" t="n">
        <f aca="false">IF(AA16&gt;0,(BR16-AK16*(1+DK16))/AA16,0)</f>
        <v>0.100926997923191</v>
      </c>
      <c r="DO16" s="86" t="n">
        <f aca="false">IF(Y16&gt;0,(CA16*(1-thr_gm_go)*(1-R16)-DL16)/(1+DI16)*I16/((1+AH16)*J16),"")</f>
        <v>5.09548340432934</v>
      </c>
      <c r="DP16" s="86" t="n">
        <f aca="false">IF(Z16&gt;0,(CB16*(1-thr_gm_go)*(1-R16)-DM16)/(1+DJ16)*I16/((1+AH16)*J16),"")</f>
        <v>4.82705874976084</v>
      </c>
      <c r="DQ16" s="86" t="n">
        <f aca="false">IF(AA16&gt;0,(CC16*(1-thr_gm_go)*(1-R16)-DN16)/(1+DK16)*I16/((1+AH16)*J16),"")</f>
        <v>5.11901673455628</v>
      </c>
      <c r="DR16" s="92" t="n">
        <f aca="false">IF(AND(AY16*INDEX(in_cus_mpf_rate,1,C16)&gt;INDEX(in_cus_mpf_min,1,C16),AY16*INDEX(in_cus_mpf_rate,1,C16)&lt;INDEX(in_cus_mpf_max,1,C16)),INDEX(in_cus_mpf_rate,1,C16),0)</f>
        <v>0</v>
      </c>
      <c r="DS16" s="88" t="n">
        <f aca="false">IF(AZ16&gt;INDEX(in_oce_ins_min,1,C16),INDEX(in_oce_ins_rate,1,C16)*(1+INDEX(in_oce_ins_uplift,1,C16))*AL16,0)</f>
        <v>0</v>
      </c>
      <c r="DT16" s="88" t="n">
        <f aca="false">(AL16+AN16)*(1+BA16+INDEX(in_cus_hmf,1,C16)+DR16)+DS16</f>
        <v>8071.15693681319</v>
      </c>
      <c r="DU16" s="86" t="n">
        <f aca="false">IF(DT16&gt;0,(CD16*(1-thr_gm_go)-(BM16-DT16))/DT16,0)</f>
        <v>0.645647787074523</v>
      </c>
      <c r="DV16" s="86" t="n">
        <f aca="false">IF(DT16&gt;0,(CD16-(BM16-DT16))/DT16,0)</f>
        <v>1.17229347532926</v>
      </c>
      <c r="DW16" s="87" t="n">
        <f aca="false">(1+AH16)*J16*DU16-1</f>
        <v>-0.386634602279204</v>
      </c>
      <c r="DX16" s="87" t="n">
        <f aca="false">(1+AH16)*J16*DV16-1</f>
        <v>0.113678801562799</v>
      </c>
      <c r="DY16" s="85" t="n">
        <f aca="false">IF(G16&gt;0,(CD16*(1-thr_gm_go)-(BM16-AT16))/G16,"")</f>
        <v>569.983839285715</v>
      </c>
      <c r="DZ16" s="90" t="n">
        <f aca="false">IF(AB16&gt;0,(AL16+AN16+BB16+BC16+BD16)/AB16,0)</f>
        <v>0.135095615613553</v>
      </c>
      <c r="EA16" s="88" t="n">
        <f aca="false">BM16-DZ16*AB16</f>
        <v>7506.21538461539</v>
      </c>
      <c r="EB16" s="90" t="n">
        <f aca="false">IF(AB16&gt;0,CD16/AB16,0)</f>
        <v>0.283376</v>
      </c>
      <c r="EC16" s="85" t="n">
        <f aca="false">IF(EB16*(1-thr_gm_go)-DZ16&gt;0,EA16/(EB16*(1-thr_gm_go)-DZ16),"n/a")</f>
        <v>96933.9599735902</v>
      </c>
      <c r="ED16" s="85" t="n">
        <f aca="false">IF(EB16-DZ16&gt;0,EA16/(EB16-DZ16),"n/a")</f>
        <v>50621.7691279567</v>
      </c>
      <c r="EE16" s="93" t="b">
        <f aca="false">INDEX(cfg_fits,D16,C16)</f>
        <v>1</v>
      </c>
      <c r="EF16" s="87" t="n">
        <f aca="false">IF(F16=4,"",INDEX(cfg_lenutil,D16,C16))</f>
        <v>0.901551724137931</v>
      </c>
      <c r="EG16" s="31" t="str">
        <f aca="false">IF(O16&gt;1,"Check fit (units scaled up)","")</f>
        <v/>
      </c>
    </row>
    <row r="17" customFormat="false" ht="15" hidden="false" customHeight="false" outlineLevel="0" collapsed="false">
      <c r="A17" s="78" t="n">
        <v>1033</v>
      </c>
      <c r="B17" s="9" t="s">
        <v>3165</v>
      </c>
      <c r="C17" s="78" t="n">
        <v>1</v>
      </c>
      <c r="D17" s="78" t="n">
        <v>3</v>
      </c>
      <c r="E17" s="78" t="n">
        <v>3</v>
      </c>
      <c r="F17" s="79" t="n">
        <f aca="false">INDEX(cfg_ct,D17)</f>
        <v>1</v>
      </c>
      <c r="G17" s="79" t="n">
        <f aca="false">INDEX(cfg_n,D17)</f>
        <v>2</v>
      </c>
      <c r="H17" s="79" t="n">
        <f aca="false">INDEX(dest_port,E17)</f>
        <v>2</v>
      </c>
      <c r="I17" s="80" t="n">
        <f aca="false">INDEX(in_fx_cbe,1,C17)*(1-INDEX(in_fx_spread,1,C17))</f>
        <v>54.6</v>
      </c>
      <c r="J17" s="81" t="n">
        <f aca="false">1</f>
        <v>1</v>
      </c>
      <c r="K17" s="82" t="n">
        <f aca="false">INDEX(in_sup_vat_mode,1,C17)</f>
        <v>1</v>
      </c>
      <c r="L17" s="83" t="n">
        <f aca="false">INDEX(in_cus_s301,1,C17)</f>
        <v>0</v>
      </c>
      <c r="M17" s="84" t="n">
        <f aca="false">1</f>
        <v>1</v>
      </c>
      <c r="N17" s="81" t="n">
        <f aca="false">1</f>
        <v>1</v>
      </c>
      <c r="O17" s="81" t="n">
        <f aca="false">1</f>
        <v>1</v>
      </c>
      <c r="P17" s="81" t="n">
        <f aca="false">1</f>
        <v>1</v>
      </c>
      <c r="Q17" s="81" t="n">
        <f aca="false">1</f>
        <v>1</v>
      </c>
      <c r="R17" s="83" t="n">
        <f aca="false">INDEX(in_sel_damage,1,C17)</f>
        <v>0.005</v>
      </c>
      <c r="S17" s="83" t="n">
        <f aca="false">INDEX(in_mkt_dist_margin,1,C17)</f>
        <v>0.2</v>
      </c>
      <c r="T17" s="83" t="n">
        <f aca="false">INDEX(in_mkt_eflute_disc,1,C17)</f>
        <v>0.15</v>
      </c>
      <c r="U17" s="82" t="n">
        <f aca="false">INDEX(in_sel_credit_days,1,C17)</f>
        <v>30</v>
      </c>
      <c r="V17" s="81" t="n">
        <f aca="false">1</f>
        <v>1</v>
      </c>
      <c r="W17" s="83" t="n">
        <f aca="false">INDEX(in_sel_commission,1,C17)</f>
        <v>0.03</v>
      </c>
      <c r="X17" s="82" t="n">
        <f aca="false">1</f>
        <v>1</v>
      </c>
      <c r="Y17" s="85" t="n">
        <f aca="false">INDEX(cfg_u_3464,D17,C17)*O17</f>
        <v>20000</v>
      </c>
      <c r="Z17" s="85" t="n">
        <f aca="false">INDEX(cfg_u_3463,D17,C17)*O17</f>
        <v>20000</v>
      </c>
      <c r="AA17" s="85" t="n">
        <f aca="false">INDEX(cfg_u_3460,D17,C17)*O17</f>
        <v>20000</v>
      </c>
      <c r="AB17" s="85" t="n">
        <f aca="false">Y17+Z17+AA17</f>
        <v>60000</v>
      </c>
      <c r="AC17" s="86" t="n">
        <f aca="false">Y17*INDEX(lg_vpu_3464,C17)</f>
        <v>13.3386</v>
      </c>
      <c r="AD17" s="86" t="n">
        <f aca="false">Z17*INDEX(lg_vpu_3463,C17)</f>
        <v>16.3176</v>
      </c>
      <c r="AE17" s="86" t="n">
        <f aca="false">AA17*INDEX(lg_vpu_3460,C17)</f>
        <v>10.6596</v>
      </c>
      <c r="AF17" s="86" t="n">
        <f aca="false">AC17+AD17+AE17</f>
        <v>40.3158</v>
      </c>
      <c r="AG17" s="85" t="n">
        <f aca="false">Y17*INDEX(lg_kpu_3464,C17)+Z17*INDEX(lg_kpu_3463,C17)+AA17*INDEX(lg_kpu_3460,C17)</f>
        <v>9855.3664</v>
      </c>
      <c r="AH17" s="87" t="n">
        <f aca="false">INDEX(in_sup_requote,1,C17)</f>
        <v>-0.05</v>
      </c>
      <c r="AI17" s="88" t="n">
        <f aca="false">Y17*q_price_3464*(1+AH17)*J17/I17</f>
        <v>2910.89743589744</v>
      </c>
      <c r="AJ17" s="88" t="n">
        <f aca="false">Z17*q_price_3463*(1+AH17)*J17/I17</f>
        <v>2749.08424908425</v>
      </c>
      <c r="AK17" s="88" t="n">
        <f aca="false">AA17*q_price_3460*(1+AH17)*J17/I17</f>
        <v>2401.0989010989</v>
      </c>
      <c r="AL17" s="88" t="n">
        <f aca="false">AI17+AJ17+AK17</f>
        <v>8061.08058608059</v>
      </c>
      <c r="AM17" s="88" t="n">
        <f aca="false">IF(OR(K17=2,K17=3),AL17*INDEX(in_sup_vat_rate,1,C17),0)</f>
        <v>0</v>
      </c>
      <c r="AN17" s="88" t="n">
        <f aca="false">IF(K17=3,AM17,0)</f>
        <v>0</v>
      </c>
      <c r="AO17" s="88" t="n">
        <f aca="false">INDEX(in_sup_tooling_egp,1,C17)/I17</f>
        <v>0</v>
      </c>
      <c r="AP17" s="88" t="n">
        <f aca="false">IF(F17=4,INDEX(in_ori_lcl_truck,1,C17)*V17/I17+INDEX(in_ori_lcl_cfs_o,1,C17),G17*(IF(F17=1,INDEX(in_ori_truck_20,1,C17),INDEX(in_ori_truck_40,1,C17))*V17/I17+INDEX(in_ori_terminal,1,C17)+IF(F17=1,INDEX(in_ori_othc_20,1,C17),INDEX(in_ori_othc_40,1,C17))*(1-INDEX(in_ori_othc_in_freight,1,C17))+INDEX(in_ori_seal,1,C17)+INDEX(in_ori_inspection,1,C17)+INDEX(in_ori_dd_days,1,C17)*IF(F17=1,INDEX(in_ori_dd_20,1,C17),INDEX(in_ori_dd_40,1,C17))+INDEX(in_ori_loading_egp,1,C17)/I17))</f>
        <v>681.355311355311</v>
      </c>
      <c r="AQ17" s="88" t="n">
        <f aca="false">(INDEX(in_ori_clearance,1,C17)+INDEX(in_ori_coo,1,C17))/I17+INDEX(in_ori_bl_fee,1,C17)+INDEX(in_ori_fwd_fee,1,C17)+INDEX(in_ori_qc,1,C17)+INDEX(in_ori_wires,1,C17)*INDEX(in_ori_wire_fee,1,C17)</f>
        <v>298.260073260073</v>
      </c>
      <c r="AR17" s="88" t="n">
        <f aca="false">AP17+AQ17</f>
        <v>979.615384615385</v>
      </c>
      <c r="AS17" s="85" t="n">
        <f aca="false">INDEX(tbl_port_diff,H17,C17)</f>
        <v>0</v>
      </c>
      <c r="AT17" s="88" t="n">
        <f aca="false">IF(F17=4,MAX(AF17*INDEX(in_oce_lcl_factor,1,C17),AG17/1000,1)*INDEX(in_oce_lcl_rate,1,C17)*M17,G17*(INDEX(tbl_ocean_rate,MIN(F17,3),C17)+AS17)*M17)</f>
        <v>4000</v>
      </c>
      <c r="AU17" s="88" t="n">
        <f aca="false">AT17+INDEX(in_oce_ams,1,C17)</f>
        <v>4030</v>
      </c>
      <c r="AV17" s="88" t="n">
        <f aca="false">AI17*(1+IF(K17=3,INDEX(in_sup_vat_rate,1,C17),0))+AO17*Y17/AB17</f>
        <v>2910.89743589744</v>
      </c>
      <c r="AW17" s="88" t="n">
        <f aca="false">AJ17*(1+IF(K17=3,INDEX(in_sup_vat_rate,1,C17),0))+AO17*Z17/AB17</f>
        <v>2749.08424908425</v>
      </c>
      <c r="AX17" s="88" t="n">
        <f aca="false">AK17*(1+IF(K17=3,INDEX(in_sup_vat_rate,1,C17),0))+AO17*AA17/AB17</f>
        <v>2401.0989010989</v>
      </c>
      <c r="AY17" s="88" t="n">
        <f aca="false">AV17+AW17+AX17</f>
        <v>8061.08058608059</v>
      </c>
      <c r="AZ17" s="88" t="n">
        <f aca="false">MAX(INDEX(in_oce_ins_min,1,C17),INDEX(in_oce_ins_rate,1,C17)*(1+INDEX(in_oce_ins_uplift,1,C17))*(AL17+AO17+AR17+AU17))*(1-INDEX(in_oce_ins_in_other,1,C17))</f>
        <v>50</v>
      </c>
      <c r="BA17" s="87" t="n">
        <f aca="false">INDEX(in_cus_mfn,1,C17)+L17</f>
        <v>0</v>
      </c>
      <c r="BB17" s="88" t="n">
        <f aca="false">AY17*BA17</f>
        <v>0</v>
      </c>
      <c r="BC17" s="88" t="n">
        <f aca="false">MIN(MAX(AY17*INDEX(in_cus_mpf_rate,1,C17),INDEX(in_cus_mpf_min,1,C17)),INDEX(in_cus_mpf_max,1,C17))</f>
        <v>34.58</v>
      </c>
      <c r="BD17" s="88" t="n">
        <f aca="false">AY17*INDEX(in_cus_hmf,1,C17)</f>
        <v>10.0763507326007</v>
      </c>
      <c r="BE17" s="88" t="n">
        <f aca="false">MAX(INDEX(in_cus_stb_min,1,C17),INDEX(in_cus_stb_rate,1,C17)/1000*(AY17+BB17+BC17+BD17))</f>
        <v>50</v>
      </c>
      <c r="BF17" s="88" t="n">
        <f aca="false">INDEX(in_cus_broker,1,C17)+INDEX(in_cus_isf,1,C17)+INDEX(in_cus_do_fee,1,C17)+BE17+INDEX(in_cus_isf_bond,1,C17)</f>
        <v>385</v>
      </c>
      <c r="BG17" s="88" t="n">
        <f aca="false">IF(H17=1,INDEX(in_cus_cfc,1,C17)*INDEX(ct_teu,F17)*G17*(1-INDEX(in_cus_cfc_in_freight,1,C17)),0)</f>
        <v>0</v>
      </c>
      <c r="BH17" s="88" t="n">
        <f aca="false">IF(F17=4,1,G17)*(INDEX(in_cus_exam,1,C17)+INDEX(in_cus_exam_dray,1,C17))</f>
        <v>0</v>
      </c>
      <c r="BI17" s="88" t="n">
        <f aca="false">IF(F17=4,1,G17)*INDEX(in_cus_dem_days,1,C17)*INDEX(in_cus_dem_rate,1,C17)</f>
        <v>0</v>
      </c>
      <c r="BJ17" s="88" t="n">
        <f aca="false">BG17+BH17+BI17</f>
        <v>0</v>
      </c>
      <c r="BK17" s="88" t="n">
        <f aca="false">IF(F17=4,(INDEX(in_dra_lcl_cfs_d,1,C17)+INDEX(in_dra_lcl_deliv,1,C17))*P17,G17*(INDEX(tbl_dest_line,E17,C17)*P17*(1+INDEX(in_dra_fsc,1,C17))+INDEX(tbl_dest_tolls,E17,C17)+INDEX(in_dra_chassis_days,1,C17)*INDEX(tbl_dest_chassis,E17,C17)*(1-INDEX(in_dra_chassis_in_dray,1,C17))+INDEX(in_dra_wait_hours,1,C17)*INDEX(in_dra_wait_rate,1,C17)+INDEX(in_dra_split,1,C17)+INDEX(in_dra_prepull,1,C17)+INDEX(in_dra_dryrun,1,C17)))</f>
        <v>1135</v>
      </c>
      <c r="BL17" s="88" t="n">
        <f aca="false">IF(F17=4,0,G17*IF(F17=1,INDEX(in_dra_unload_20,1,C17),INDEX(in_dra_unload_40,1,C17))*Q17*(1-INDEX(in_dra_unload_in_dray,1,C17)))</f>
        <v>300</v>
      </c>
      <c r="BM17" s="88" t="n">
        <f aca="false">AL17+AN17+AO17+AR17+AU17+AZ17+BB17+BC17+BD17+BF17+BJ17+BK17+BL17</f>
        <v>14985.3523214286</v>
      </c>
      <c r="BN17" s="88" t="n">
        <f aca="false">AP17+AU17+BJ17+BK17+BL17</f>
        <v>6146.35531135531</v>
      </c>
      <c r="BO17" s="88" t="n">
        <f aca="false">AQ17+BF17</f>
        <v>683.260073260073</v>
      </c>
      <c r="BP17" s="88" t="n">
        <f aca="false">AI17*(1+IF(K17=3,INDEX(in_sup_vat_rate,1,C17),0))+AO17*Y17/AB17+AV17*BA17+(BC17+BD17)*AV17/AY17+AZ17*AI17/AL17+BN17*AC17/AF17+BO17*Y17/AB17</f>
        <v>5206.3712650381</v>
      </c>
      <c r="BQ17" s="88" t="n">
        <f aca="false">AJ17*(1+IF(K17=3,INDEX(in_sup_vat_rate,1,C17),0))+AO17*Z17/AB17+AW17*BA17+(BC17+BD17)*AW17/AY17+AZ17*AJ17/AL17+BN17*AD17/AF17+BO17*Z17/AB17</f>
        <v>5496.82219027305</v>
      </c>
      <c r="BR17" s="88" t="n">
        <f aca="false">AK17*(1+IF(K17=3,INDEX(in_sup_vat_rate,1,C17),0))+AO17*AA17/AB17+AX17*BA17+(BC17+BD17)*AX17/AY17+AZ17*AK17/AL17+BN17*AE17/AF17+BO17*AA17/AB17</f>
        <v>4282.15886611742</v>
      </c>
      <c r="BS17" s="89" t="n">
        <f aca="false">BP17+BQ17+BR17-BM17</f>
        <v>0</v>
      </c>
      <c r="BT17" s="85" t="n">
        <f aca="false">Y17*(1-R17)</f>
        <v>19900</v>
      </c>
      <c r="BU17" s="85" t="n">
        <f aca="false">Z17*(1-R17)</f>
        <v>19900</v>
      </c>
      <c r="BV17" s="85" t="n">
        <f aca="false">AA17*(1-R17)</f>
        <v>19900</v>
      </c>
      <c r="BW17" s="85" t="n">
        <f aca="false">BT17+BU17+BV17</f>
        <v>59700</v>
      </c>
      <c r="BX17" s="90" t="n">
        <f aca="false">IF(BT17&gt;0,BP17/BT17,0)</f>
        <v>0.261626696735583</v>
      </c>
      <c r="BY17" s="90" t="n">
        <f aca="false">IF(BU17&gt;0,BQ17/BU17,0)</f>
        <v>0.276222220616736</v>
      </c>
      <c r="BZ17" s="90" t="n">
        <f aca="false">IF(BV17&gt;0,BR17/BV17,0)</f>
        <v>0.215183862618966</v>
      </c>
      <c r="CA17" s="90" t="n">
        <f aca="false">INDEX(in_mkt_listing_3464,1,C17)*(1-IF(sku_flute_3464="B",T17,0))*(1-S17)*N17</f>
        <v>0.2856</v>
      </c>
      <c r="CB17" s="90" t="n">
        <f aca="false">INDEX(in_mkt_listing_3463,1,C17)*(1-IF(sku_flute_3463="B",T17,0))*(1-S17)*N17</f>
        <v>0.3128</v>
      </c>
      <c r="CC17" s="90" t="n">
        <f aca="false">INDEX(in_mkt_listing_3460,1,C17)*(1-IF(sku_flute_3460="B",T17,0))*(1-S17)*N17</f>
        <v>0.256</v>
      </c>
      <c r="CD17" s="88" t="n">
        <f aca="false">BT17*CA17+BU17*CB17+BV17*CC17</f>
        <v>17002.56</v>
      </c>
      <c r="CE17" s="88" t="n">
        <f aca="false">CD17-BM17</f>
        <v>2017.20767857143</v>
      </c>
      <c r="CF17" s="87" t="n">
        <f aca="false">IF(CD17&gt;0,CE17/CD17,0)</f>
        <v>0.118641409209638</v>
      </c>
      <c r="CG17" s="87" t="n">
        <f aca="false">W17+INDEX(in_sel_processing,1,C17)+INDEX(in_sel_bad_debt,1,C17)</f>
        <v>0.0325</v>
      </c>
      <c r="CH17" s="88" t="n">
        <f aca="false">CD17*CG17</f>
        <v>552.5832</v>
      </c>
      <c r="CI17" s="88" t="n">
        <f aca="false">INDEX(in_sel_testing,1,C17)*X17+INDEX(in_sel_admin,1,C17)</f>
        <v>1250</v>
      </c>
      <c r="CJ17" s="79" t="n">
        <f aca="false">INDEX(in_sup_lead_days,1,C17)</f>
        <v>14</v>
      </c>
      <c r="CK17" s="79" t="n">
        <f aca="false">CJ17+INDEX(in_oce_transit,1,C17)+IF(F17=4,INDEX(in_oce_lcl_extra_days,1,C17),0)</f>
        <v>39</v>
      </c>
      <c r="CL17" s="79" t="n">
        <f aca="false">CK17+2+INDEX(in_cus_dem_days,1,C17)</f>
        <v>41</v>
      </c>
      <c r="CM17" s="79" t="n">
        <f aca="false">CL17+U17</f>
        <v>71</v>
      </c>
      <c r="CN17" s="79" t="n">
        <f aca="false">CJ17+INDEX(in_sup_vat_lag,1,C17)</f>
        <v>44</v>
      </c>
      <c r="CO17" s="91" t="n">
        <f aca="false">INDEX(in_sup_advance,1,C17)</f>
        <v>0.5</v>
      </c>
      <c r="CP17" s="88" t="n">
        <f aca="false">CO17*(AL17+AM17)+AO17+INDEX(in_sel_testing,1,C17)*X17</f>
        <v>5030.54029304029</v>
      </c>
      <c r="CQ17" s="88" t="n">
        <f aca="false">(1-CO17)*(AL17+AM17)+AR17+AU17+AZ17</f>
        <v>9090.15567765568</v>
      </c>
      <c r="CR17" s="88" t="n">
        <f aca="false">BB17+BC17+BD17+BF17+BJ17</f>
        <v>429.656350732601</v>
      </c>
      <c r="CS17" s="88" t="n">
        <f aca="false">BK17+BL17</f>
        <v>1435</v>
      </c>
      <c r="CT17" s="88" t="n">
        <f aca="false">IF(K17=2,AM17,0)</f>
        <v>0</v>
      </c>
      <c r="CU17" s="85" t="n">
        <f aca="false">IF(K17=2,CO17*AM17*(CN17-0)+(1-CO17)*AM17*(CN17-CJ17),0)</f>
        <v>0</v>
      </c>
      <c r="CV17" s="85" t="n">
        <f aca="false">(CP17-CO17*CT17)*(CM17-0)+(CQ17-(1-CO17)*CT17)*(CM17-CJ17)+CR17*(CM17-CK17)+CS17*(CM17-CL17)</f>
        <v>932106.237655678</v>
      </c>
      <c r="CW17" s="88" t="n">
        <f aca="false">INDEX(in_sel_fin_rate,1,C17)/365*(CU17+CV17)</f>
        <v>204.297257568368</v>
      </c>
      <c r="CX17" s="85" t="n">
        <f aca="false">CP17-IF(CN17&lt;=0,CT17,0)</f>
        <v>5030.54029304029</v>
      </c>
      <c r="CY17" s="85" t="n">
        <f aca="false">CP17+CQ17-IF(CN17&lt;=CJ17,CT17,0)</f>
        <v>14120.695970696</v>
      </c>
      <c r="CZ17" s="85" t="n">
        <f aca="false">CP17+CQ17+CR17-IF(CN17&lt;=CK17,CT17,0)</f>
        <v>14550.3523214286</v>
      </c>
      <c r="DA17" s="85" t="n">
        <f aca="false">CP17+CQ17+CR17+CS17-IF(CN17&lt;=CL17,CT17,0)</f>
        <v>15985.3523214286</v>
      </c>
      <c r="DB17" s="88" t="n">
        <f aca="false">MAX(CX17,CY17,CZ17,DA17)</f>
        <v>15985.3523214286</v>
      </c>
      <c r="DC17" s="88" t="n">
        <f aca="false">CP17+CQ17+CR17+CS17</f>
        <v>15985.3523214286</v>
      </c>
      <c r="DD17" s="88" t="n">
        <f aca="false">CE17-CH17-CI17-CW17</f>
        <v>10.3272210030612</v>
      </c>
      <c r="DE17" s="87" t="n">
        <f aca="false">IF(CD17&gt;0,DD17/CD17,0)</f>
        <v>0.000607392122307533</v>
      </c>
      <c r="DF17" s="86" t="n">
        <f aca="false">IF(CD17&gt;0,(BM17+CI17+CW17)/(CD17*(1-CG17)),0)</f>
        <v>0.999372204524747</v>
      </c>
      <c r="DG17" s="90" t="n">
        <f aca="false">IF(BW17&gt;0,BM17/BW17,0)</f>
        <v>0.251010926657095</v>
      </c>
      <c r="DH17" s="90" t="n">
        <f aca="false">IF(BW17&gt;0,CD17/BW17,0)</f>
        <v>0.2848</v>
      </c>
      <c r="DI17" s="90" t="n">
        <f aca="false">IF(AI17&gt;0,(AI17*IF(K17=3,INDEX(in_sup_vat_rate,1,C17),0)+AV17*BA17+(BC17+BD17)*AV17/AY17+AZ17*AI17/AL17)/AI17,0)</f>
        <v>0.011742389834937</v>
      </c>
      <c r="DJ17" s="90" t="n">
        <f aca="false">IF(AJ17&gt;0,(AJ17*IF(K17=3,INDEX(in_sup_vat_rate,1,C17),0)+AW17*BA17+(BC17+BD17)*AW17/AY17+AZ17*AJ17/AL17)/AJ17,0)</f>
        <v>0.011742389834937</v>
      </c>
      <c r="DK17" s="90" t="n">
        <f aca="false">IF(AK17&gt;0,(AK17*IF(K17=3,INDEX(in_sup_vat_rate,1,C17),0)+AX17*BA17+(BC17+BD17)*AX17/AY17+AZ17*AK17/AL17)/AK17,0)</f>
        <v>0.011742389834937</v>
      </c>
      <c r="DL17" s="90" t="n">
        <f aca="false">IF(Y17&gt;0,(BP17-AI17*(1+DI17))/Y17,0)</f>
        <v>0.113064646833942</v>
      </c>
      <c r="DM17" s="90" t="n">
        <f aca="false">IF(Z17&gt;0,(BQ17-AJ17*(1+DJ17))/Z17,0)</f>
        <v>0.135772856112348</v>
      </c>
      <c r="DN17" s="90" t="n">
        <f aca="false">IF(AA17&gt;0,(BR17-AK17*(1+DK17))/AA17,0)</f>
        <v>0.092643266284479</v>
      </c>
      <c r="DO17" s="86" t="n">
        <f aca="false">IF(Y17&gt;0,(CA17*(1-thr_gm_go)*(1-R17)-DL17)/(1+DI17)*I17/((1+AH17)*J17),"")</f>
        <v>5.68431953862768</v>
      </c>
      <c r="DP17" s="86" t="n">
        <f aca="false">IF(Z17&gt;0,(CB17*(1-thr_gm_go)*(1-R17)-DM17)/(1+DJ17)*I17/((1+AH17)*J17),"")</f>
        <v>5.54740365140168</v>
      </c>
      <c r="DQ17" s="86" t="n">
        <f aca="false">IF(AA17&gt;0,(CC17*(1-thr_gm_go)*(1-R17)-DN17)/(1+DK17)*I17/((1+AH17)*J17),"")</f>
        <v>5.58958768331901</v>
      </c>
      <c r="DR17" s="92" t="n">
        <f aca="false">IF(AND(AY17*INDEX(in_cus_mpf_rate,1,C17)&gt;INDEX(in_cus_mpf_min,1,C17),AY17*INDEX(in_cus_mpf_rate,1,C17)&lt;INDEX(in_cus_mpf_max,1,C17)),INDEX(in_cus_mpf_rate,1,C17),0)</f>
        <v>0</v>
      </c>
      <c r="DS17" s="88" t="n">
        <f aca="false">IF(AZ17&gt;INDEX(in_oce_ins_min,1,C17),INDEX(in_oce_ins_rate,1,C17)*(1+INDEX(in_oce_ins_uplift,1,C17))*AL17,0)</f>
        <v>0</v>
      </c>
      <c r="DT17" s="88" t="n">
        <f aca="false">(AL17+AN17)*(1+BA17+INDEX(in_cus_hmf,1,C17)+DR17)+DS17</f>
        <v>8071.15693681319</v>
      </c>
      <c r="DU17" s="86" t="n">
        <f aca="false">IF(DT17&gt;0,(CD17*(1-thr_gm_go)-(BM17-DT17))/DT17,0)</f>
        <v>0.723282258180149</v>
      </c>
      <c r="DV17" s="86" t="n">
        <f aca="false">IF(DT17&gt;0,(CD17-(BM17-DT17))/DT17,0)</f>
        <v>1.24992794643489</v>
      </c>
      <c r="DW17" s="87" t="n">
        <f aca="false">(1+AH17)*J17*DU17-1</f>
        <v>-0.312881854728858</v>
      </c>
      <c r="DX17" s="87" t="n">
        <f aca="false">(1+AH17)*J17*DV17-1</f>
        <v>0.187431549113145</v>
      </c>
      <c r="DY17" s="85" t="n">
        <f aca="false">IF(G17&gt;0,(CD17*(1-thr_gm_go)-(BM17-AT17))/G17,"")</f>
        <v>883.283839285715</v>
      </c>
      <c r="DZ17" s="90" t="n">
        <f aca="false">IF(AB17&gt;0,(AL17+AN17+BB17+BC17+BD17)/AB17,0)</f>
        <v>0.135095615613553</v>
      </c>
      <c r="EA17" s="88" t="n">
        <f aca="false">BM17-DZ17*AB17</f>
        <v>6879.61538461539</v>
      </c>
      <c r="EB17" s="90" t="n">
        <f aca="false">IF(AB17&gt;0,CD17/AB17,0)</f>
        <v>0.283376</v>
      </c>
      <c r="EC17" s="85" t="n">
        <f aca="false">IF(EB17*(1-thr_gm_go)-DZ17&gt;0,EA17/(EB17*(1-thr_gm_go)-DZ17),"n/a")</f>
        <v>88842.1565537282</v>
      </c>
      <c r="ED17" s="85" t="n">
        <f aca="false">IF(EB17-DZ17&gt;0,EA17/(EB17-DZ17),"n/a")</f>
        <v>46395.9910346995</v>
      </c>
      <c r="EE17" s="93" t="b">
        <f aca="false">INDEX(cfg_fits,D17,C17)</f>
        <v>1</v>
      </c>
      <c r="EF17" s="87" t="n">
        <f aca="false">IF(F17=4,"",INDEX(cfg_lenutil,D17,C17))</f>
        <v>0.901551724137931</v>
      </c>
      <c r="EG17" s="31" t="str">
        <f aca="false">IF(O17&gt;1,"Check fit (units scaled up)","")</f>
        <v/>
      </c>
    </row>
    <row r="18" customFormat="false" ht="15" hidden="false" customHeight="false" outlineLevel="0" collapsed="false">
      <c r="A18" s="78" t="n">
        <v>1034</v>
      </c>
      <c r="B18" s="9" t="s">
        <v>3166</v>
      </c>
      <c r="C18" s="78" t="n">
        <v>1</v>
      </c>
      <c r="D18" s="78" t="n">
        <v>3</v>
      </c>
      <c r="E18" s="78" t="n">
        <v>4</v>
      </c>
      <c r="F18" s="79" t="n">
        <f aca="false">INDEX(cfg_ct,D18)</f>
        <v>1</v>
      </c>
      <c r="G18" s="79" t="n">
        <f aca="false">INDEX(cfg_n,D18)</f>
        <v>2</v>
      </c>
      <c r="H18" s="79" t="n">
        <f aca="false">INDEX(dest_port,E18)</f>
        <v>3</v>
      </c>
      <c r="I18" s="80" t="n">
        <f aca="false">INDEX(in_fx_cbe,1,C18)*(1-INDEX(in_fx_spread,1,C18))</f>
        <v>54.6</v>
      </c>
      <c r="J18" s="81" t="n">
        <f aca="false">1</f>
        <v>1</v>
      </c>
      <c r="K18" s="82" t="n">
        <f aca="false">INDEX(in_sup_vat_mode,1,C18)</f>
        <v>1</v>
      </c>
      <c r="L18" s="83" t="n">
        <f aca="false">INDEX(in_cus_s301,1,C18)</f>
        <v>0</v>
      </c>
      <c r="M18" s="84" t="n">
        <f aca="false">1</f>
        <v>1</v>
      </c>
      <c r="N18" s="81" t="n">
        <f aca="false">1</f>
        <v>1</v>
      </c>
      <c r="O18" s="81" t="n">
        <f aca="false">1</f>
        <v>1</v>
      </c>
      <c r="P18" s="81" t="n">
        <f aca="false">1</f>
        <v>1</v>
      </c>
      <c r="Q18" s="81" t="n">
        <f aca="false">1</f>
        <v>1</v>
      </c>
      <c r="R18" s="83" t="n">
        <f aca="false">INDEX(in_sel_damage,1,C18)</f>
        <v>0.005</v>
      </c>
      <c r="S18" s="83" t="n">
        <f aca="false">INDEX(in_mkt_dist_margin,1,C18)</f>
        <v>0.2</v>
      </c>
      <c r="T18" s="83" t="n">
        <f aca="false">INDEX(in_mkt_eflute_disc,1,C18)</f>
        <v>0.15</v>
      </c>
      <c r="U18" s="82" t="n">
        <f aca="false">INDEX(in_sel_credit_days,1,C18)</f>
        <v>30</v>
      </c>
      <c r="V18" s="81" t="n">
        <f aca="false">1</f>
        <v>1</v>
      </c>
      <c r="W18" s="83" t="n">
        <f aca="false">INDEX(in_sel_commission,1,C18)</f>
        <v>0.03</v>
      </c>
      <c r="X18" s="82" t="n">
        <f aca="false">1</f>
        <v>1</v>
      </c>
      <c r="Y18" s="85" t="n">
        <f aca="false">INDEX(cfg_u_3464,D18,C18)*O18</f>
        <v>20000</v>
      </c>
      <c r="Z18" s="85" t="n">
        <f aca="false">INDEX(cfg_u_3463,D18,C18)*O18</f>
        <v>20000</v>
      </c>
      <c r="AA18" s="85" t="n">
        <f aca="false">INDEX(cfg_u_3460,D18,C18)*O18</f>
        <v>20000</v>
      </c>
      <c r="AB18" s="85" t="n">
        <f aca="false">Y18+Z18+AA18</f>
        <v>60000</v>
      </c>
      <c r="AC18" s="86" t="n">
        <f aca="false">Y18*INDEX(lg_vpu_3464,C18)</f>
        <v>13.3386</v>
      </c>
      <c r="AD18" s="86" t="n">
        <f aca="false">Z18*INDEX(lg_vpu_3463,C18)</f>
        <v>16.3176</v>
      </c>
      <c r="AE18" s="86" t="n">
        <f aca="false">AA18*INDEX(lg_vpu_3460,C18)</f>
        <v>10.6596</v>
      </c>
      <c r="AF18" s="86" t="n">
        <f aca="false">AC18+AD18+AE18</f>
        <v>40.3158</v>
      </c>
      <c r="AG18" s="85" t="n">
        <f aca="false">Y18*INDEX(lg_kpu_3464,C18)+Z18*INDEX(lg_kpu_3463,C18)+AA18*INDEX(lg_kpu_3460,C18)</f>
        <v>9855.3664</v>
      </c>
      <c r="AH18" s="87" t="n">
        <f aca="false">INDEX(in_sup_requote,1,C18)</f>
        <v>-0.05</v>
      </c>
      <c r="AI18" s="88" t="n">
        <f aca="false">Y18*q_price_3464*(1+AH18)*J18/I18</f>
        <v>2910.89743589744</v>
      </c>
      <c r="AJ18" s="88" t="n">
        <f aca="false">Z18*q_price_3463*(1+AH18)*J18/I18</f>
        <v>2749.08424908425</v>
      </c>
      <c r="AK18" s="88" t="n">
        <f aca="false">AA18*q_price_3460*(1+AH18)*J18/I18</f>
        <v>2401.0989010989</v>
      </c>
      <c r="AL18" s="88" t="n">
        <f aca="false">AI18+AJ18+AK18</f>
        <v>8061.08058608059</v>
      </c>
      <c r="AM18" s="88" t="n">
        <f aca="false">IF(OR(K18=2,K18=3),AL18*INDEX(in_sup_vat_rate,1,C18),0)</f>
        <v>0</v>
      </c>
      <c r="AN18" s="88" t="n">
        <f aca="false">IF(K18=3,AM18,0)</f>
        <v>0</v>
      </c>
      <c r="AO18" s="88" t="n">
        <f aca="false">INDEX(in_sup_tooling_egp,1,C18)/I18</f>
        <v>0</v>
      </c>
      <c r="AP18" s="88" t="n">
        <f aca="false">IF(F18=4,INDEX(in_ori_lcl_truck,1,C18)*V18/I18+INDEX(in_ori_lcl_cfs_o,1,C18),G18*(IF(F18=1,INDEX(in_ori_truck_20,1,C18),INDEX(in_ori_truck_40,1,C18))*V18/I18+INDEX(in_ori_terminal,1,C18)+IF(F18=1,INDEX(in_ori_othc_20,1,C18),INDEX(in_ori_othc_40,1,C18))*(1-INDEX(in_ori_othc_in_freight,1,C18))+INDEX(in_ori_seal,1,C18)+INDEX(in_ori_inspection,1,C18)+INDEX(in_ori_dd_days,1,C18)*IF(F18=1,INDEX(in_ori_dd_20,1,C18),INDEX(in_ori_dd_40,1,C18))+INDEX(in_ori_loading_egp,1,C18)/I18))</f>
        <v>681.355311355311</v>
      </c>
      <c r="AQ18" s="88" t="n">
        <f aca="false">(INDEX(in_ori_clearance,1,C18)+INDEX(in_ori_coo,1,C18))/I18+INDEX(in_ori_bl_fee,1,C18)+INDEX(in_ori_fwd_fee,1,C18)+INDEX(in_ori_qc,1,C18)+INDEX(in_ori_wires,1,C18)*INDEX(in_ori_wire_fee,1,C18)</f>
        <v>298.260073260073</v>
      </c>
      <c r="AR18" s="88" t="n">
        <f aca="false">AP18+AQ18</f>
        <v>979.615384615385</v>
      </c>
      <c r="AS18" s="85" t="n">
        <f aca="false">INDEX(tbl_port_diff,H18,C18)</f>
        <v>0</v>
      </c>
      <c r="AT18" s="88" t="n">
        <f aca="false">IF(F18=4,MAX(AF18*INDEX(in_oce_lcl_factor,1,C18),AG18/1000,1)*INDEX(in_oce_lcl_rate,1,C18)*M18,G18*(INDEX(tbl_ocean_rate,MIN(F18,3),C18)+AS18)*M18)</f>
        <v>4000</v>
      </c>
      <c r="AU18" s="88" t="n">
        <f aca="false">AT18+INDEX(in_oce_ams,1,C18)</f>
        <v>4030</v>
      </c>
      <c r="AV18" s="88" t="n">
        <f aca="false">AI18*(1+IF(K18=3,INDEX(in_sup_vat_rate,1,C18),0))+AO18*Y18/AB18</f>
        <v>2910.89743589744</v>
      </c>
      <c r="AW18" s="88" t="n">
        <f aca="false">AJ18*(1+IF(K18=3,INDEX(in_sup_vat_rate,1,C18),0))+AO18*Z18/AB18</f>
        <v>2749.08424908425</v>
      </c>
      <c r="AX18" s="88" t="n">
        <f aca="false">AK18*(1+IF(K18=3,INDEX(in_sup_vat_rate,1,C18),0))+AO18*AA18/AB18</f>
        <v>2401.0989010989</v>
      </c>
      <c r="AY18" s="88" t="n">
        <f aca="false">AV18+AW18+AX18</f>
        <v>8061.08058608059</v>
      </c>
      <c r="AZ18" s="88" t="n">
        <f aca="false">MAX(INDEX(in_oce_ins_min,1,C18),INDEX(in_oce_ins_rate,1,C18)*(1+INDEX(in_oce_ins_uplift,1,C18))*(AL18+AO18+AR18+AU18))*(1-INDEX(in_oce_ins_in_other,1,C18))</f>
        <v>50</v>
      </c>
      <c r="BA18" s="87" t="n">
        <f aca="false">INDEX(in_cus_mfn,1,C18)+L18</f>
        <v>0</v>
      </c>
      <c r="BB18" s="88" t="n">
        <f aca="false">AY18*BA18</f>
        <v>0</v>
      </c>
      <c r="BC18" s="88" t="n">
        <f aca="false">MIN(MAX(AY18*INDEX(in_cus_mpf_rate,1,C18),INDEX(in_cus_mpf_min,1,C18)),INDEX(in_cus_mpf_max,1,C18))</f>
        <v>34.58</v>
      </c>
      <c r="BD18" s="88" t="n">
        <f aca="false">AY18*INDEX(in_cus_hmf,1,C18)</f>
        <v>10.0763507326007</v>
      </c>
      <c r="BE18" s="88" t="n">
        <f aca="false">MAX(INDEX(in_cus_stb_min,1,C18),INDEX(in_cus_stb_rate,1,C18)/1000*(AY18+BB18+BC18+BD18))</f>
        <v>50</v>
      </c>
      <c r="BF18" s="88" t="n">
        <f aca="false">INDEX(in_cus_broker,1,C18)+INDEX(in_cus_isf,1,C18)+INDEX(in_cus_do_fee,1,C18)+BE18+INDEX(in_cus_isf_bond,1,C18)</f>
        <v>385</v>
      </c>
      <c r="BG18" s="88" t="n">
        <f aca="false">IF(H18=1,INDEX(in_cus_cfc,1,C18)*INDEX(ct_teu,F18)*G18*(1-INDEX(in_cus_cfc_in_freight,1,C18)),0)</f>
        <v>0</v>
      </c>
      <c r="BH18" s="88" t="n">
        <f aca="false">IF(F18=4,1,G18)*(INDEX(in_cus_exam,1,C18)+INDEX(in_cus_exam_dray,1,C18))</f>
        <v>0</v>
      </c>
      <c r="BI18" s="88" t="n">
        <f aca="false">IF(F18=4,1,G18)*INDEX(in_cus_dem_days,1,C18)*INDEX(in_cus_dem_rate,1,C18)</f>
        <v>0</v>
      </c>
      <c r="BJ18" s="88" t="n">
        <f aca="false">BG18+BH18+BI18</f>
        <v>0</v>
      </c>
      <c r="BK18" s="88" t="n">
        <f aca="false">IF(F18=4,(INDEX(in_dra_lcl_cfs_d,1,C18)+INDEX(in_dra_lcl_deliv,1,C18))*P18,G18*(INDEX(tbl_dest_line,E18,C18)*P18*(1+INDEX(in_dra_fsc,1,C18))+INDEX(tbl_dest_tolls,E18,C18)+INDEX(in_dra_chassis_days,1,C18)*INDEX(tbl_dest_chassis,E18,C18)*(1-INDEX(in_dra_chassis_in_dray,1,C18))+INDEX(in_dra_wait_hours,1,C18)*INDEX(in_dra_wait_rate,1,C18)+INDEX(in_dra_split,1,C18)+INDEX(in_dra_prepull,1,C18)+INDEX(in_dra_dryrun,1,C18)))</f>
        <v>2055</v>
      </c>
      <c r="BL18" s="88" t="n">
        <f aca="false">IF(F18=4,0,G18*IF(F18=1,INDEX(in_dra_unload_20,1,C18),INDEX(in_dra_unload_40,1,C18))*Q18*(1-INDEX(in_dra_unload_in_dray,1,C18)))</f>
        <v>300</v>
      </c>
      <c r="BM18" s="88" t="n">
        <f aca="false">AL18+AN18+AO18+AR18+AU18+AZ18+BB18+BC18+BD18+BF18+BJ18+BK18+BL18</f>
        <v>15905.3523214286</v>
      </c>
      <c r="BN18" s="88" t="n">
        <f aca="false">AP18+AU18+BJ18+BK18+BL18</f>
        <v>7066.35531135531</v>
      </c>
      <c r="BO18" s="88" t="n">
        <f aca="false">AQ18+BF18</f>
        <v>683.260073260073</v>
      </c>
      <c r="BP18" s="88" t="n">
        <f aca="false">AI18*(1+IF(K18=3,INDEX(in_sup_vat_rate,1,C18),0))+AO18*Y18/AB18+AV18*BA18+(BC18+BD18)*AV18/AY18+AZ18*AI18/AL18+BN18*AC18/AF18+BO18*Y18/AB18</f>
        <v>5510.75594796638</v>
      </c>
      <c r="BQ18" s="88" t="n">
        <f aca="false">AJ18*(1+IF(K18=3,INDEX(in_sup_vat_rate,1,C18),0))+AO18*Z18/AB18+AW18*BA18+(BC18+BD18)*AW18/AY18+AZ18*AJ18/AL18+BN18*AD18/AF18+BO18*Z18/AB18</f>
        <v>5869.18716876783</v>
      </c>
      <c r="BR18" s="88" t="n">
        <f aca="false">AK18*(1+IF(K18=3,INDEX(in_sup_vat_rate,1,C18),0))+AO18*AA18/AB18+AX18*BA18+(BC18+BD18)*AX18/AY18+AZ18*AK18/AL18+BN18*AE18/AF18+BO18*AA18/AB18</f>
        <v>4525.40920469436</v>
      </c>
      <c r="BS18" s="89" t="n">
        <f aca="false">BP18+BQ18+BR18-BM18</f>
        <v>0</v>
      </c>
      <c r="BT18" s="85" t="n">
        <f aca="false">Y18*(1-R18)</f>
        <v>19900</v>
      </c>
      <c r="BU18" s="85" t="n">
        <f aca="false">Z18*(1-R18)</f>
        <v>19900</v>
      </c>
      <c r="BV18" s="85" t="n">
        <f aca="false">AA18*(1-R18)</f>
        <v>19900</v>
      </c>
      <c r="BW18" s="85" t="n">
        <f aca="false">BT18+BU18+BV18</f>
        <v>59700</v>
      </c>
      <c r="BX18" s="90" t="n">
        <f aca="false">IF(BT18&gt;0,BP18/BT18,0)</f>
        <v>0.276922409445547</v>
      </c>
      <c r="BY18" s="90" t="n">
        <f aca="false">IF(BU18&gt;0,BQ18/BU18,0)</f>
        <v>0.294934028581298</v>
      </c>
      <c r="BZ18" s="90" t="n">
        <f aca="false">IF(BV18&gt;0,BR18/BV18,0)</f>
        <v>0.227407497723335</v>
      </c>
      <c r="CA18" s="90" t="n">
        <f aca="false">INDEX(in_mkt_listing_3464,1,C18)*(1-IF(sku_flute_3464="B",T18,0))*(1-S18)*N18</f>
        <v>0.2856</v>
      </c>
      <c r="CB18" s="90" t="n">
        <f aca="false">INDEX(in_mkt_listing_3463,1,C18)*(1-IF(sku_flute_3463="B",T18,0))*(1-S18)*N18</f>
        <v>0.3128</v>
      </c>
      <c r="CC18" s="90" t="n">
        <f aca="false">INDEX(in_mkt_listing_3460,1,C18)*(1-IF(sku_flute_3460="B",T18,0))*(1-S18)*N18</f>
        <v>0.256</v>
      </c>
      <c r="CD18" s="88" t="n">
        <f aca="false">BT18*CA18+BU18*CB18+BV18*CC18</f>
        <v>17002.56</v>
      </c>
      <c r="CE18" s="88" t="n">
        <f aca="false">CD18-BM18</f>
        <v>1097.20767857143</v>
      </c>
      <c r="CF18" s="87" t="n">
        <f aca="false">IF(CD18&gt;0,CE18/CD18,0)</f>
        <v>0.0645319104047525</v>
      </c>
      <c r="CG18" s="87" t="n">
        <f aca="false">W18+INDEX(in_sel_processing,1,C18)+INDEX(in_sel_bad_debt,1,C18)</f>
        <v>0.0325</v>
      </c>
      <c r="CH18" s="88" t="n">
        <f aca="false">CD18*CG18</f>
        <v>552.5832</v>
      </c>
      <c r="CI18" s="88" t="n">
        <f aca="false">INDEX(in_sel_testing,1,C18)*X18+INDEX(in_sel_admin,1,C18)</f>
        <v>1250</v>
      </c>
      <c r="CJ18" s="79" t="n">
        <f aca="false">INDEX(in_sup_lead_days,1,C18)</f>
        <v>14</v>
      </c>
      <c r="CK18" s="79" t="n">
        <f aca="false">CJ18+INDEX(in_oce_transit,1,C18)+IF(F18=4,INDEX(in_oce_lcl_extra_days,1,C18),0)</f>
        <v>39</v>
      </c>
      <c r="CL18" s="79" t="n">
        <f aca="false">CK18+2+INDEX(in_cus_dem_days,1,C18)</f>
        <v>41</v>
      </c>
      <c r="CM18" s="79" t="n">
        <f aca="false">CL18+U18</f>
        <v>71</v>
      </c>
      <c r="CN18" s="79" t="n">
        <f aca="false">CJ18+INDEX(in_sup_vat_lag,1,C18)</f>
        <v>44</v>
      </c>
      <c r="CO18" s="91" t="n">
        <f aca="false">INDEX(in_sup_advance,1,C18)</f>
        <v>0.5</v>
      </c>
      <c r="CP18" s="88" t="n">
        <f aca="false">CO18*(AL18+AM18)+AO18+INDEX(in_sel_testing,1,C18)*X18</f>
        <v>5030.54029304029</v>
      </c>
      <c r="CQ18" s="88" t="n">
        <f aca="false">(1-CO18)*(AL18+AM18)+AR18+AU18+AZ18</f>
        <v>9090.15567765568</v>
      </c>
      <c r="CR18" s="88" t="n">
        <f aca="false">BB18+BC18+BD18+BF18+BJ18</f>
        <v>429.656350732601</v>
      </c>
      <c r="CS18" s="88" t="n">
        <f aca="false">BK18+BL18</f>
        <v>2355</v>
      </c>
      <c r="CT18" s="88" t="n">
        <f aca="false">IF(K18=2,AM18,0)</f>
        <v>0</v>
      </c>
      <c r="CU18" s="85" t="n">
        <f aca="false">IF(K18=2,CO18*AM18*(CN18-0)+(1-CO18)*AM18*(CN18-CJ18),0)</f>
        <v>0</v>
      </c>
      <c r="CV18" s="85" t="n">
        <f aca="false">(CP18-CO18*CT18)*(CM18-0)+(CQ18-(1-CO18)*CT18)*(CM18-CJ18)+CR18*(CM18-CK18)+CS18*(CM18-CL18)</f>
        <v>959706.237655678</v>
      </c>
      <c r="CW18" s="88" t="n">
        <f aca="false">INDEX(in_sel_fin_rate,1,C18)/365*(CU18+CV18)</f>
        <v>210.346572636861</v>
      </c>
      <c r="CX18" s="85" t="n">
        <f aca="false">CP18-IF(CN18&lt;=0,CT18,0)</f>
        <v>5030.54029304029</v>
      </c>
      <c r="CY18" s="85" t="n">
        <f aca="false">CP18+CQ18-IF(CN18&lt;=CJ18,CT18,0)</f>
        <v>14120.695970696</v>
      </c>
      <c r="CZ18" s="85" t="n">
        <f aca="false">CP18+CQ18+CR18-IF(CN18&lt;=CK18,CT18,0)</f>
        <v>14550.3523214286</v>
      </c>
      <c r="DA18" s="85" t="n">
        <f aca="false">CP18+CQ18+CR18+CS18-IF(CN18&lt;=CL18,CT18,0)</f>
        <v>16905.3523214286</v>
      </c>
      <c r="DB18" s="88" t="n">
        <f aca="false">MAX(CX18,CY18,CZ18,DA18)</f>
        <v>16905.3523214286</v>
      </c>
      <c r="DC18" s="88" t="n">
        <f aca="false">CP18+CQ18+CR18+CS18</f>
        <v>16905.3523214286</v>
      </c>
      <c r="DD18" s="88" t="n">
        <f aca="false">CE18-CH18-CI18-CW18</f>
        <v>-915.722094065432</v>
      </c>
      <c r="DE18" s="87" t="n">
        <f aca="false">IF(CD18&gt;0,DD18/CD18,0)</f>
        <v>-0.0538578951678707</v>
      </c>
      <c r="DF18" s="86" t="n">
        <f aca="false">IF(CD18&gt;0,(BM18+CI18+CW18)/(CD18*(1-CG18)),0)</f>
        <v>1.05566707510891</v>
      </c>
      <c r="DG18" s="90" t="n">
        <f aca="false">IF(BW18&gt;0,BM18/BW18,0)</f>
        <v>0.266421311916727</v>
      </c>
      <c r="DH18" s="90" t="n">
        <f aca="false">IF(BW18&gt;0,CD18/BW18,0)</f>
        <v>0.2848</v>
      </c>
      <c r="DI18" s="90" t="n">
        <f aca="false">IF(AI18&gt;0,(AI18*IF(K18=3,INDEX(in_sup_vat_rate,1,C18),0)+AV18*BA18+(BC18+BD18)*AV18/AY18+AZ18*AI18/AL18)/AI18,0)</f>
        <v>0.011742389834937</v>
      </c>
      <c r="DJ18" s="90" t="n">
        <f aca="false">IF(AJ18&gt;0,(AJ18*IF(K18=3,INDEX(in_sup_vat_rate,1,C18),0)+AW18*BA18+(BC18+BD18)*AW18/AY18+AZ18*AJ18/AL18)/AJ18,0)</f>
        <v>0.011742389834937</v>
      </c>
      <c r="DK18" s="90" t="n">
        <f aca="false">IF(AK18&gt;0,(AK18*IF(K18=3,INDEX(in_sup_vat_rate,1,C18),0)+AX18*BA18+(BC18+BD18)*AX18/AY18+AZ18*AK18/AL18)/AK18,0)</f>
        <v>0.011742389834937</v>
      </c>
      <c r="DL18" s="90" t="n">
        <f aca="false">IF(Y18&gt;0,(BP18-AI18*(1+DI18))/Y18,0)</f>
        <v>0.128283880980356</v>
      </c>
      <c r="DM18" s="90" t="n">
        <f aca="false">IF(Z18&gt;0,(BQ18-AJ18*(1+DJ18))/Z18,0)</f>
        <v>0.154391105037088</v>
      </c>
      <c r="DN18" s="90" t="n">
        <f aca="false">IF(AA18&gt;0,(BR18-AK18*(1+DK18))/AA18,0)</f>
        <v>0.104805783213326</v>
      </c>
      <c r="DO18" s="86" t="n">
        <f aca="false">IF(Y18&gt;0,(CA18*(1-thr_gm_go)*(1-R18)-DL18)/(1+DI18)*I18/((1+AH18)*J18),"")</f>
        <v>4.81976600598409</v>
      </c>
      <c r="DP18" s="86" t="n">
        <f aca="false">IF(Z18&gt;0,(CB18*(1-thr_gm_go)*(1-R18)-DM18)/(1+DJ18)*I18/((1+AH18)*J18),"")</f>
        <v>4.48976351493571</v>
      </c>
      <c r="DQ18" s="86" t="n">
        <f aca="false">IF(AA18&gt;0,(CC18*(1-thr_gm_go)*(1-R18)-DN18)/(1+DK18)*I18/((1+AH18)*J18),"")</f>
        <v>4.89867598069898</v>
      </c>
      <c r="DR18" s="92" t="n">
        <f aca="false">IF(AND(AY18*INDEX(in_cus_mpf_rate,1,C18)&gt;INDEX(in_cus_mpf_min,1,C18),AY18*INDEX(in_cus_mpf_rate,1,C18)&lt;INDEX(in_cus_mpf_max,1,C18)),INDEX(in_cus_mpf_rate,1,C18),0)</f>
        <v>0</v>
      </c>
      <c r="DS18" s="88" t="n">
        <f aca="false">IF(AZ18&gt;INDEX(in_oce_ins_min,1,C18),INDEX(in_oce_ins_rate,1,C18)*(1+INDEX(in_oce_ins_uplift,1,C18))*AL18,0)</f>
        <v>0</v>
      </c>
      <c r="DT18" s="88" t="n">
        <f aca="false">(AL18+AN18)*(1+BA18+INDEX(in_cus_hmf,1,C18)+DR18)+DS18</f>
        <v>8071.15693681319</v>
      </c>
      <c r="DU18" s="86" t="n">
        <f aca="false">IF(DT18&gt;0,(CD18*(1-thr_gm_go)-(BM18-DT18))/DT18,0)</f>
        <v>0.609296121223277</v>
      </c>
      <c r="DV18" s="86" t="n">
        <f aca="false">IF(DT18&gt;0,(CD18-(BM18-DT18))/DT18,0)</f>
        <v>1.13594180947802</v>
      </c>
      <c r="DW18" s="87" t="n">
        <f aca="false">(1+AH18)*J18*DU18-1</f>
        <v>-0.421168684837887</v>
      </c>
      <c r="DX18" s="87" t="n">
        <f aca="false">(1+AH18)*J18*DV18-1</f>
        <v>0.0791447190041157</v>
      </c>
      <c r="DY18" s="85" t="n">
        <f aca="false">IF(G18&gt;0,(CD18*(1-thr_gm_go)-(BM18-AT18))/G18,"")</f>
        <v>423.283839285715</v>
      </c>
      <c r="DZ18" s="90" t="n">
        <f aca="false">IF(AB18&gt;0,(AL18+AN18+BB18+BC18+BD18)/AB18,0)</f>
        <v>0.135095615613553</v>
      </c>
      <c r="EA18" s="88" t="n">
        <f aca="false">BM18-DZ18*AB18</f>
        <v>7799.61538461539</v>
      </c>
      <c r="EB18" s="90" t="n">
        <f aca="false">IF(AB18&gt;0,CD18/AB18,0)</f>
        <v>0.283376</v>
      </c>
      <c r="EC18" s="85" t="n">
        <f aca="false">IF(EB18*(1-thr_gm_go)-DZ18&gt;0,EA18/(EB18*(1-thr_gm_go)-DZ18),"n/a")</f>
        <v>100722.876544588</v>
      </c>
      <c r="ED18" s="85" t="n">
        <f aca="false">IF(EB18-DZ18&gt;0,EA18/(EB18-DZ18),"n/a")</f>
        <v>52600.4529654314</v>
      </c>
      <c r="EE18" s="93" t="b">
        <f aca="false">INDEX(cfg_fits,D18,C18)</f>
        <v>1</v>
      </c>
      <c r="EF18" s="87" t="n">
        <f aca="false">IF(F18=4,"",INDEX(cfg_lenutil,D18,C18))</f>
        <v>0.901551724137931</v>
      </c>
      <c r="EG18" s="31" t="str">
        <f aca="false">IF(O18&gt;1,"Check fit (units scaled up)","")</f>
        <v/>
      </c>
    </row>
    <row r="19" customFormat="false" ht="15" hidden="false" customHeight="false" outlineLevel="0" collapsed="false">
      <c r="A19" s="78" t="n">
        <v>1035</v>
      </c>
      <c r="B19" s="9" t="s">
        <v>3167</v>
      </c>
      <c r="C19" s="78" t="n">
        <v>1</v>
      </c>
      <c r="D19" s="78" t="n">
        <v>3</v>
      </c>
      <c r="E19" s="78" t="n">
        <v>5</v>
      </c>
      <c r="F19" s="79" t="n">
        <f aca="false">INDEX(cfg_ct,D19)</f>
        <v>1</v>
      </c>
      <c r="G19" s="79" t="n">
        <f aca="false">INDEX(cfg_n,D19)</f>
        <v>2</v>
      </c>
      <c r="H19" s="79" t="n">
        <f aca="false">INDEX(dest_port,E19)</f>
        <v>4</v>
      </c>
      <c r="I19" s="80" t="n">
        <f aca="false">INDEX(in_fx_cbe,1,C19)*(1-INDEX(in_fx_spread,1,C19))</f>
        <v>54.6</v>
      </c>
      <c r="J19" s="81" t="n">
        <f aca="false">1</f>
        <v>1</v>
      </c>
      <c r="K19" s="82" t="n">
        <f aca="false">INDEX(in_sup_vat_mode,1,C19)</f>
        <v>1</v>
      </c>
      <c r="L19" s="83" t="n">
        <f aca="false">INDEX(in_cus_s301,1,C19)</f>
        <v>0</v>
      </c>
      <c r="M19" s="84" t="n">
        <f aca="false">1</f>
        <v>1</v>
      </c>
      <c r="N19" s="81" t="n">
        <f aca="false">1</f>
        <v>1</v>
      </c>
      <c r="O19" s="81" t="n">
        <f aca="false">1</f>
        <v>1</v>
      </c>
      <c r="P19" s="81" t="n">
        <f aca="false">1</f>
        <v>1</v>
      </c>
      <c r="Q19" s="81" t="n">
        <f aca="false">1</f>
        <v>1</v>
      </c>
      <c r="R19" s="83" t="n">
        <f aca="false">INDEX(in_sel_damage,1,C19)</f>
        <v>0.005</v>
      </c>
      <c r="S19" s="83" t="n">
        <f aca="false">INDEX(in_mkt_dist_margin,1,C19)</f>
        <v>0.2</v>
      </c>
      <c r="T19" s="83" t="n">
        <f aca="false">INDEX(in_mkt_eflute_disc,1,C19)</f>
        <v>0.15</v>
      </c>
      <c r="U19" s="82" t="n">
        <f aca="false">INDEX(in_sel_credit_days,1,C19)</f>
        <v>30</v>
      </c>
      <c r="V19" s="81" t="n">
        <f aca="false">1</f>
        <v>1</v>
      </c>
      <c r="W19" s="83" t="n">
        <f aca="false">INDEX(in_sel_commission,1,C19)</f>
        <v>0.03</v>
      </c>
      <c r="X19" s="82" t="n">
        <f aca="false">1</f>
        <v>1</v>
      </c>
      <c r="Y19" s="85" t="n">
        <f aca="false">INDEX(cfg_u_3464,D19,C19)*O19</f>
        <v>20000</v>
      </c>
      <c r="Z19" s="85" t="n">
        <f aca="false">INDEX(cfg_u_3463,D19,C19)*O19</f>
        <v>20000</v>
      </c>
      <c r="AA19" s="85" t="n">
        <f aca="false">INDEX(cfg_u_3460,D19,C19)*O19</f>
        <v>20000</v>
      </c>
      <c r="AB19" s="85" t="n">
        <f aca="false">Y19+Z19+AA19</f>
        <v>60000</v>
      </c>
      <c r="AC19" s="86" t="n">
        <f aca="false">Y19*INDEX(lg_vpu_3464,C19)</f>
        <v>13.3386</v>
      </c>
      <c r="AD19" s="86" t="n">
        <f aca="false">Z19*INDEX(lg_vpu_3463,C19)</f>
        <v>16.3176</v>
      </c>
      <c r="AE19" s="86" t="n">
        <f aca="false">AA19*INDEX(lg_vpu_3460,C19)</f>
        <v>10.6596</v>
      </c>
      <c r="AF19" s="86" t="n">
        <f aca="false">AC19+AD19+AE19</f>
        <v>40.3158</v>
      </c>
      <c r="AG19" s="85" t="n">
        <f aca="false">Y19*INDEX(lg_kpu_3464,C19)+Z19*INDEX(lg_kpu_3463,C19)+AA19*INDEX(lg_kpu_3460,C19)</f>
        <v>9855.3664</v>
      </c>
      <c r="AH19" s="87" t="n">
        <f aca="false">INDEX(in_sup_requote,1,C19)</f>
        <v>-0.05</v>
      </c>
      <c r="AI19" s="88" t="n">
        <f aca="false">Y19*q_price_3464*(1+AH19)*J19/I19</f>
        <v>2910.89743589744</v>
      </c>
      <c r="AJ19" s="88" t="n">
        <f aca="false">Z19*q_price_3463*(1+AH19)*J19/I19</f>
        <v>2749.08424908425</v>
      </c>
      <c r="AK19" s="88" t="n">
        <f aca="false">AA19*q_price_3460*(1+AH19)*J19/I19</f>
        <v>2401.0989010989</v>
      </c>
      <c r="AL19" s="88" t="n">
        <f aca="false">AI19+AJ19+AK19</f>
        <v>8061.08058608059</v>
      </c>
      <c r="AM19" s="88" t="n">
        <f aca="false">IF(OR(K19=2,K19=3),AL19*INDEX(in_sup_vat_rate,1,C19),0)</f>
        <v>0</v>
      </c>
      <c r="AN19" s="88" t="n">
        <f aca="false">IF(K19=3,AM19,0)</f>
        <v>0</v>
      </c>
      <c r="AO19" s="88" t="n">
        <f aca="false">INDEX(in_sup_tooling_egp,1,C19)/I19</f>
        <v>0</v>
      </c>
      <c r="AP19" s="88" t="n">
        <f aca="false">IF(F19=4,INDEX(in_ori_lcl_truck,1,C19)*V19/I19+INDEX(in_ori_lcl_cfs_o,1,C19),G19*(IF(F19=1,INDEX(in_ori_truck_20,1,C19),INDEX(in_ori_truck_40,1,C19))*V19/I19+INDEX(in_ori_terminal,1,C19)+IF(F19=1,INDEX(in_ori_othc_20,1,C19),INDEX(in_ori_othc_40,1,C19))*(1-INDEX(in_ori_othc_in_freight,1,C19))+INDEX(in_ori_seal,1,C19)+INDEX(in_ori_inspection,1,C19)+INDEX(in_ori_dd_days,1,C19)*IF(F19=1,INDEX(in_ori_dd_20,1,C19),INDEX(in_ori_dd_40,1,C19))+INDEX(in_ori_loading_egp,1,C19)/I19))</f>
        <v>681.355311355311</v>
      </c>
      <c r="AQ19" s="88" t="n">
        <f aca="false">(INDEX(in_ori_clearance,1,C19)+INDEX(in_ori_coo,1,C19))/I19+INDEX(in_ori_bl_fee,1,C19)+INDEX(in_ori_fwd_fee,1,C19)+INDEX(in_ori_qc,1,C19)+INDEX(in_ori_wires,1,C19)*INDEX(in_ori_wire_fee,1,C19)</f>
        <v>298.260073260073</v>
      </c>
      <c r="AR19" s="88" t="n">
        <f aca="false">AP19+AQ19</f>
        <v>979.615384615385</v>
      </c>
      <c r="AS19" s="85" t="n">
        <f aca="false">INDEX(tbl_port_diff,H19,C19)</f>
        <v>0</v>
      </c>
      <c r="AT19" s="88" t="n">
        <f aca="false">IF(F19=4,MAX(AF19*INDEX(in_oce_lcl_factor,1,C19),AG19/1000,1)*INDEX(in_oce_lcl_rate,1,C19)*M19,G19*(INDEX(tbl_ocean_rate,MIN(F19,3),C19)+AS19)*M19)</f>
        <v>4000</v>
      </c>
      <c r="AU19" s="88" t="n">
        <f aca="false">AT19+INDEX(in_oce_ams,1,C19)</f>
        <v>4030</v>
      </c>
      <c r="AV19" s="88" t="n">
        <f aca="false">AI19*(1+IF(K19=3,INDEX(in_sup_vat_rate,1,C19),0))+AO19*Y19/AB19</f>
        <v>2910.89743589744</v>
      </c>
      <c r="AW19" s="88" t="n">
        <f aca="false">AJ19*(1+IF(K19=3,INDEX(in_sup_vat_rate,1,C19),0))+AO19*Z19/AB19</f>
        <v>2749.08424908425</v>
      </c>
      <c r="AX19" s="88" t="n">
        <f aca="false">AK19*(1+IF(K19=3,INDEX(in_sup_vat_rate,1,C19),0))+AO19*AA19/AB19</f>
        <v>2401.0989010989</v>
      </c>
      <c r="AY19" s="88" t="n">
        <f aca="false">AV19+AW19+AX19</f>
        <v>8061.08058608059</v>
      </c>
      <c r="AZ19" s="88" t="n">
        <f aca="false">MAX(INDEX(in_oce_ins_min,1,C19),INDEX(in_oce_ins_rate,1,C19)*(1+INDEX(in_oce_ins_uplift,1,C19))*(AL19+AO19+AR19+AU19))*(1-INDEX(in_oce_ins_in_other,1,C19))</f>
        <v>50</v>
      </c>
      <c r="BA19" s="87" t="n">
        <f aca="false">INDEX(in_cus_mfn,1,C19)+L19</f>
        <v>0</v>
      </c>
      <c r="BB19" s="88" t="n">
        <f aca="false">AY19*BA19</f>
        <v>0</v>
      </c>
      <c r="BC19" s="88" t="n">
        <f aca="false">MIN(MAX(AY19*INDEX(in_cus_mpf_rate,1,C19),INDEX(in_cus_mpf_min,1,C19)),INDEX(in_cus_mpf_max,1,C19))</f>
        <v>34.58</v>
      </c>
      <c r="BD19" s="88" t="n">
        <f aca="false">AY19*INDEX(in_cus_hmf,1,C19)</f>
        <v>10.0763507326007</v>
      </c>
      <c r="BE19" s="88" t="n">
        <f aca="false">MAX(INDEX(in_cus_stb_min,1,C19),INDEX(in_cus_stb_rate,1,C19)/1000*(AY19+BB19+BC19+BD19))</f>
        <v>50</v>
      </c>
      <c r="BF19" s="88" t="n">
        <f aca="false">INDEX(in_cus_broker,1,C19)+INDEX(in_cus_isf,1,C19)+INDEX(in_cus_do_fee,1,C19)+BE19+INDEX(in_cus_isf_bond,1,C19)</f>
        <v>385</v>
      </c>
      <c r="BG19" s="88" t="n">
        <f aca="false">IF(H19=1,INDEX(in_cus_cfc,1,C19)*INDEX(ct_teu,F19)*G19*(1-INDEX(in_cus_cfc_in_freight,1,C19)),0)</f>
        <v>0</v>
      </c>
      <c r="BH19" s="88" t="n">
        <f aca="false">IF(F19=4,1,G19)*(INDEX(in_cus_exam,1,C19)+INDEX(in_cus_exam_dray,1,C19))</f>
        <v>0</v>
      </c>
      <c r="BI19" s="88" t="n">
        <f aca="false">IF(F19=4,1,G19)*INDEX(in_cus_dem_days,1,C19)*INDEX(in_cus_dem_rate,1,C19)</f>
        <v>0</v>
      </c>
      <c r="BJ19" s="88" t="n">
        <f aca="false">BG19+BH19+BI19</f>
        <v>0</v>
      </c>
      <c r="BK19" s="88" t="n">
        <f aca="false">IF(F19=4,(INDEX(in_dra_lcl_cfs_d,1,C19)+INDEX(in_dra_lcl_deliv,1,C19))*P19,G19*(INDEX(tbl_dest_line,E19,C19)*P19*(1+INDEX(in_dra_fsc,1,C19))+INDEX(tbl_dest_tolls,E19,C19)+INDEX(in_dra_chassis_days,1,C19)*INDEX(tbl_dest_chassis,E19,C19)*(1-INDEX(in_dra_chassis_in_dray,1,C19))+INDEX(in_dra_wait_hours,1,C19)*INDEX(in_dra_wait_rate,1,C19)+INDEX(in_dra_split,1,C19)+INDEX(in_dra_prepull,1,C19)+INDEX(in_dra_dryrun,1,C19)))</f>
        <v>2848</v>
      </c>
      <c r="BL19" s="88" t="n">
        <f aca="false">IF(F19=4,0,G19*IF(F19=1,INDEX(in_dra_unload_20,1,C19),INDEX(in_dra_unload_40,1,C19))*Q19*(1-INDEX(in_dra_unload_in_dray,1,C19)))</f>
        <v>300</v>
      </c>
      <c r="BM19" s="88" t="n">
        <f aca="false">AL19+AN19+AO19+AR19+AU19+AZ19+BB19+BC19+BD19+BF19+BJ19+BK19+BL19</f>
        <v>16698.3523214286</v>
      </c>
      <c r="BN19" s="88" t="n">
        <f aca="false">AP19+AU19+BJ19+BK19+BL19</f>
        <v>7859.35531135531</v>
      </c>
      <c r="BO19" s="88" t="n">
        <f aca="false">AQ19+BF19</f>
        <v>683.260073260073</v>
      </c>
      <c r="BP19" s="88" t="n">
        <f aca="false">AI19*(1+IF(K19=3,INDEX(in_sup_vat_rate,1,C19),0))+AO19*Y19/AB19+AV19*BA19+(BC19+BD19)*AV19/AY19+AZ19*AI19/AL19+BN19*AC19/AF19+BO19*Y19/AB19</f>
        <v>5773.12231053391</v>
      </c>
      <c r="BQ19" s="88" t="n">
        <f aca="false">AJ19*(1+IF(K19=3,INDEX(in_sup_vat_rate,1,C19),0))+AO19*Z19/AB19+AW19*BA19+(BC19+BD19)*AW19/AY19+AZ19*AJ19/AL19+BN19*AD19/AF19+BO19*Z19/AB19</f>
        <v>6190.14959044866</v>
      </c>
      <c r="BR19" s="88" t="n">
        <f aca="false">AK19*(1+IF(K19=3,INDEX(in_sup_vat_rate,1,C19),0))+AO19*AA19/AB19+AX19*BA19+(BC19+BD19)*AX19/AY19+AZ19*AK19/AL19+BN19*AE19/AF19+BO19*AA19/AB19</f>
        <v>4735.080420446</v>
      </c>
      <c r="BS19" s="89" t="n">
        <f aca="false">BP19+BQ19+BR19-BM19</f>
        <v>0</v>
      </c>
      <c r="BT19" s="85" t="n">
        <f aca="false">Y19*(1-R19)</f>
        <v>19900</v>
      </c>
      <c r="BU19" s="85" t="n">
        <f aca="false">Z19*(1-R19)</f>
        <v>19900</v>
      </c>
      <c r="BV19" s="85" t="n">
        <f aca="false">AA19*(1-R19)</f>
        <v>19900</v>
      </c>
      <c r="BW19" s="85" t="n">
        <f aca="false">BT19+BU19+BV19</f>
        <v>59700</v>
      </c>
      <c r="BX19" s="90" t="n">
        <f aca="false">IF(BT19&gt;0,BP19/BT19,0)</f>
        <v>0.290106648770548</v>
      </c>
      <c r="BY19" s="90" t="n">
        <f aca="false">IF(BU19&gt;0,BQ19/BU19,0)</f>
        <v>0.311062793489883</v>
      </c>
      <c r="BZ19" s="90" t="n">
        <f aca="false">IF(BV19&gt;0,BR19/BV19,0)</f>
        <v>0.237943739720904</v>
      </c>
      <c r="CA19" s="90" t="n">
        <f aca="false">INDEX(in_mkt_listing_3464,1,C19)*(1-IF(sku_flute_3464="B",T19,0))*(1-S19)*N19</f>
        <v>0.2856</v>
      </c>
      <c r="CB19" s="90" t="n">
        <f aca="false">INDEX(in_mkt_listing_3463,1,C19)*(1-IF(sku_flute_3463="B",T19,0))*(1-S19)*N19</f>
        <v>0.3128</v>
      </c>
      <c r="CC19" s="90" t="n">
        <f aca="false">INDEX(in_mkt_listing_3460,1,C19)*(1-IF(sku_flute_3460="B",T19,0))*(1-S19)*N19</f>
        <v>0.256</v>
      </c>
      <c r="CD19" s="88" t="n">
        <f aca="false">BT19*CA19+BU19*CB19+BV19*CC19</f>
        <v>17002.56</v>
      </c>
      <c r="CE19" s="88" t="n">
        <f aca="false">CD19-BM19</f>
        <v>304.207678571427</v>
      </c>
      <c r="CF19" s="87" t="n">
        <f aca="false">IF(CD19&gt;0,CE19/CD19,0)</f>
        <v>0.0178918750218454</v>
      </c>
      <c r="CG19" s="87" t="n">
        <f aca="false">W19+INDEX(in_sel_processing,1,C19)+INDEX(in_sel_bad_debt,1,C19)</f>
        <v>0.0325</v>
      </c>
      <c r="CH19" s="88" t="n">
        <f aca="false">CD19*CG19</f>
        <v>552.5832</v>
      </c>
      <c r="CI19" s="88" t="n">
        <f aca="false">INDEX(in_sel_testing,1,C19)*X19+INDEX(in_sel_admin,1,C19)</f>
        <v>1250</v>
      </c>
      <c r="CJ19" s="79" t="n">
        <f aca="false">INDEX(in_sup_lead_days,1,C19)</f>
        <v>14</v>
      </c>
      <c r="CK19" s="79" t="n">
        <f aca="false">CJ19+INDEX(in_oce_transit,1,C19)+IF(F19=4,INDEX(in_oce_lcl_extra_days,1,C19),0)</f>
        <v>39</v>
      </c>
      <c r="CL19" s="79" t="n">
        <f aca="false">CK19+2+INDEX(in_cus_dem_days,1,C19)</f>
        <v>41</v>
      </c>
      <c r="CM19" s="79" t="n">
        <f aca="false">CL19+U19</f>
        <v>71</v>
      </c>
      <c r="CN19" s="79" t="n">
        <f aca="false">CJ19+INDEX(in_sup_vat_lag,1,C19)</f>
        <v>44</v>
      </c>
      <c r="CO19" s="91" t="n">
        <f aca="false">INDEX(in_sup_advance,1,C19)</f>
        <v>0.5</v>
      </c>
      <c r="CP19" s="88" t="n">
        <f aca="false">CO19*(AL19+AM19)+AO19+INDEX(in_sel_testing,1,C19)*X19</f>
        <v>5030.54029304029</v>
      </c>
      <c r="CQ19" s="88" t="n">
        <f aca="false">(1-CO19)*(AL19+AM19)+AR19+AU19+AZ19</f>
        <v>9090.15567765568</v>
      </c>
      <c r="CR19" s="88" t="n">
        <f aca="false">BB19+BC19+BD19+BF19+BJ19</f>
        <v>429.656350732601</v>
      </c>
      <c r="CS19" s="88" t="n">
        <f aca="false">BK19+BL19</f>
        <v>3148</v>
      </c>
      <c r="CT19" s="88" t="n">
        <f aca="false">IF(K19=2,AM19,0)</f>
        <v>0</v>
      </c>
      <c r="CU19" s="85" t="n">
        <f aca="false">IF(K19=2,CO19*AM19*(CN19-0)+(1-CO19)*AM19*(CN19-CJ19),0)</f>
        <v>0</v>
      </c>
      <c r="CV19" s="85" t="n">
        <f aca="false">(CP19-CO19*CT19)*(CM19-0)+(CQ19-(1-CO19)*CT19)*(CM19-CJ19)+CR19*(CM19-CK19)+CS19*(CM19-CL19)</f>
        <v>983496.237655678</v>
      </c>
      <c r="CW19" s="88" t="n">
        <f aca="false">INDEX(in_sel_fin_rate,1,C19)/365*(CU19+CV19)</f>
        <v>215.560819212203</v>
      </c>
      <c r="CX19" s="85" t="n">
        <f aca="false">CP19-IF(CN19&lt;=0,CT19,0)</f>
        <v>5030.54029304029</v>
      </c>
      <c r="CY19" s="85" t="n">
        <f aca="false">CP19+CQ19-IF(CN19&lt;=CJ19,CT19,0)</f>
        <v>14120.695970696</v>
      </c>
      <c r="CZ19" s="85" t="n">
        <f aca="false">CP19+CQ19+CR19-IF(CN19&lt;=CK19,CT19,0)</f>
        <v>14550.3523214286</v>
      </c>
      <c r="DA19" s="85" t="n">
        <f aca="false">CP19+CQ19+CR19+CS19-IF(CN19&lt;=CL19,CT19,0)</f>
        <v>17698.3523214286</v>
      </c>
      <c r="DB19" s="88" t="n">
        <f aca="false">MAX(CX19,CY19,CZ19,DA19)</f>
        <v>17698.3523214286</v>
      </c>
      <c r="DC19" s="88" t="n">
        <f aca="false">CP19+CQ19+CR19+CS19</f>
        <v>17698.3523214286</v>
      </c>
      <c r="DD19" s="88" t="n">
        <f aca="false">CE19-CH19-CI19-CW19</f>
        <v>-1713.93634064078</v>
      </c>
      <c r="DE19" s="87" t="n">
        <f aca="false">IF(CD19&gt;0,DD19/CD19,0)</f>
        <v>-0.100804604756035</v>
      </c>
      <c r="DF19" s="86" t="n">
        <f aca="false">IF(CD19&gt;0,(BM19+CI19+CW19)/(CD19*(1-CG19)),0)</f>
        <v>1.10419080594939</v>
      </c>
      <c r="DG19" s="90" t="n">
        <f aca="false">IF(BW19&gt;0,BM19/BW19,0)</f>
        <v>0.279704393993778</v>
      </c>
      <c r="DH19" s="90" t="n">
        <f aca="false">IF(BW19&gt;0,CD19/BW19,0)</f>
        <v>0.2848</v>
      </c>
      <c r="DI19" s="90" t="n">
        <f aca="false">IF(AI19&gt;0,(AI19*IF(K19=3,INDEX(in_sup_vat_rate,1,C19),0)+AV19*BA19+(BC19+BD19)*AV19/AY19+AZ19*AI19/AL19)/AI19,0)</f>
        <v>0.011742389834937</v>
      </c>
      <c r="DJ19" s="90" t="n">
        <f aca="false">IF(AJ19&gt;0,(AJ19*IF(K19=3,INDEX(in_sup_vat_rate,1,C19),0)+AW19*BA19+(BC19+BD19)*AW19/AY19+AZ19*AJ19/AL19)/AJ19,0)</f>
        <v>0.011742389834937</v>
      </c>
      <c r="DK19" s="90" t="n">
        <f aca="false">IF(AK19&gt;0,(AK19*IF(K19=3,INDEX(in_sup_vat_rate,1,C19),0)+AX19*BA19+(BC19+BD19)*AX19/AY19+AZ19*AK19/AL19)/AK19,0)</f>
        <v>0.011742389834937</v>
      </c>
      <c r="DL19" s="90" t="n">
        <f aca="false">IF(Y19&gt;0,(BP19-AI19*(1+DI19))/Y19,0)</f>
        <v>0.141402199108733</v>
      </c>
      <c r="DM19" s="90" t="n">
        <f aca="false">IF(Z19&gt;0,(BQ19-AJ19*(1+DJ19))/Z19,0)</f>
        <v>0.170439226121129</v>
      </c>
      <c r="DN19" s="90" t="n">
        <f aca="false">IF(AA19&gt;0,(BR19-AK19*(1+DK19))/AA19,0)</f>
        <v>0.115289344000908</v>
      </c>
      <c r="DO19" s="86" t="n">
        <f aca="false">IF(Y19&gt;0,(CA19*(1-thr_gm_go)*(1-R19)-DL19)/(1+DI19)*I19/((1+AH19)*J19),"")</f>
        <v>4.07455845012935</v>
      </c>
      <c r="DP19" s="86" t="n">
        <f aca="false">IF(Z19&gt;0,(CB19*(1-thr_gm_go)*(1-R19)-DM19)/(1+DJ19)*I19/((1+AH19)*J19),"")</f>
        <v>3.5781237016558</v>
      </c>
      <c r="DQ19" s="86" t="n">
        <f aca="false">IF(AA19&gt;0,(CC19*(1-thr_gm_go)*(1-R19)-DN19)/(1+DK19)*I19/((1+AH19)*J19),"")</f>
        <v>4.30314013267975</v>
      </c>
      <c r="DR19" s="92" t="n">
        <f aca="false">IF(AND(AY19*INDEX(in_cus_mpf_rate,1,C19)&gt;INDEX(in_cus_mpf_min,1,C19),AY19*INDEX(in_cus_mpf_rate,1,C19)&lt;INDEX(in_cus_mpf_max,1,C19)),INDEX(in_cus_mpf_rate,1,C19),0)</f>
        <v>0</v>
      </c>
      <c r="DS19" s="88" t="n">
        <f aca="false">IF(AZ19&gt;INDEX(in_oce_ins_min,1,C19),INDEX(in_oce_ins_rate,1,C19)*(1+INDEX(in_oce_ins_uplift,1,C19))*AL19,0)</f>
        <v>0</v>
      </c>
      <c r="DT19" s="88" t="n">
        <f aca="false">(AL19+AN19)*(1+BA19+INDEX(in_cus_hmf,1,C19)+DR19)+DS19</f>
        <v>8071.15693681319</v>
      </c>
      <c r="DU19" s="86" t="n">
        <f aca="false">IF(DT19&gt;0,(CD19*(1-thr_gm_go)-(BM19-DT19))/DT19,0)</f>
        <v>0.51104502708545</v>
      </c>
      <c r="DV19" s="86" t="n">
        <f aca="false">IF(DT19&gt;0,(CD19-(BM19-DT19))/DT19,0)</f>
        <v>1.03769071534019</v>
      </c>
      <c r="DW19" s="87" t="n">
        <f aca="false">(1+AH19)*J19*DU19-1</f>
        <v>-0.514507224268822</v>
      </c>
      <c r="DX19" s="87" t="n">
        <f aca="false">(1+AH19)*J19*DV19-1</f>
        <v>-0.0141938204268196</v>
      </c>
      <c r="DY19" s="85" t="n">
        <f aca="false">IF(G19&gt;0,(CD19*(1-thr_gm_go)-(BM19-AT19))/G19,"")</f>
        <v>26.7838392857138</v>
      </c>
      <c r="DZ19" s="90" t="n">
        <f aca="false">IF(AB19&gt;0,(AL19+AN19+BB19+BC19+BD19)/AB19,0)</f>
        <v>0.135095615613553</v>
      </c>
      <c r="EA19" s="88" t="n">
        <f aca="false">BM19-DZ19*AB19</f>
        <v>8592.61538461539</v>
      </c>
      <c r="EB19" s="90" t="n">
        <f aca="false">IF(AB19&gt;0,CD19/AB19,0)</f>
        <v>0.283376</v>
      </c>
      <c r="EC19" s="85" t="n">
        <f aca="false">IF(EB19*(1-thr_gm_go)-DZ19&gt;0,EA19/(EB19*(1-thr_gm_go)-DZ19),"n/a")</f>
        <v>110963.540623667</v>
      </c>
      <c r="ED19" s="85" t="n">
        <f aca="false">IF(EB19-DZ19&gt;0,EA19/(EB19-DZ19),"n/a")</f>
        <v>57948.4293905079</v>
      </c>
      <c r="EE19" s="93" t="b">
        <f aca="false">INDEX(cfg_fits,D19,C19)</f>
        <v>1</v>
      </c>
      <c r="EF19" s="87" t="n">
        <f aca="false">IF(F19=4,"",INDEX(cfg_lenutil,D19,C19))</f>
        <v>0.901551724137931</v>
      </c>
      <c r="EG19" s="31" t="str">
        <f aca="false">IF(O19&gt;1,"Check fit (units scaled up)","")</f>
        <v/>
      </c>
    </row>
    <row r="20" customFormat="false" ht="15" hidden="false" customHeight="false" outlineLevel="0" collapsed="false">
      <c r="A20" s="78" t="n">
        <v>1041</v>
      </c>
      <c r="B20" s="9" t="s">
        <v>3168</v>
      </c>
      <c r="C20" s="78" t="n">
        <v>1</v>
      </c>
      <c r="D20" s="78" t="n">
        <v>4</v>
      </c>
      <c r="E20" s="78" t="n">
        <v>1</v>
      </c>
      <c r="F20" s="79" t="n">
        <f aca="false">INDEX(cfg_ct,D20)</f>
        <v>3</v>
      </c>
      <c r="G20" s="79" t="n">
        <f aca="false">INDEX(cfg_n,D20)</f>
        <v>1</v>
      </c>
      <c r="H20" s="79" t="n">
        <f aca="false">INDEX(dest_port,E20)</f>
        <v>1</v>
      </c>
      <c r="I20" s="80" t="n">
        <f aca="false">INDEX(in_fx_cbe,1,C20)*(1-INDEX(in_fx_spread,1,C20))</f>
        <v>54.6</v>
      </c>
      <c r="J20" s="81" t="n">
        <f aca="false">1</f>
        <v>1</v>
      </c>
      <c r="K20" s="82" t="n">
        <f aca="false">INDEX(in_sup_vat_mode,1,C20)</f>
        <v>1</v>
      </c>
      <c r="L20" s="83" t="n">
        <f aca="false">INDEX(in_cus_s301,1,C20)</f>
        <v>0</v>
      </c>
      <c r="M20" s="84" t="n">
        <f aca="false">1</f>
        <v>1</v>
      </c>
      <c r="N20" s="81" t="n">
        <f aca="false">1</f>
        <v>1</v>
      </c>
      <c r="O20" s="81" t="n">
        <f aca="false">1</f>
        <v>1</v>
      </c>
      <c r="P20" s="81" t="n">
        <f aca="false">1</f>
        <v>1</v>
      </c>
      <c r="Q20" s="81" t="n">
        <f aca="false">1</f>
        <v>1</v>
      </c>
      <c r="R20" s="83" t="n">
        <f aca="false">INDEX(in_sel_damage,1,C20)</f>
        <v>0.005</v>
      </c>
      <c r="S20" s="83" t="n">
        <f aca="false">INDEX(in_mkt_dist_margin,1,C20)</f>
        <v>0.2</v>
      </c>
      <c r="T20" s="83" t="n">
        <f aca="false">INDEX(in_mkt_eflute_disc,1,C20)</f>
        <v>0.15</v>
      </c>
      <c r="U20" s="82" t="n">
        <f aca="false">INDEX(in_sel_credit_days,1,C20)</f>
        <v>30</v>
      </c>
      <c r="V20" s="81" t="n">
        <f aca="false">1</f>
        <v>1</v>
      </c>
      <c r="W20" s="83" t="n">
        <f aca="false">INDEX(in_sel_commission,1,C20)</f>
        <v>0.03</v>
      </c>
      <c r="X20" s="82" t="n">
        <f aca="false">1</f>
        <v>1</v>
      </c>
      <c r="Y20" s="85" t="n">
        <f aca="false">INDEX(cfg_u_3464,D20,C20)*O20</f>
        <v>28000</v>
      </c>
      <c r="Z20" s="85" t="n">
        <f aca="false">INDEX(cfg_u_3463,D20,C20)*O20</f>
        <v>28000</v>
      </c>
      <c r="AA20" s="85" t="n">
        <f aca="false">INDEX(cfg_u_3460,D20,C20)*O20</f>
        <v>28000</v>
      </c>
      <c r="AB20" s="85" t="n">
        <f aca="false">Y20+Z20+AA20</f>
        <v>84000</v>
      </c>
      <c r="AC20" s="86" t="n">
        <f aca="false">Y20*INDEX(lg_vpu_3464,C20)</f>
        <v>18.67404</v>
      </c>
      <c r="AD20" s="86" t="n">
        <f aca="false">Z20*INDEX(lg_vpu_3463,C20)</f>
        <v>22.84464</v>
      </c>
      <c r="AE20" s="86" t="n">
        <f aca="false">AA20*INDEX(lg_vpu_3460,C20)</f>
        <v>14.92344</v>
      </c>
      <c r="AF20" s="86" t="n">
        <f aca="false">AC20+AD20+AE20</f>
        <v>56.44212</v>
      </c>
      <c r="AG20" s="85" t="n">
        <f aca="false">Y20*INDEX(lg_kpu_3464,C20)+Z20*INDEX(lg_kpu_3463,C20)+AA20*INDEX(lg_kpu_3460,C20)</f>
        <v>13797.51296</v>
      </c>
      <c r="AH20" s="87" t="n">
        <f aca="false">INDEX(in_sup_requote,1,C20)</f>
        <v>-0.05</v>
      </c>
      <c r="AI20" s="88" t="n">
        <f aca="false">Y20*q_price_3464*(1+AH20)*J20/I20</f>
        <v>4075.25641025641</v>
      </c>
      <c r="AJ20" s="88" t="n">
        <f aca="false">Z20*q_price_3463*(1+AH20)*J20/I20</f>
        <v>3848.71794871795</v>
      </c>
      <c r="AK20" s="88" t="n">
        <f aca="false">AA20*q_price_3460*(1+AH20)*J20/I20</f>
        <v>3361.53846153846</v>
      </c>
      <c r="AL20" s="88" t="n">
        <f aca="false">AI20+AJ20+AK20</f>
        <v>11285.5128205128</v>
      </c>
      <c r="AM20" s="88" t="n">
        <f aca="false">IF(OR(K20=2,K20=3),AL20*INDEX(in_sup_vat_rate,1,C20),0)</f>
        <v>0</v>
      </c>
      <c r="AN20" s="88" t="n">
        <f aca="false">IF(K20=3,AM20,0)</f>
        <v>0</v>
      </c>
      <c r="AO20" s="88" t="n">
        <f aca="false">INDEX(in_sup_tooling_egp,1,C20)/I20</f>
        <v>0</v>
      </c>
      <c r="AP20" s="88" t="n">
        <f aca="false">IF(F20=4,INDEX(in_ori_lcl_truck,1,C20)*V20/I20+INDEX(in_ori_lcl_cfs_o,1,C20),G20*(IF(F20=1,INDEX(in_ori_truck_20,1,C20),INDEX(in_ori_truck_40,1,C20))*V20/I20+INDEX(in_ori_terminal,1,C20)+IF(F20=1,INDEX(in_ori_othc_20,1,C20),INDEX(in_ori_othc_40,1,C20))*(1-INDEX(in_ori_othc_in_freight,1,C20))+INDEX(in_ori_seal,1,C20)+INDEX(in_ori_inspection,1,C20)+INDEX(in_ori_dd_days,1,C20)*IF(F20=1,INDEX(in_ori_dd_20,1,C20),INDEX(in_ori_dd_40,1,C20))+INDEX(in_ori_loading_egp,1,C20)/I20))</f>
        <v>457.465201465201</v>
      </c>
      <c r="AQ20" s="88" t="n">
        <f aca="false">(INDEX(in_ori_clearance,1,C20)+INDEX(in_ori_coo,1,C20))/I20+INDEX(in_ori_bl_fee,1,C20)+INDEX(in_ori_fwd_fee,1,C20)+INDEX(in_ori_qc,1,C20)+INDEX(in_ori_wires,1,C20)*INDEX(in_ori_wire_fee,1,C20)</f>
        <v>298.260073260073</v>
      </c>
      <c r="AR20" s="88" t="n">
        <f aca="false">AP20+AQ20</f>
        <v>755.725274725275</v>
      </c>
      <c r="AS20" s="85" t="n">
        <f aca="false">INDEX(tbl_port_diff,H20,C20)</f>
        <v>0</v>
      </c>
      <c r="AT20" s="88" t="n">
        <f aca="false">IF(F20=4,MAX(AF20*INDEX(in_oce_lcl_factor,1,C20),AG20/1000,1)*INDEX(in_oce_lcl_rate,1,C20)*M20,G20*(INDEX(tbl_ocean_rate,MIN(F20,3),C20)+AS20)*M20)</f>
        <v>2900</v>
      </c>
      <c r="AU20" s="88" t="n">
        <f aca="false">AT20+INDEX(in_oce_ams,1,C20)</f>
        <v>2930</v>
      </c>
      <c r="AV20" s="88" t="n">
        <f aca="false">AI20*(1+IF(K20=3,INDEX(in_sup_vat_rate,1,C20),0))+AO20*Y20/AB20</f>
        <v>4075.25641025641</v>
      </c>
      <c r="AW20" s="88" t="n">
        <f aca="false">AJ20*(1+IF(K20=3,INDEX(in_sup_vat_rate,1,C20),0))+AO20*Z20/AB20</f>
        <v>3848.71794871795</v>
      </c>
      <c r="AX20" s="88" t="n">
        <f aca="false">AK20*(1+IF(K20=3,INDEX(in_sup_vat_rate,1,C20),0))+AO20*AA20/AB20</f>
        <v>3361.53846153846</v>
      </c>
      <c r="AY20" s="88" t="n">
        <f aca="false">AV20+AW20+AX20</f>
        <v>11285.5128205128</v>
      </c>
      <c r="AZ20" s="88" t="n">
        <f aca="false">MAX(INDEX(in_oce_ins_min,1,C20),INDEX(in_oce_ins_rate,1,C20)*(1+INDEX(in_oce_ins_uplift,1,C20))*(AL20+AO20+AR20+AU20))*(1-INDEX(in_oce_ins_in_other,1,C20))</f>
        <v>50</v>
      </c>
      <c r="BA20" s="87" t="n">
        <f aca="false">INDEX(in_cus_mfn,1,C20)+L20</f>
        <v>0</v>
      </c>
      <c r="BB20" s="88" t="n">
        <f aca="false">AY20*BA20</f>
        <v>0</v>
      </c>
      <c r="BC20" s="88" t="n">
        <f aca="false">MIN(MAX(AY20*INDEX(in_cus_mpf_rate,1,C20),INDEX(in_cus_mpf_min,1,C20)),INDEX(in_cus_mpf_max,1,C20))</f>
        <v>39.0930164102564</v>
      </c>
      <c r="BD20" s="88" t="n">
        <f aca="false">AY20*INDEX(in_cus_hmf,1,C20)</f>
        <v>14.106891025641</v>
      </c>
      <c r="BE20" s="88" t="n">
        <f aca="false">MAX(INDEX(in_cus_stb_min,1,C20),INDEX(in_cus_stb_rate,1,C20)/1000*(AY20+BB20+BC20+BD20))</f>
        <v>50</v>
      </c>
      <c r="BF20" s="88" t="n">
        <f aca="false">INDEX(in_cus_broker,1,C20)+INDEX(in_cus_isf,1,C20)+INDEX(in_cus_do_fee,1,C20)+BE20+INDEX(in_cus_isf_bond,1,C20)</f>
        <v>385</v>
      </c>
      <c r="BG20" s="88" t="n">
        <f aca="false">IF(H20=1,INDEX(in_cus_cfc,1,C20)*INDEX(ct_teu,F20)*G20*(1-INDEX(in_cus_cfc_in_freight,1,C20)),0)</f>
        <v>29.6</v>
      </c>
      <c r="BH20" s="88" t="n">
        <f aca="false">IF(F20=4,1,G20)*(INDEX(in_cus_exam,1,C20)+INDEX(in_cus_exam_dray,1,C20))</f>
        <v>0</v>
      </c>
      <c r="BI20" s="88" t="n">
        <f aca="false">IF(F20=4,1,G20)*INDEX(in_cus_dem_days,1,C20)*INDEX(in_cus_dem_rate,1,C20)</f>
        <v>0</v>
      </c>
      <c r="BJ20" s="88" t="n">
        <f aca="false">BG20+BH20+BI20</f>
        <v>29.6</v>
      </c>
      <c r="BK20" s="88" t="n">
        <f aca="false">IF(F20=4,(INDEX(in_dra_lcl_cfs_d,1,C20)+INDEX(in_dra_lcl_deliv,1,C20))*P20,G20*(INDEX(tbl_dest_line,E20,C20)*P20*(1+INDEX(in_dra_fsc,1,C20))+INDEX(tbl_dest_tolls,E20,C20)+INDEX(in_dra_chassis_days,1,C20)*INDEX(tbl_dest_chassis,E20,C20)*(1-INDEX(in_dra_chassis_in_dray,1,C20))+INDEX(in_dra_wait_hours,1,C20)*INDEX(in_dra_wait_rate,1,C20)+INDEX(in_dra_split,1,C20)+INDEX(in_dra_prepull,1,C20)+INDEX(in_dra_dryrun,1,C20)))</f>
        <v>661</v>
      </c>
      <c r="BL20" s="88" t="n">
        <f aca="false">IF(F20=4,0,G20*IF(F20=1,INDEX(in_dra_unload_20,1,C20),INDEX(in_dra_unload_40,1,C20))*Q20*(1-INDEX(in_dra_unload_in_dray,1,C20)))</f>
        <v>250</v>
      </c>
      <c r="BM20" s="88" t="n">
        <f aca="false">AL20+AN20+AO20+AR20+AU20+AZ20+BB20+BC20+BD20+BF20+BJ20+BK20+BL20</f>
        <v>16400.038002674</v>
      </c>
      <c r="BN20" s="88" t="n">
        <f aca="false">AP20+AU20+BJ20+BK20+BL20</f>
        <v>4328.0652014652</v>
      </c>
      <c r="BO20" s="88" t="n">
        <f aca="false">AQ20+BF20</f>
        <v>683.260073260073</v>
      </c>
      <c r="BP20" s="88" t="n">
        <f aca="false">AI20*(1+IF(K20=3,INDEX(in_sup_vat_rate,1,C20),0))+AO20*Y20/AB20+AV20*BA20+(BC20+BD20)*AV20/AY20+AZ20*AI20/AL20+BN20*AC20/AF20+BO20*Y20/AB20</f>
        <v>5772.22877602424</v>
      </c>
      <c r="BQ20" s="88" t="n">
        <f aca="false">AJ20*(1+IF(K20=3,INDEX(in_sup_vat_rate,1,C20),0))+AO20*Z20/AB20+AW20*BA20+(BC20+BD20)*AW20/AY20+AZ20*AJ20/AL20+BN20*AD20/AF20+BO20*Z20/AB20</f>
        <v>5863.42651635664</v>
      </c>
      <c r="BR20" s="88" t="n">
        <f aca="false">AK20*(1+IF(K20=3,INDEX(in_sup_vat_rate,1,C20),0))+AO20*AA20/AB20+AX20*BA20+(BC20+BD20)*AX20/AY20+AZ20*AK20/AL20+BN20*AE20/AF20+BO20*AA20/AB20</f>
        <v>4764.3827102931</v>
      </c>
      <c r="BS20" s="89" t="n">
        <f aca="false">BP20+BQ20+BR20-BM20</f>
        <v>0</v>
      </c>
      <c r="BT20" s="85" t="n">
        <f aca="false">Y20*(1-R20)</f>
        <v>27860</v>
      </c>
      <c r="BU20" s="85" t="n">
        <f aca="false">Z20*(1-R20)</f>
        <v>27860</v>
      </c>
      <c r="BV20" s="85" t="n">
        <f aca="false">AA20*(1-R20)</f>
        <v>27860</v>
      </c>
      <c r="BW20" s="85" t="n">
        <f aca="false">BT20+BU20+BV20</f>
        <v>83580</v>
      </c>
      <c r="BX20" s="90" t="n">
        <f aca="false">IF(BT20&gt;0,BP20/BT20,0)</f>
        <v>0.207186962527791</v>
      </c>
      <c r="BY20" s="90" t="n">
        <f aca="false">IF(BU20&gt;0,BQ20/BU20,0)</f>
        <v>0.210460391829025</v>
      </c>
      <c r="BZ20" s="90" t="n">
        <f aca="false">IF(BV20&gt;0,BR20/BV20,0)</f>
        <v>0.171011583284031</v>
      </c>
      <c r="CA20" s="90" t="n">
        <f aca="false">INDEX(in_mkt_listing_3464,1,C20)*(1-IF(sku_flute_3464="B",T20,0))*(1-S20)*N20</f>
        <v>0.2856</v>
      </c>
      <c r="CB20" s="90" t="n">
        <f aca="false">INDEX(in_mkt_listing_3463,1,C20)*(1-IF(sku_flute_3463="B",T20,0))*(1-S20)*N20</f>
        <v>0.3128</v>
      </c>
      <c r="CC20" s="90" t="n">
        <f aca="false">INDEX(in_mkt_listing_3460,1,C20)*(1-IF(sku_flute_3460="B",T20,0))*(1-S20)*N20</f>
        <v>0.256</v>
      </c>
      <c r="CD20" s="88" t="n">
        <f aca="false">BT20*CA20+BU20*CB20+BV20*CC20</f>
        <v>23803.584</v>
      </c>
      <c r="CE20" s="88" t="n">
        <f aca="false">CD20-BM20</f>
        <v>7403.545997326</v>
      </c>
      <c r="CF20" s="87" t="n">
        <f aca="false">IF(CD20&gt;0,CE20/CD20,0)</f>
        <v>0.311026524296762</v>
      </c>
      <c r="CG20" s="87" t="n">
        <f aca="false">W20+INDEX(in_sel_processing,1,C20)+INDEX(in_sel_bad_debt,1,C20)</f>
        <v>0.0325</v>
      </c>
      <c r="CH20" s="88" t="n">
        <f aca="false">CD20*CG20</f>
        <v>773.61648</v>
      </c>
      <c r="CI20" s="88" t="n">
        <f aca="false">INDEX(in_sel_testing,1,C20)*X20+INDEX(in_sel_admin,1,C20)</f>
        <v>1250</v>
      </c>
      <c r="CJ20" s="79" t="n">
        <f aca="false">INDEX(in_sup_lead_days,1,C20)</f>
        <v>14</v>
      </c>
      <c r="CK20" s="79" t="n">
        <f aca="false">CJ20+INDEX(in_oce_transit,1,C20)+IF(F20=4,INDEX(in_oce_lcl_extra_days,1,C20),0)</f>
        <v>39</v>
      </c>
      <c r="CL20" s="79" t="n">
        <f aca="false">CK20+2+INDEX(in_cus_dem_days,1,C20)</f>
        <v>41</v>
      </c>
      <c r="CM20" s="79" t="n">
        <f aca="false">CL20+U20</f>
        <v>71</v>
      </c>
      <c r="CN20" s="79" t="n">
        <f aca="false">CJ20+INDEX(in_sup_vat_lag,1,C20)</f>
        <v>44</v>
      </c>
      <c r="CO20" s="91" t="n">
        <f aca="false">INDEX(in_sup_advance,1,C20)</f>
        <v>0.5</v>
      </c>
      <c r="CP20" s="88" t="n">
        <f aca="false">CO20*(AL20+AM20)+AO20+INDEX(in_sel_testing,1,C20)*X20</f>
        <v>6642.75641025641</v>
      </c>
      <c r="CQ20" s="88" t="n">
        <f aca="false">(1-CO20)*(AL20+AM20)+AR20+AU20+AZ20</f>
        <v>9378.48168498169</v>
      </c>
      <c r="CR20" s="88" t="n">
        <f aca="false">BB20+BC20+BD20+BF20+BJ20</f>
        <v>467.799907435897</v>
      </c>
      <c r="CS20" s="88" t="n">
        <f aca="false">BK20+BL20</f>
        <v>911</v>
      </c>
      <c r="CT20" s="88" t="n">
        <f aca="false">IF(K20=2,AM20,0)</f>
        <v>0</v>
      </c>
      <c r="CU20" s="85" t="n">
        <f aca="false">IF(K20=2,CO20*AM20*(CN20-0)+(1-CO20)*AM20*(CN20-CJ20),0)</f>
        <v>0</v>
      </c>
      <c r="CV20" s="85" t="n">
        <f aca="false">(CP20-CO20*CT20)*(CM20-0)+(CQ20-(1-CO20)*CT20)*(CM20-CJ20)+CR20*(CM20-CK20)+CS20*(CM20-CL20)</f>
        <v>1048508.75821011</v>
      </c>
      <c r="CW20" s="88" t="n">
        <f aca="false">INDEX(in_sel_fin_rate,1,C20)/365*(CU20+CV20)</f>
        <v>229.810138785778</v>
      </c>
      <c r="CX20" s="85" t="n">
        <f aca="false">CP20-IF(CN20&lt;=0,CT20,0)</f>
        <v>6642.75641025641</v>
      </c>
      <c r="CY20" s="85" t="n">
        <f aca="false">CP20+CQ20-IF(CN20&lt;=CJ20,CT20,0)</f>
        <v>16021.2380952381</v>
      </c>
      <c r="CZ20" s="85" t="n">
        <f aca="false">CP20+CQ20+CR20-IF(CN20&lt;=CK20,CT20,0)</f>
        <v>16489.038002674</v>
      </c>
      <c r="DA20" s="85" t="n">
        <f aca="false">CP20+CQ20+CR20+CS20-IF(CN20&lt;=CL20,CT20,0)</f>
        <v>17400.038002674</v>
      </c>
      <c r="DB20" s="88" t="n">
        <f aca="false">MAX(CX20,CY20,CZ20,DA20)</f>
        <v>17400.038002674</v>
      </c>
      <c r="DC20" s="88" t="n">
        <f aca="false">CP20+CQ20+CR20+CS20</f>
        <v>17400.038002674</v>
      </c>
      <c r="DD20" s="88" t="n">
        <f aca="false">CE20-CH20-CI20-CW20</f>
        <v>5150.11937854023</v>
      </c>
      <c r="DE20" s="87" t="n">
        <f aca="false">IF(CD20&gt;0,DD20/CD20,0)</f>
        <v>0.216358989408495</v>
      </c>
      <c r="DF20" s="86" t="n">
        <f aca="false">IF(CD20&gt;0,(BM20+CI20+CW20)/(CD20*(1-CG20)),0)</f>
        <v>0.776373137562279</v>
      </c>
      <c r="DG20" s="90" t="n">
        <f aca="false">IF(BW20&gt;0,BM20/BW20,0)</f>
        <v>0.196219645880282</v>
      </c>
      <c r="DH20" s="90" t="n">
        <f aca="false">IF(BW20&gt;0,CD20/BW20,0)</f>
        <v>0.2848</v>
      </c>
      <c r="DI20" s="90" t="n">
        <f aca="false">IF(AI20&gt;0,(AI20*IF(K20=3,INDEX(in_sup_vat_rate,1,C20),0)+AV20*BA20+(BC20+BD20)*AV20/AY20+AZ20*AI20/AL20)/AI20,0)</f>
        <v>0.00914445883649335</v>
      </c>
      <c r="DJ20" s="90" t="n">
        <f aca="false">IF(AJ20&gt;0,(AJ20*IF(K20=3,INDEX(in_sup_vat_rate,1,C20),0)+AW20*BA20+(BC20+BD20)*AW20/AY20+AZ20*AJ20/AL20)/AJ20,0)</f>
        <v>0.00914445883649335</v>
      </c>
      <c r="DK20" s="90" t="n">
        <f aca="false">IF(AK20&gt;0,(AK20*IF(K20=3,INDEX(in_sup_vat_rate,1,C20),0)+AX20*BA20+(BC20+BD20)*AX20/AY20+AZ20*AK20/AL20)/AK20,0)</f>
        <v>0.00914445883649335</v>
      </c>
      <c r="DL20" s="90" t="n">
        <f aca="false">IF(Y20&gt;0,(BP20-AI20*(1+DI20))/Y20,0)</f>
        <v>0.0592752268312889</v>
      </c>
      <c r="DM20" s="90" t="n">
        <f aca="false">IF(Z20&gt;0,(BQ20-AJ20*(1+DJ20))/Z20,0)</f>
        <v>0.0706969330279775</v>
      </c>
      <c r="DN20" s="90" t="n">
        <f aca="false">IF(AA20&gt;0,(BR20-AK20*(1+DK20))/AA20,0)</f>
        <v>0.0490037428094934</v>
      </c>
      <c r="DO20" s="86" t="n">
        <f aca="false">IF(Y20&gt;0,(CA20*(1-thr_gm_go)*(1-R20)-DL20)/(1+DI20)*I20/((1+AH20)*J20),"")</f>
        <v>8.76241562470806</v>
      </c>
      <c r="DP20" s="86" t="n">
        <f aca="false">IF(Z20&gt;0,(CB20*(1-thr_gm_go)*(1-R20)-DM20)/(1+DJ20)*I20/((1+AH20)*J20),"")</f>
        <v>9.26794612883386</v>
      </c>
      <c r="DQ20" s="86" t="n">
        <f aca="false">IF(AA20&gt;0,(CC20*(1-thr_gm_go)*(1-R20)-DN20)/(1+DK20)*I20/((1+AH20)*J20),"")</f>
        <v>8.08937404425162</v>
      </c>
      <c r="DR20" s="92" t="n">
        <f aca="false">IF(AND(AY20*INDEX(in_cus_mpf_rate,1,C20)&gt;INDEX(in_cus_mpf_min,1,C20),AY20*INDEX(in_cus_mpf_rate,1,C20)&lt;INDEX(in_cus_mpf_max,1,C20)),INDEX(in_cus_mpf_rate,1,C20),0)</f>
        <v>0.003464</v>
      </c>
      <c r="DS20" s="88" t="n">
        <f aca="false">IF(AZ20&gt;INDEX(in_oce_ins_min,1,C20),INDEX(in_oce_ins_rate,1,C20)*(1+INDEX(in_oce_ins_uplift,1,C20))*AL20,0)</f>
        <v>0</v>
      </c>
      <c r="DT20" s="88" t="n">
        <f aca="false">(AL20+AN20)*(1+BA20+INDEX(in_cus_hmf,1,C20)+DR20)+DS20</f>
        <v>11338.7127279487</v>
      </c>
      <c r="DU20" s="86" t="n">
        <f aca="false">IF(DT20&gt;0,(CD20*(1-thr_gm_go)-(BM20-DT20))/DT20,0)</f>
        <v>1.12811419004782</v>
      </c>
      <c r="DV20" s="86" t="n">
        <f aca="false">IF(DT20&gt;0,(CD20-(BM20-DT20))/DT20,0)</f>
        <v>1.65294413704274</v>
      </c>
      <c r="DW20" s="87" t="n">
        <f aca="false">(1+AH20)*J20*DU20-1</f>
        <v>0.0717084805454245</v>
      </c>
      <c r="DX20" s="87" t="n">
        <f aca="false">(1+AH20)*J20*DV20-1</f>
        <v>0.570296930190603</v>
      </c>
      <c r="DY20" s="85" t="n">
        <f aca="false">IF(G20&gt;0,(CD20*(1-thr_gm_go)-(BM20-AT20))/G20,"")</f>
        <v>4352.649997326</v>
      </c>
      <c r="DZ20" s="90" t="n">
        <f aca="false">IF(AB20&gt;0,(AL20+AN20+BB20+BC20+BD20)/AB20,0)</f>
        <v>0.134984675332723</v>
      </c>
      <c r="EA20" s="88" t="n">
        <f aca="false">BM20-DZ20*AB20</f>
        <v>5061.32527472528</v>
      </c>
      <c r="EB20" s="90" t="n">
        <f aca="false">IF(AB20&gt;0,CD20/AB20,0)</f>
        <v>0.283376</v>
      </c>
      <c r="EC20" s="85" t="n">
        <f aca="false">IF(EB20*(1-thr_gm_go)-DZ20&gt;0,EA20/(EB20*(1-thr_gm_go)-DZ20),"n/a")</f>
        <v>65267.5678553875</v>
      </c>
      <c r="ED20" s="85" t="n">
        <f aca="false">IF(EB20-DZ20&gt;0,EA20/(EB20-DZ20),"n/a")</f>
        <v>34107.9593842415</v>
      </c>
      <c r="EE20" s="93" t="b">
        <f aca="false">INDEX(cfg_fits,D20,C20)</f>
        <v>1</v>
      </c>
      <c r="EF20" s="87" t="n">
        <f aca="false">IF(F20=4,"",INDEX(cfg_lenutil,D20,C20))</f>
        <v>0.999580888516345</v>
      </c>
      <c r="EG20" s="31" t="str">
        <f aca="false">IF(O20&gt;1,"Check fit (units scaled up)","")</f>
        <v/>
      </c>
    </row>
    <row r="21" customFormat="false" ht="15" hidden="false" customHeight="false" outlineLevel="0" collapsed="false">
      <c r="A21" s="78" t="n">
        <v>1042</v>
      </c>
      <c r="B21" s="9" t="s">
        <v>3169</v>
      </c>
      <c r="C21" s="78" t="n">
        <v>1</v>
      </c>
      <c r="D21" s="78" t="n">
        <v>4</v>
      </c>
      <c r="E21" s="78" t="n">
        <v>2</v>
      </c>
      <c r="F21" s="79" t="n">
        <f aca="false">INDEX(cfg_ct,D21)</f>
        <v>3</v>
      </c>
      <c r="G21" s="79" t="n">
        <f aca="false">INDEX(cfg_n,D21)</f>
        <v>1</v>
      </c>
      <c r="H21" s="79" t="n">
        <f aca="false">INDEX(dest_port,E21)</f>
        <v>1</v>
      </c>
      <c r="I21" s="80" t="n">
        <f aca="false">INDEX(in_fx_cbe,1,C21)*(1-INDEX(in_fx_spread,1,C21))</f>
        <v>54.6</v>
      </c>
      <c r="J21" s="81" t="n">
        <f aca="false">1</f>
        <v>1</v>
      </c>
      <c r="K21" s="82" t="n">
        <f aca="false">INDEX(in_sup_vat_mode,1,C21)</f>
        <v>1</v>
      </c>
      <c r="L21" s="83" t="n">
        <f aca="false">INDEX(in_cus_s301,1,C21)</f>
        <v>0</v>
      </c>
      <c r="M21" s="84" t="n">
        <f aca="false">1</f>
        <v>1</v>
      </c>
      <c r="N21" s="81" t="n">
        <f aca="false">1</f>
        <v>1</v>
      </c>
      <c r="O21" s="81" t="n">
        <f aca="false">1</f>
        <v>1</v>
      </c>
      <c r="P21" s="81" t="n">
        <f aca="false">1</f>
        <v>1</v>
      </c>
      <c r="Q21" s="81" t="n">
        <f aca="false">1</f>
        <v>1</v>
      </c>
      <c r="R21" s="83" t="n">
        <f aca="false">INDEX(in_sel_damage,1,C21)</f>
        <v>0.005</v>
      </c>
      <c r="S21" s="83" t="n">
        <f aca="false">INDEX(in_mkt_dist_margin,1,C21)</f>
        <v>0.2</v>
      </c>
      <c r="T21" s="83" t="n">
        <f aca="false">INDEX(in_mkt_eflute_disc,1,C21)</f>
        <v>0.15</v>
      </c>
      <c r="U21" s="82" t="n">
        <f aca="false">INDEX(in_sel_credit_days,1,C21)</f>
        <v>30</v>
      </c>
      <c r="V21" s="81" t="n">
        <f aca="false">1</f>
        <v>1</v>
      </c>
      <c r="W21" s="83" t="n">
        <f aca="false">INDEX(in_sel_commission,1,C21)</f>
        <v>0.03</v>
      </c>
      <c r="X21" s="82" t="n">
        <f aca="false">1</f>
        <v>1</v>
      </c>
      <c r="Y21" s="85" t="n">
        <f aca="false">INDEX(cfg_u_3464,D21,C21)*O21</f>
        <v>28000</v>
      </c>
      <c r="Z21" s="85" t="n">
        <f aca="false">INDEX(cfg_u_3463,D21,C21)*O21</f>
        <v>28000</v>
      </c>
      <c r="AA21" s="85" t="n">
        <f aca="false">INDEX(cfg_u_3460,D21,C21)*O21</f>
        <v>28000</v>
      </c>
      <c r="AB21" s="85" t="n">
        <f aca="false">Y21+Z21+AA21</f>
        <v>84000</v>
      </c>
      <c r="AC21" s="86" t="n">
        <f aca="false">Y21*INDEX(lg_vpu_3464,C21)</f>
        <v>18.67404</v>
      </c>
      <c r="AD21" s="86" t="n">
        <f aca="false">Z21*INDEX(lg_vpu_3463,C21)</f>
        <v>22.84464</v>
      </c>
      <c r="AE21" s="86" t="n">
        <f aca="false">AA21*INDEX(lg_vpu_3460,C21)</f>
        <v>14.92344</v>
      </c>
      <c r="AF21" s="86" t="n">
        <f aca="false">AC21+AD21+AE21</f>
        <v>56.44212</v>
      </c>
      <c r="AG21" s="85" t="n">
        <f aca="false">Y21*INDEX(lg_kpu_3464,C21)+Z21*INDEX(lg_kpu_3463,C21)+AA21*INDEX(lg_kpu_3460,C21)</f>
        <v>13797.51296</v>
      </c>
      <c r="AH21" s="87" t="n">
        <f aca="false">INDEX(in_sup_requote,1,C21)</f>
        <v>-0.05</v>
      </c>
      <c r="AI21" s="88" t="n">
        <f aca="false">Y21*q_price_3464*(1+AH21)*J21/I21</f>
        <v>4075.25641025641</v>
      </c>
      <c r="AJ21" s="88" t="n">
        <f aca="false">Z21*q_price_3463*(1+AH21)*J21/I21</f>
        <v>3848.71794871795</v>
      </c>
      <c r="AK21" s="88" t="n">
        <f aca="false">AA21*q_price_3460*(1+AH21)*J21/I21</f>
        <v>3361.53846153846</v>
      </c>
      <c r="AL21" s="88" t="n">
        <f aca="false">AI21+AJ21+AK21</f>
        <v>11285.5128205128</v>
      </c>
      <c r="AM21" s="88" t="n">
        <f aca="false">IF(OR(K21=2,K21=3),AL21*INDEX(in_sup_vat_rate,1,C21),0)</f>
        <v>0</v>
      </c>
      <c r="AN21" s="88" t="n">
        <f aca="false">IF(K21=3,AM21,0)</f>
        <v>0</v>
      </c>
      <c r="AO21" s="88" t="n">
        <f aca="false">INDEX(in_sup_tooling_egp,1,C21)/I21</f>
        <v>0</v>
      </c>
      <c r="AP21" s="88" t="n">
        <f aca="false">IF(F21=4,INDEX(in_ori_lcl_truck,1,C21)*V21/I21+INDEX(in_ori_lcl_cfs_o,1,C21),G21*(IF(F21=1,INDEX(in_ori_truck_20,1,C21),INDEX(in_ori_truck_40,1,C21))*V21/I21+INDEX(in_ori_terminal,1,C21)+IF(F21=1,INDEX(in_ori_othc_20,1,C21),INDEX(in_ori_othc_40,1,C21))*(1-INDEX(in_ori_othc_in_freight,1,C21))+INDEX(in_ori_seal,1,C21)+INDEX(in_ori_inspection,1,C21)+INDEX(in_ori_dd_days,1,C21)*IF(F21=1,INDEX(in_ori_dd_20,1,C21),INDEX(in_ori_dd_40,1,C21))+INDEX(in_ori_loading_egp,1,C21)/I21))</f>
        <v>457.465201465201</v>
      </c>
      <c r="AQ21" s="88" t="n">
        <f aca="false">(INDEX(in_ori_clearance,1,C21)+INDEX(in_ori_coo,1,C21))/I21+INDEX(in_ori_bl_fee,1,C21)+INDEX(in_ori_fwd_fee,1,C21)+INDEX(in_ori_qc,1,C21)+INDEX(in_ori_wires,1,C21)*INDEX(in_ori_wire_fee,1,C21)</f>
        <v>298.260073260073</v>
      </c>
      <c r="AR21" s="88" t="n">
        <f aca="false">AP21+AQ21</f>
        <v>755.725274725275</v>
      </c>
      <c r="AS21" s="85" t="n">
        <f aca="false">INDEX(tbl_port_diff,H21,C21)</f>
        <v>0</v>
      </c>
      <c r="AT21" s="88" t="n">
        <f aca="false">IF(F21=4,MAX(AF21*INDEX(in_oce_lcl_factor,1,C21),AG21/1000,1)*INDEX(in_oce_lcl_rate,1,C21)*M21,G21*(INDEX(tbl_ocean_rate,MIN(F21,3),C21)+AS21)*M21)</f>
        <v>2900</v>
      </c>
      <c r="AU21" s="88" t="n">
        <f aca="false">AT21+INDEX(in_oce_ams,1,C21)</f>
        <v>2930</v>
      </c>
      <c r="AV21" s="88" t="n">
        <f aca="false">AI21*(1+IF(K21=3,INDEX(in_sup_vat_rate,1,C21),0))+AO21*Y21/AB21</f>
        <v>4075.25641025641</v>
      </c>
      <c r="AW21" s="88" t="n">
        <f aca="false">AJ21*(1+IF(K21=3,INDEX(in_sup_vat_rate,1,C21),0))+AO21*Z21/AB21</f>
        <v>3848.71794871795</v>
      </c>
      <c r="AX21" s="88" t="n">
        <f aca="false">AK21*(1+IF(K21=3,INDEX(in_sup_vat_rate,1,C21),0))+AO21*AA21/AB21</f>
        <v>3361.53846153846</v>
      </c>
      <c r="AY21" s="88" t="n">
        <f aca="false">AV21+AW21+AX21</f>
        <v>11285.5128205128</v>
      </c>
      <c r="AZ21" s="88" t="n">
        <f aca="false">MAX(INDEX(in_oce_ins_min,1,C21),INDEX(in_oce_ins_rate,1,C21)*(1+INDEX(in_oce_ins_uplift,1,C21))*(AL21+AO21+AR21+AU21))*(1-INDEX(in_oce_ins_in_other,1,C21))</f>
        <v>50</v>
      </c>
      <c r="BA21" s="87" t="n">
        <f aca="false">INDEX(in_cus_mfn,1,C21)+L21</f>
        <v>0</v>
      </c>
      <c r="BB21" s="88" t="n">
        <f aca="false">AY21*BA21</f>
        <v>0</v>
      </c>
      <c r="BC21" s="88" t="n">
        <f aca="false">MIN(MAX(AY21*INDEX(in_cus_mpf_rate,1,C21),INDEX(in_cus_mpf_min,1,C21)),INDEX(in_cus_mpf_max,1,C21))</f>
        <v>39.0930164102564</v>
      </c>
      <c r="BD21" s="88" t="n">
        <f aca="false">AY21*INDEX(in_cus_hmf,1,C21)</f>
        <v>14.106891025641</v>
      </c>
      <c r="BE21" s="88" t="n">
        <f aca="false">MAX(INDEX(in_cus_stb_min,1,C21),INDEX(in_cus_stb_rate,1,C21)/1000*(AY21+BB21+BC21+BD21))</f>
        <v>50</v>
      </c>
      <c r="BF21" s="88" t="n">
        <f aca="false">INDEX(in_cus_broker,1,C21)+INDEX(in_cus_isf,1,C21)+INDEX(in_cus_do_fee,1,C21)+BE21+INDEX(in_cus_isf_bond,1,C21)</f>
        <v>385</v>
      </c>
      <c r="BG21" s="88" t="n">
        <f aca="false">IF(H21=1,INDEX(in_cus_cfc,1,C21)*INDEX(ct_teu,F21)*G21*(1-INDEX(in_cus_cfc_in_freight,1,C21)),0)</f>
        <v>29.6</v>
      </c>
      <c r="BH21" s="88" t="n">
        <f aca="false">IF(F21=4,1,G21)*(INDEX(in_cus_exam,1,C21)+INDEX(in_cus_exam_dray,1,C21))</f>
        <v>0</v>
      </c>
      <c r="BI21" s="88" t="n">
        <f aca="false">IF(F21=4,1,G21)*INDEX(in_cus_dem_days,1,C21)*INDEX(in_cus_dem_rate,1,C21)</f>
        <v>0</v>
      </c>
      <c r="BJ21" s="88" t="n">
        <f aca="false">BG21+BH21+BI21</f>
        <v>29.6</v>
      </c>
      <c r="BK21" s="88" t="n">
        <f aca="false">IF(F21=4,(INDEX(in_dra_lcl_cfs_d,1,C21)+INDEX(in_dra_lcl_deliv,1,C21))*P21,G21*(INDEX(tbl_dest_line,E21,C21)*P21*(1+INDEX(in_dra_fsc,1,C21))+INDEX(tbl_dest_tolls,E21,C21)+INDEX(in_dra_chassis_days,1,C21)*INDEX(tbl_dest_chassis,E21,C21)*(1-INDEX(in_dra_chassis_in_dray,1,C21))+INDEX(in_dra_wait_hours,1,C21)*INDEX(in_dra_wait_rate,1,C21)+INDEX(in_dra_split,1,C21)+INDEX(in_dra_prepull,1,C21)+INDEX(in_dra_dryrun,1,C21)))</f>
        <v>866</v>
      </c>
      <c r="BL21" s="88" t="n">
        <f aca="false">IF(F21=4,0,G21*IF(F21=1,INDEX(in_dra_unload_20,1,C21),INDEX(in_dra_unload_40,1,C21))*Q21*(1-INDEX(in_dra_unload_in_dray,1,C21)))</f>
        <v>250</v>
      </c>
      <c r="BM21" s="88" t="n">
        <f aca="false">AL21+AN21+AO21+AR21+AU21+AZ21+BB21+BC21+BD21+BF21+BJ21+BK21+BL21</f>
        <v>16605.038002674</v>
      </c>
      <c r="BN21" s="88" t="n">
        <f aca="false">AP21+AU21+BJ21+BK21+BL21</f>
        <v>4533.0652014652</v>
      </c>
      <c r="BO21" s="88" t="n">
        <f aca="false">AQ21+BF21</f>
        <v>683.260073260073</v>
      </c>
      <c r="BP21" s="88" t="n">
        <f aca="false">AI21*(1+IF(K21=3,INDEX(in_sup_vat_rate,1,C21),0))+AO21*Y21/AB21+AV21*BA21+(BC21+BD21)*AV21/AY21+AZ21*AI21/AL21+BN21*AC21/AF21+BO21*Y21/AB21</f>
        <v>5840.05362385066</v>
      </c>
      <c r="BQ21" s="88" t="n">
        <f aca="false">AJ21*(1+IF(K21=3,INDEX(in_sup_vat_rate,1,C21),0))+AO21*Z21/AB21+AW21*BA21+(BC21+BD21)*AW21/AY21+AZ21*AJ21/AL21+BN21*AD21/AF21+BO21*Z21/AB21</f>
        <v>5946.39914743429</v>
      </c>
      <c r="BR21" s="88" t="n">
        <f aca="false">AK21*(1+IF(K21=3,INDEX(in_sup_vat_rate,1,C21),0))+AO21*AA21/AB21+AX21*BA21+(BC21+BD21)*AX21/AY21+AZ21*AK21/AL21+BN21*AE21/AF21+BO21*AA21/AB21</f>
        <v>4818.58523138905</v>
      </c>
      <c r="BS21" s="89" t="n">
        <f aca="false">BP21+BQ21+BR21-BM21</f>
        <v>0</v>
      </c>
      <c r="BT21" s="85" t="n">
        <f aca="false">Y21*(1-R21)</f>
        <v>27860</v>
      </c>
      <c r="BU21" s="85" t="n">
        <f aca="false">Z21*(1-R21)</f>
        <v>27860</v>
      </c>
      <c r="BV21" s="85" t="n">
        <f aca="false">AA21*(1-R21)</f>
        <v>27860</v>
      </c>
      <c r="BW21" s="85" t="n">
        <f aca="false">BT21+BU21+BV21</f>
        <v>83580</v>
      </c>
      <c r="BX21" s="90" t="n">
        <f aca="false">IF(BT21&gt;0,BP21/BT21,0)</f>
        <v>0.209621450963771</v>
      </c>
      <c r="BY21" s="90" t="n">
        <f aca="false">IF(BU21&gt;0,BQ21/BU21,0)</f>
        <v>0.213438591078043</v>
      </c>
      <c r="BZ21" s="90" t="n">
        <f aca="false">IF(BV21&gt;0,BR21/BV21,0)</f>
        <v>0.17295711526881</v>
      </c>
      <c r="CA21" s="90" t="n">
        <f aca="false">INDEX(in_mkt_listing_3464,1,C21)*(1-IF(sku_flute_3464="B",T21,0))*(1-S21)*N21</f>
        <v>0.2856</v>
      </c>
      <c r="CB21" s="90" t="n">
        <f aca="false">INDEX(in_mkt_listing_3463,1,C21)*(1-IF(sku_flute_3463="B",T21,0))*(1-S21)*N21</f>
        <v>0.3128</v>
      </c>
      <c r="CC21" s="90" t="n">
        <f aca="false">INDEX(in_mkt_listing_3460,1,C21)*(1-IF(sku_flute_3460="B",T21,0))*(1-S21)*N21</f>
        <v>0.256</v>
      </c>
      <c r="CD21" s="88" t="n">
        <f aca="false">BT21*CA21+BU21*CB21+BV21*CC21</f>
        <v>23803.584</v>
      </c>
      <c r="CE21" s="88" t="n">
        <f aca="false">CD21-BM21</f>
        <v>7198.545997326</v>
      </c>
      <c r="CF21" s="87" t="n">
        <f aca="false">IF(CD21&gt;0,CE21/CD21,0)</f>
        <v>0.302414375806854</v>
      </c>
      <c r="CG21" s="87" t="n">
        <f aca="false">W21+INDEX(in_sel_processing,1,C21)+INDEX(in_sel_bad_debt,1,C21)</f>
        <v>0.0325</v>
      </c>
      <c r="CH21" s="88" t="n">
        <f aca="false">CD21*CG21</f>
        <v>773.61648</v>
      </c>
      <c r="CI21" s="88" t="n">
        <f aca="false">INDEX(in_sel_testing,1,C21)*X21+INDEX(in_sel_admin,1,C21)</f>
        <v>1250</v>
      </c>
      <c r="CJ21" s="79" t="n">
        <f aca="false">INDEX(in_sup_lead_days,1,C21)</f>
        <v>14</v>
      </c>
      <c r="CK21" s="79" t="n">
        <f aca="false">CJ21+INDEX(in_oce_transit,1,C21)+IF(F21=4,INDEX(in_oce_lcl_extra_days,1,C21),0)</f>
        <v>39</v>
      </c>
      <c r="CL21" s="79" t="n">
        <f aca="false">CK21+2+INDEX(in_cus_dem_days,1,C21)</f>
        <v>41</v>
      </c>
      <c r="CM21" s="79" t="n">
        <f aca="false">CL21+U21</f>
        <v>71</v>
      </c>
      <c r="CN21" s="79" t="n">
        <f aca="false">CJ21+INDEX(in_sup_vat_lag,1,C21)</f>
        <v>44</v>
      </c>
      <c r="CO21" s="91" t="n">
        <f aca="false">INDEX(in_sup_advance,1,C21)</f>
        <v>0.5</v>
      </c>
      <c r="CP21" s="88" t="n">
        <f aca="false">CO21*(AL21+AM21)+AO21+INDEX(in_sel_testing,1,C21)*X21</f>
        <v>6642.75641025641</v>
      </c>
      <c r="CQ21" s="88" t="n">
        <f aca="false">(1-CO21)*(AL21+AM21)+AR21+AU21+AZ21</f>
        <v>9378.48168498169</v>
      </c>
      <c r="CR21" s="88" t="n">
        <f aca="false">BB21+BC21+BD21+BF21+BJ21</f>
        <v>467.799907435897</v>
      </c>
      <c r="CS21" s="88" t="n">
        <f aca="false">BK21+BL21</f>
        <v>1116</v>
      </c>
      <c r="CT21" s="88" t="n">
        <f aca="false">IF(K21=2,AM21,0)</f>
        <v>0</v>
      </c>
      <c r="CU21" s="85" t="n">
        <f aca="false">IF(K21=2,CO21*AM21*(CN21-0)+(1-CO21)*AM21*(CN21-CJ21),0)</f>
        <v>0</v>
      </c>
      <c r="CV21" s="85" t="n">
        <f aca="false">(CP21-CO21*CT21)*(CM21-0)+(CQ21-(1-CO21)*CT21)*(CM21-CJ21)+CR21*(CM21-CK21)+CS21*(CM21-CL21)</f>
        <v>1054658.75821011</v>
      </c>
      <c r="CW21" s="88" t="n">
        <f aca="false">INDEX(in_sel_fin_rate,1,C21)/365*(CU21+CV21)</f>
        <v>231.158083991257</v>
      </c>
      <c r="CX21" s="85" t="n">
        <f aca="false">CP21-IF(CN21&lt;=0,CT21,0)</f>
        <v>6642.75641025641</v>
      </c>
      <c r="CY21" s="85" t="n">
        <f aca="false">CP21+CQ21-IF(CN21&lt;=CJ21,CT21,0)</f>
        <v>16021.2380952381</v>
      </c>
      <c r="CZ21" s="85" t="n">
        <f aca="false">CP21+CQ21+CR21-IF(CN21&lt;=CK21,CT21,0)</f>
        <v>16489.038002674</v>
      </c>
      <c r="DA21" s="85" t="n">
        <f aca="false">CP21+CQ21+CR21+CS21-IF(CN21&lt;=CL21,CT21,0)</f>
        <v>17605.038002674</v>
      </c>
      <c r="DB21" s="88" t="n">
        <f aca="false">MAX(CX21,CY21,CZ21,DA21)</f>
        <v>17605.038002674</v>
      </c>
      <c r="DC21" s="88" t="n">
        <f aca="false">CP21+CQ21+CR21+CS21</f>
        <v>17605.038002674</v>
      </c>
      <c r="DD21" s="88" t="n">
        <f aca="false">CE21-CH21-CI21-CW21</f>
        <v>4943.77143333475</v>
      </c>
      <c r="DE21" s="87" t="n">
        <f aca="false">IF(CD21&gt;0,DD21/CD21,0)</f>
        <v>0.2076902130929</v>
      </c>
      <c r="DF21" s="86" t="n">
        <f aca="false">IF(CD21&gt;0,(BM21+CI21+CW21)/(CD21*(1-CG21)),0)</f>
        <v>0.785333113082274</v>
      </c>
      <c r="DG21" s="90" t="n">
        <f aca="false">IF(BW21&gt;0,BM21/BW21,0)</f>
        <v>0.198672385770208</v>
      </c>
      <c r="DH21" s="90" t="n">
        <f aca="false">IF(BW21&gt;0,CD21/BW21,0)</f>
        <v>0.2848</v>
      </c>
      <c r="DI21" s="90" t="n">
        <f aca="false">IF(AI21&gt;0,(AI21*IF(K21=3,INDEX(in_sup_vat_rate,1,C21),0)+AV21*BA21+(BC21+BD21)*AV21/AY21+AZ21*AI21/AL21)/AI21,0)</f>
        <v>0.00914445883649335</v>
      </c>
      <c r="DJ21" s="90" t="n">
        <f aca="false">IF(AJ21&gt;0,(AJ21*IF(K21=3,INDEX(in_sup_vat_rate,1,C21),0)+AW21*BA21+(BC21+BD21)*AW21/AY21+AZ21*AJ21/AL21)/AJ21,0)</f>
        <v>0.00914445883649335</v>
      </c>
      <c r="DK21" s="90" t="n">
        <f aca="false">IF(AK21&gt;0,(AK21*IF(K21=3,INDEX(in_sup_vat_rate,1,C21),0)+AX21*BA21+(BC21+BD21)*AX21/AY21+AZ21*AK21/AL21)/AK21,0)</f>
        <v>0.00914445883649335</v>
      </c>
      <c r="DL21" s="90" t="n">
        <f aca="false">IF(Y21&gt;0,(BP21-AI21*(1+DI21))/Y21,0)</f>
        <v>0.0616975428250893</v>
      </c>
      <c r="DM21" s="90" t="n">
        <f aca="false">IF(Z21&gt;0,(BQ21-AJ21*(1+DJ21))/Z21,0)</f>
        <v>0.0736602412807505</v>
      </c>
      <c r="DN21" s="90" t="n">
        <f aca="false">IF(AA21&gt;0,(BR21-AK21*(1+DK21))/AA21,0)</f>
        <v>0.0509395471343487</v>
      </c>
      <c r="DO21" s="86" t="n">
        <f aca="false">IF(Y21&gt;0,(CA21*(1-thr_gm_go)*(1-R21)-DL21)/(1+DI21)*I21/((1+AH21)*J21),"")</f>
        <v>8.62445775032573</v>
      </c>
      <c r="DP21" s="86" t="n">
        <f aca="false">IF(Z21&gt;0,(CB21*(1-thr_gm_go)*(1-R21)-DM21)/(1+DJ21)*I21/((1+AH21)*J21),"")</f>
        <v>9.09917718673941</v>
      </c>
      <c r="DQ21" s="86" t="n">
        <f aca="false">IF(AA21&gt;0,(CC21*(1-thr_gm_go)*(1-R21)-DN21)/(1+DK21)*I21/((1+AH21)*J21),"")</f>
        <v>7.9791244110243</v>
      </c>
      <c r="DR21" s="92" t="n">
        <f aca="false">IF(AND(AY21*INDEX(in_cus_mpf_rate,1,C21)&gt;INDEX(in_cus_mpf_min,1,C21),AY21*INDEX(in_cus_mpf_rate,1,C21)&lt;INDEX(in_cus_mpf_max,1,C21)),INDEX(in_cus_mpf_rate,1,C21),0)</f>
        <v>0.003464</v>
      </c>
      <c r="DS21" s="88" t="n">
        <f aca="false">IF(AZ21&gt;INDEX(in_oce_ins_min,1,C21),INDEX(in_oce_ins_rate,1,C21)*(1+INDEX(in_oce_ins_uplift,1,C21))*AL21,0)</f>
        <v>0</v>
      </c>
      <c r="DT21" s="88" t="n">
        <f aca="false">(AL21+AN21)*(1+BA21+INDEX(in_cus_hmf,1,C21)+DR21)+DS21</f>
        <v>11338.7127279487</v>
      </c>
      <c r="DU21" s="86" t="n">
        <f aca="false">IF(DT21&gt;0,(CD21*(1-thr_gm_go)-(BM21-DT21))/DT21,0)</f>
        <v>1.11003453630593</v>
      </c>
      <c r="DV21" s="86" t="n">
        <f aca="false">IF(DT21&gt;0,(CD21-(BM21-DT21))/DT21,0)</f>
        <v>1.63486448330086</v>
      </c>
      <c r="DW21" s="87" t="n">
        <f aca="false">(1+AH21)*J21*DU21-1</f>
        <v>0.0545328094906352</v>
      </c>
      <c r="DX21" s="87" t="n">
        <f aca="false">(1+AH21)*J21*DV21-1</f>
        <v>0.553121259135813</v>
      </c>
      <c r="DY21" s="85" t="n">
        <f aca="false">IF(G21&gt;0,(CD21*(1-thr_gm_go)-(BM21-AT21))/G21,"")</f>
        <v>4147.649997326</v>
      </c>
      <c r="DZ21" s="90" t="n">
        <f aca="false">IF(AB21&gt;0,(AL21+AN21+BB21+BC21+BD21)/AB21,0)</f>
        <v>0.134984675332723</v>
      </c>
      <c r="EA21" s="88" t="n">
        <f aca="false">BM21-DZ21*AB21</f>
        <v>5266.32527472528</v>
      </c>
      <c r="EB21" s="90" t="n">
        <f aca="false">IF(AB21&gt;0,CD21/AB21,0)</f>
        <v>0.283376</v>
      </c>
      <c r="EC21" s="85" t="n">
        <f aca="false">IF(EB21*(1-thr_gm_go)-DZ21&gt;0,EA21/(EB21*(1-thr_gm_go)-DZ21),"n/a")</f>
        <v>67911.1148878554</v>
      </c>
      <c r="ED21" s="85" t="n">
        <f aca="false">IF(EB21-DZ21&gt;0,EA21/(EB21-DZ21),"n/a")</f>
        <v>35489.4417617298</v>
      </c>
      <c r="EE21" s="93" t="b">
        <f aca="false">INDEX(cfg_fits,D21,C21)</f>
        <v>1</v>
      </c>
      <c r="EF21" s="87" t="n">
        <f aca="false">IF(F21=4,"",INDEX(cfg_lenutil,D21,C21))</f>
        <v>0.999580888516345</v>
      </c>
      <c r="EG21" s="31" t="str">
        <f aca="false">IF(O21&gt;1,"Check fit (units scaled up)","")</f>
        <v/>
      </c>
    </row>
    <row r="22" customFormat="false" ht="15" hidden="false" customHeight="false" outlineLevel="0" collapsed="false">
      <c r="A22" s="78" t="n">
        <v>1043</v>
      </c>
      <c r="B22" s="9" t="s">
        <v>3170</v>
      </c>
      <c r="C22" s="78" t="n">
        <v>1</v>
      </c>
      <c r="D22" s="78" t="n">
        <v>4</v>
      </c>
      <c r="E22" s="78" t="n">
        <v>3</v>
      </c>
      <c r="F22" s="79" t="n">
        <f aca="false">INDEX(cfg_ct,D22)</f>
        <v>3</v>
      </c>
      <c r="G22" s="79" t="n">
        <f aca="false">INDEX(cfg_n,D22)</f>
        <v>1</v>
      </c>
      <c r="H22" s="79" t="n">
        <f aca="false">INDEX(dest_port,E22)</f>
        <v>2</v>
      </c>
      <c r="I22" s="80" t="n">
        <f aca="false">INDEX(in_fx_cbe,1,C22)*(1-INDEX(in_fx_spread,1,C22))</f>
        <v>54.6</v>
      </c>
      <c r="J22" s="81" t="n">
        <f aca="false">1</f>
        <v>1</v>
      </c>
      <c r="K22" s="82" t="n">
        <f aca="false">INDEX(in_sup_vat_mode,1,C22)</f>
        <v>1</v>
      </c>
      <c r="L22" s="83" t="n">
        <f aca="false">INDEX(in_cus_s301,1,C22)</f>
        <v>0</v>
      </c>
      <c r="M22" s="84" t="n">
        <f aca="false">1</f>
        <v>1</v>
      </c>
      <c r="N22" s="81" t="n">
        <f aca="false">1</f>
        <v>1</v>
      </c>
      <c r="O22" s="81" t="n">
        <f aca="false">1</f>
        <v>1</v>
      </c>
      <c r="P22" s="81" t="n">
        <f aca="false">1</f>
        <v>1</v>
      </c>
      <c r="Q22" s="81" t="n">
        <f aca="false">1</f>
        <v>1</v>
      </c>
      <c r="R22" s="83" t="n">
        <f aca="false">INDEX(in_sel_damage,1,C22)</f>
        <v>0.005</v>
      </c>
      <c r="S22" s="83" t="n">
        <f aca="false">INDEX(in_mkt_dist_margin,1,C22)</f>
        <v>0.2</v>
      </c>
      <c r="T22" s="83" t="n">
        <f aca="false">INDEX(in_mkt_eflute_disc,1,C22)</f>
        <v>0.15</v>
      </c>
      <c r="U22" s="82" t="n">
        <f aca="false">INDEX(in_sel_credit_days,1,C22)</f>
        <v>30</v>
      </c>
      <c r="V22" s="81" t="n">
        <f aca="false">1</f>
        <v>1</v>
      </c>
      <c r="W22" s="83" t="n">
        <f aca="false">INDEX(in_sel_commission,1,C22)</f>
        <v>0.03</v>
      </c>
      <c r="X22" s="82" t="n">
        <f aca="false">1</f>
        <v>1</v>
      </c>
      <c r="Y22" s="85" t="n">
        <f aca="false">INDEX(cfg_u_3464,D22,C22)*O22</f>
        <v>28000</v>
      </c>
      <c r="Z22" s="85" t="n">
        <f aca="false">INDEX(cfg_u_3463,D22,C22)*O22</f>
        <v>28000</v>
      </c>
      <c r="AA22" s="85" t="n">
        <f aca="false">INDEX(cfg_u_3460,D22,C22)*O22</f>
        <v>28000</v>
      </c>
      <c r="AB22" s="85" t="n">
        <f aca="false">Y22+Z22+AA22</f>
        <v>84000</v>
      </c>
      <c r="AC22" s="86" t="n">
        <f aca="false">Y22*INDEX(lg_vpu_3464,C22)</f>
        <v>18.67404</v>
      </c>
      <c r="AD22" s="86" t="n">
        <f aca="false">Z22*INDEX(lg_vpu_3463,C22)</f>
        <v>22.84464</v>
      </c>
      <c r="AE22" s="86" t="n">
        <f aca="false">AA22*INDEX(lg_vpu_3460,C22)</f>
        <v>14.92344</v>
      </c>
      <c r="AF22" s="86" t="n">
        <f aca="false">AC22+AD22+AE22</f>
        <v>56.44212</v>
      </c>
      <c r="AG22" s="85" t="n">
        <f aca="false">Y22*INDEX(lg_kpu_3464,C22)+Z22*INDEX(lg_kpu_3463,C22)+AA22*INDEX(lg_kpu_3460,C22)</f>
        <v>13797.51296</v>
      </c>
      <c r="AH22" s="87" t="n">
        <f aca="false">INDEX(in_sup_requote,1,C22)</f>
        <v>-0.05</v>
      </c>
      <c r="AI22" s="88" t="n">
        <f aca="false">Y22*q_price_3464*(1+AH22)*J22/I22</f>
        <v>4075.25641025641</v>
      </c>
      <c r="AJ22" s="88" t="n">
        <f aca="false">Z22*q_price_3463*(1+AH22)*J22/I22</f>
        <v>3848.71794871795</v>
      </c>
      <c r="AK22" s="88" t="n">
        <f aca="false">AA22*q_price_3460*(1+AH22)*J22/I22</f>
        <v>3361.53846153846</v>
      </c>
      <c r="AL22" s="88" t="n">
        <f aca="false">AI22+AJ22+AK22</f>
        <v>11285.5128205128</v>
      </c>
      <c r="AM22" s="88" t="n">
        <f aca="false">IF(OR(K22=2,K22=3),AL22*INDEX(in_sup_vat_rate,1,C22),0)</f>
        <v>0</v>
      </c>
      <c r="AN22" s="88" t="n">
        <f aca="false">IF(K22=3,AM22,0)</f>
        <v>0</v>
      </c>
      <c r="AO22" s="88" t="n">
        <f aca="false">INDEX(in_sup_tooling_egp,1,C22)/I22</f>
        <v>0</v>
      </c>
      <c r="AP22" s="88" t="n">
        <f aca="false">IF(F22=4,INDEX(in_ori_lcl_truck,1,C22)*V22/I22+INDEX(in_ori_lcl_cfs_o,1,C22),G22*(IF(F22=1,INDEX(in_ori_truck_20,1,C22),INDEX(in_ori_truck_40,1,C22))*V22/I22+INDEX(in_ori_terminal,1,C22)+IF(F22=1,INDEX(in_ori_othc_20,1,C22),INDEX(in_ori_othc_40,1,C22))*(1-INDEX(in_ori_othc_in_freight,1,C22))+INDEX(in_ori_seal,1,C22)+INDEX(in_ori_inspection,1,C22)+INDEX(in_ori_dd_days,1,C22)*IF(F22=1,INDEX(in_ori_dd_20,1,C22),INDEX(in_ori_dd_40,1,C22))+INDEX(in_ori_loading_egp,1,C22)/I22))</f>
        <v>457.465201465201</v>
      </c>
      <c r="AQ22" s="88" t="n">
        <f aca="false">(INDEX(in_ori_clearance,1,C22)+INDEX(in_ori_coo,1,C22))/I22+INDEX(in_ori_bl_fee,1,C22)+INDEX(in_ori_fwd_fee,1,C22)+INDEX(in_ori_qc,1,C22)+INDEX(in_ori_wires,1,C22)*INDEX(in_ori_wire_fee,1,C22)</f>
        <v>298.260073260073</v>
      </c>
      <c r="AR22" s="88" t="n">
        <f aca="false">AP22+AQ22</f>
        <v>755.725274725275</v>
      </c>
      <c r="AS22" s="85" t="n">
        <f aca="false">INDEX(tbl_port_diff,H22,C22)</f>
        <v>0</v>
      </c>
      <c r="AT22" s="88" t="n">
        <f aca="false">IF(F22=4,MAX(AF22*INDEX(in_oce_lcl_factor,1,C22),AG22/1000,1)*INDEX(in_oce_lcl_rate,1,C22)*M22,G22*(INDEX(tbl_ocean_rate,MIN(F22,3),C22)+AS22)*M22)</f>
        <v>2900</v>
      </c>
      <c r="AU22" s="88" t="n">
        <f aca="false">AT22+INDEX(in_oce_ams,1,C22)</f>
        <v>2930</v>
      </c>
      <c r="AV22" s="88" t="n">
        <f aca="false">AI22*(1+IF(K22=3,INDEX(in_sup_vat_rate,1,C22),0))+AO22*Y22/AB22</f>
        <v>4075.25641025641</v>
      </c>
      <c r="AW22" s="88" t="n">
        <f aca="false">AJ22*(1+IF(K22=3,INDEX(in_sup_vat_rate,1,C22),0))+AO22*Z22/AB22</f>
        <v>3848.71794871795</v>
      </c>
      <c r="AX22" s="88" t="n">
        <f aca="false">AK22*(1+IF(K22=3,INDEX(in_sup_vat_rate,1,C22),0))+AO22*AA22/AB22</f>
        <v>3361.53846153846</v>
      </c>
      <c r="AY22" s="88" t="n">
        <f aca="false">AV22+AW22+AX22</f>
        <v>11285.5128205128</v>
      </c>
      <c r="AZ22" s="88" t="n">
        <f aca="false">MAX(INDEX(in_oce_ins_min,1,C22),INDEX(in_oce_ins_rate,1,C22)*(1+INDEX(in_oce_ins_uplift,1,C22))*(AL22+AO22+AR22+AU22))*(1-INDEX(in_oce_ins_in_other,1,C22))</f>
        <v>50</v>
      </c>
      <c r="BA22" s="87" t="n">
        <f aca="false">INDEX(in_cus_mfn,1,C22)+L22</f>
        <v>0</v>
      </c>
      <c r="BB22" s="88" t="n">
        <f aca="false">AY22*BA22</f>
        <v>0</v>
      </c>
      <c r="BC22" s="88" t="n">
        <f aca="false">MIN(MAX(AY22*INDEX(in_cus_mpf_rate,1,C22),INDEX(in_cus_mpf_min,1,C22)),INDEX(in_cus_mpf_max,1,C22))</f>
        <v>39.0930164102564</v>
      </c>
      <c r="BD22" s="88" t="n">
        <f aca="false">AY22*INDEX(in_cus_hmf,1,C22)</f>
        <v>14.106891025641</v>
      </c>
      <c r="BE22" s="88" t="n">
        <f aca="false">MAX(INDEX(in_cus_stb_min,1,C22),INDEX(in_cus_stb_rate,1,C22)/1000*(AY22+BB22+BC22+BD22))</f>
        <v>50</v>
      </c>
      <c r="BF22" s="88" t="n">
        <f aca="false">INDEX(in_cus_broker,1,C22)+INDEX(in_cus_isf,1,C22)+INDEX(in_cus_do_fee,1,C22)+BE22+INDEX(in_cus_isf_bond,1,C22)</f>
        <v>385</v>
      </c>
      <c r="BG22" s="88" t="n">
        <f aca="false">IF(H22=1,INDEX(in_cus_cfc,1,C22)*INDEX(ct_teu,F22)*G22*(1-INDEX(in_cus_cfc_in_freight,1,C22)),0)</f>
        <v>0</v>
      </c>
      <c r="BH22" s="88" t="n">
        <f aca="false">IF(F22=4,1,G22)*(INDEX(in_cus_exam,1,C22)+INDEX(in_cus_exam_dray,1,C22))</f>
        <v>0</v>
      </c>
      <c r="BI22" s="88" t="n">
        <f aca="false">IF(F22=4,1,G22)*INDEX(in_cus_dem_days,1,C22)*INDEX(in_cus_dem_rate,1,C22)</f>
        <v>0</v>
      </c>
      <c r="BJ22" s="88" t="n">
        <f aca="false">BG22+BH22+BI22</f>
        <v>0</v>
      </c>
      <c r="BK22" s="88" t="n">
        <f aca="false">IF(F22=4,(INDEX(in_dra_lcl_cfs_d,1,C22)+INDEX(in_dra_lcl_deliv,1,C22))*P22,G22*(INDEX(tbl_dest_line,E22,C22)*P22*(1+INDEX(in_dra_fsc,1,C22))+INDEX(tbl_dest_tolls,E22,C22)+INDEX(in_dra_chassis_days,1,C22)*INDEX(tbl_dest_chassis,E22,C22)*(1-INDEX(in_dra_chassis_in_dray,1,C22))+INDEX(in_dra_wait_hours,1,C22)*INDEX(in_dra_wait_rate,1,C22)+INDEX(in_dra_split,1,C22)+INDEX(in_dra_prepull,1,C22)+INDEX(in_dra_dryrun,1,C22)))</f>
        <v>567.5</v>
      </c>
      <c r="BL22" s="88" t="n">
        <f aca="false">IF(F22=4,0,G22*IF(F22=1,INDEX(in_dra_unload_20,1,C22),INDEX(in_dra_unload_40,1,C22))*Q22*(1-INDEX(in_dra_unload_in_dray,1,C22)))</f>
        <v>250</v>
      </c>
      <c r="BM22" s="88" t="n">
        <f aca="false">AL22+AN22+AO22+AR22+AU22+AZ22+BB22+BC22+BD22+BF22+BJ22+BK22+BL22</f>
        <v>16276.938002674</v>
      </c>
      <c r="BN22" s="88" t="n">
        <f aca="false">AP22+AU22+BJ22+BK22+BL22</f>
        <v>4204.9652014652</v>
      </c>
      <c r="BO22" s="88" t="n">
        <f aca="false">AQ22+BF22</f>
        <v>683.260073260073</v>
      </c>
      <c r="BP22" s="88" t="n">
        <f aca="false">AI22*(1+IF(K22=3,INDEX(in_sup_vat_rate,1,C22),0))+AO22*Y22/AB22+AV22*BA22+(BC22+BD22)*AV22/AY22+AZ22*AI22/AL22+BN22*AC22/AF22+BO22*Y22/AB22</f>
        <v>5731.50078203678</v>
      </c>
      <c r="BQ22" s="88" t="n">
        <f aca="false">AJ22*(1+IF(K22=3,INDEX(in_sup_vat_rate,1,C22),0))+AO22*Z22/AB22+AW22*BA22+(BC22+BD22)*AW22/AY22+AZ22*AJ22/AL22+BN22*AD22/AF22+BO22*Z22/AB22</f>
        <v>5813.60246325587</v>
      </c>
      <c r="BR22" s="88" t="n">
        <f aca="false">AK22*(1+IF(K22=3,INDEX(in_sup_vat_rate,1,C22),0))+AO22*AA22/AB22+AX22*BA22+(BC22+BD22)*AX22/AY22+AZ22*AK22/AL22+BN22*AE22/AF22+BO22*AA22/AB22</f>
        <v>4731.83475738134</v>
      </c>
      <c r="BS22" s="89" t="n">
        <f aca="false">BP22+BQ22+BR22-BM22</f>
        <v>0</v>
      </c>
      <c r="BT22" s="85" t="n">
        <f aca="false">Y22*(1-R22)</f>
        <v>27860</v>
      </c>
      <c r="BU22" s="85" t="n">
        <f aca="false">Z22*(1-R22)</f>
        <v>27860</v>
      </c>
      <c r="BV22" s="85" t="n">
        <f aca="false">AA22*(1-R22)</f>
        <v>27860</v>
      </c>
      <c r="BW22" s="85" t="n">
        <f aca="false">BT22+BU22+BV22</f>
        <v>83580</v>
      </c>
      <c r="BX22" s="90" t="n">
        <f aca="false">IF(BT22&gt;0,BP22/BT22,0)</f>
        <v>0.205725081910868</v>
      </c>
      <c r="BY22" s="90" t="n">
        <f aca="false">IF(BU22&gt;0,BQ22/BU22,0)</f>
        <v>0.208672019499493</v>
      </c>
      <c r="BZ22" s="90" t="n">
        <f aca="false">IF(BV22&gt;0,BR22/BV22,0)</f>
        <v>0.169843315053171</v>
      </c>
      <c r="CA22" s="90" t="n">
        <f aca="false">INDEX(in_mkt_listing_3464,1,C22)*(1-IF(sku_flute_3464="B",T22,0))*(1-S22)*N22</f>
        <v>0.2856</v>
      </c>
      <c r="CB22" s="90" t="n">
        <f aca="false">INDEX(in_mkt_listing_3463,1,C22)*(1-IF(sku_flute_3463="B",T22,0))*(1-S22)*N22</f>
        <v>0.3128</v>
      </c>
      <c r="CC22" s="90" t="n">
        <f aca="false">INDEX(in_mkt_listing_3460,1,C22)*(1-IF(sku_flute_3460="B",T22,0))*(1-S22)*N22</f>
        <v>0.256</v>
      </c>
      <c r="CD22" s="88" t="n">
        <f aca="false">BT22*CA22+BU22*CB22+BV22*CC22</f>
        <v>23803.584</v>
      </c>
      <c r="CE22" s="88" t="n">
        <f aca="false">CD22-BM22</f>
        <v>7526.64599732601</v>
      </c>
      <c r="CF22" s="87" t="n">
        <f aca="false">IF(CD22&gt;0,CE22/CD22,0)</f>
        <v>0.31619801443875</v>
      </c>
      <c r="CG22" s="87" t="n">
        <f aca="false">W22+INDEX(in_sel_processing,1,C22)+INDEX(in_sel_bad_debt,1,C22)</f>
        <v>0.0325</v>
      </c>
      <c r="CH22" s="88" t="n">
        <f aca="false">CD22*CG22</f>
        <v>773.61648</v>
      </c>
      <c r="CI22" s="88" t="n">
        <f aca="false">INDEX(in_sel_testing,1,C22)*X22+INDEX(in_sel_admin,1,C22)</f>
        <v>1250</v>
      </c>
      <c r="CJ22" s="79" t="n">
        <f aca="false">INDEX(in_sup_lead_days,1,C22)</f>
        <v>14</v>
      </c>
      <c r="CK22" s="79" t="n">
        <f aca="false">CJ22+INDEX(in_oce_transit,1,C22)+IF(F22=4,INDEX(in_oce_lcl_extra_days,1,C22),0)</f>
        <v>39</v>
      </c>
      <c r="CL22" s="79" t="n">
        <f aca="false">CK22+2+INDEX(in_cus_dem_days,1,C22)</f>
        <v>41</v>
      </c>
      <c r="CM22" s="79" t="n">
        <f aca="false">CL22+U22</f>
        <v>71</v>
      </c>
      <c r="CN22" s="79" t="n">
        <f aca="false">CJ22+INDEX(in_sup_vat_lag,1,C22)</f>
        <v>44</v>
      </c>
      <c r="CO22" s="91" t="n">
        <f aca="false">INDEX(in_sup_advance,1,C22)</f>
        <v>0.5</v>
      </c>
      <c r="CP22" s="88" t="n">
        <f aca="false">CO22*(AL22+AM22)+AO22+INDEX(in_sel_testing,1,C22)*X22</f>
        <v>6642.75641025641</v>
      </c>
      <c r="CQ22" s="88" t="n">
        <f aca="false">(1-CO22)*(AL22+AM22)+AR22+AU22+AZ22</f>
        <v>9378.48168498169</v>
      </c>
      <c r="CR22" s="88" t="n">
        <f aca="false">BB22+BC22+BD22+BF22+BJ22</f>
        <v>438.199907435897</v>
      </c>
      <c r="CS22" s="88" t="n">
        <f aca="false">BK22+BL22</f>
        <v>817.5</v>
      </c>
      <c r="CT22" s="88" t="n">
        <f aca="false">IF(K22=2,AM22,0)</f>
        <v>0</v>
      </c>
      <c r="CU22" s="85" t="n">
        <f aca="false">IF(K22=2,CO22*AM22*(CN22-0)+(1-CO22)*AM22*(CN22-CJ22),0)</f>
        <v>0</v>
      </c>
      <c r="CV22" s="85" t="n">
        <f aca="false">(CP22-CO22*CT22)*(CM22-0)+(CQ22-(1-CO22)*CT22)*(CM22-CJ22)+CR22*(CM22-CK22)+CS22*(CM22-CL22)</f>
        <v>1044756.55821011</v>
      </c>
      <c r="CW22" s="88" t="n">
        <f aca="false">INDEX(in_sel_fin_rate,1,C22)/365*(CU22+CV22)</f>
        <v>228.987738785778</v>
      </c>
      <c r="CX22" s="85" t="n">
        <f aca="false">CP22-IF(CN22&lt;=0,CT22,0)</f>
        <v>6642.75641025641</v>
      </c>
      <c r="CY22" s="85" t="n">
        <f aca="false">CP22+CQ22-IF(CN22&lt;=CJ22,CT22,0)</f>
        <v>16021.2380952381</v>
      </c>
      <c r="CZ22" s="85" t="n">
        <f aca="false">CP22+CQ22+CR22-IF(CN22&lt;=CK22,CT22,0)</f>
        <v>16459.438002674</v>
      </c>
      <c r="DA22" s="85" t="n">
        <f aca="false">CP22+CQ22+CR22+CS22-IF(CN22&lt;=CL22,CT22,0)</f>
        <v>17276.938002674</v>
      </c>
      <c r="DB22" s="88" t="n">
        <f aca="false">MAX(CX22,CY22,CZ22,DA22)</f>
        <v>17276.938002674</v>
      </c>
      <c r="DC22" s="88" t="n">
        <f aca="false">CP22+CQ22+CR22+CS22</f>
        <v>17276.938002674</v>
      </c>
      <c r="DD22" s="88" t="n">
        <f aca="false">CE22-CH22-CI22-CW22</f>
        <v>5274.04177854023</v>
      </c>
      <c r="DE22" s="87" t="n">
        <f aca="false">IF(CD22&gt;0,DD22/CD22,0)</f>
        <v>0.221565028969597</v>
      </c>
      <c r="DF22" s="86" t="n">
        <f aca="false">IF(CD22&gt;0,(BM22+CI22+CW22)/(CD22*(1-CG22)),0)</f>
        <v>0.77099221811928</v>
      </c>
      <c r="DG22" s="90" t="n">
        <f aca="false">IF(BW22&gt;0,BM22/BW22,0)</f>
        <v>0.194746805487844</v>
      </c>
      <c r="DH22" s="90" t="n">
        <f aca="false">IF(BW22&gt;0,CD22/BW22,0)</f>
        <v>0.2848</v>
      </c>
      <c r="DI22" s="90" t="n">
        <f aca="false">IF(AI22&gt;0,(AI22*IF(K22=3,INDEX(in_sup_vat_rate,1,C22),0)+AV22*BA22+(BC22+BD22)*AV22/AY22+AZ22*AI22/AL22)/AI22,0)</f>
        <v>0.00914445883649335</v>
      </c>
      <c r="DJ22" s="90" t="n">
        <f aca="false">IF(AJ22&gt;0,(AJ22*IF(K22=3,INDEX(in_sup_vat_rate,1,C22),0)+AW22*BA22+(BC22+BD22)*AW22/AY22+AZ22*AJ22/AL22)/AJ22,0)</f>
        <v>0.00914445883649335</v>
      </c>
      <c r="DK22" s="90" t="n">
        <f aca="false">IF(AK22&gt;0,(AK22*IF(K22=3,INDEX(in_sup_vat_rate,1,C22),0)+AX22*BA22+(BC22+BD22)*AX22/AY22+AZ22*AK22/AL22)/AK22,0)</f>
        <v>0.00914445883649335</v>
      </c>
      <c r="DL22" s="90" t="n">
        <f aca="false">IF(Y22&gt;0,(BP22-AI22*(1+DI22))/Y22,0)</f>
        <v>0.0578206556174507</v>
      </c>
      <c r="DM22" s="90" t="n">
        <f aca="false">IF(Z22&gt;0,(BQ22-AJ22*(1+DJ22))/Z22,0)</f>
        <v>0.0689175025600929</v>
      </c>
      <c r="DN22" s="90" t="n">
        <f aca="false">IF(AA22&gt;0,(BR22-AK22*(1+DK22))/AA22,0)</f>
        <v>0.0478413159197876</v>
      </c>
      <c r="DO22" s="86" t="n">
        <f aca="false">IF(Y22&gt;0,(CA22*(1-thr_gm_go)*(1-R22)-DL22)/(1+DI22)*I22/((1+AH22)*J22),"")</f>
        <v>8.84525764586155</v>
      </c>
      <c r="DP22" s="86" t="n">
        <f aca="false">IF(Z22&gt;0,(CB22*(1-thr_gm_go)*(1-R22)-DM22)/(1+DJ22)*I22/((1+AH22)*J22),"")</f>
        <v>9.36928982040375</v>
      </c>
      <c r="DQ22" s="86" t="n">
        <f aca="false">IF(AA22&gt;0,(CC22*(1-thr_gm_go)*(1-R22)-DN22)/(1+DK22)*I22/((1+AH22)*J22),"")</f>
        <v>8.1555776044969</v>
      </c>
      <c r="DR22" s="92" t="n">
        <f aca="false">IF(AND(AY22*INDEX(in_cus_mpf_rate,1,C22)&gt;INDEX(in_cus_mpf_min,1,C22),AY22*INDEX(in_cus_mpf_rate,1,C22)&lt;INDEX(in_cus_mpf_max,1,C22)),INDEX(in_cus_mpf_rate,1,C22),0)</f>
        <v>0.003464</v>
      </c>
      <c r="DS22" s="88" t="n">
        <f aca="false">IF(AZ22&gt;INDEX(in_oce_ins_min,1,C22),INDEX(in_oce_ins_rate,1,C22)*(1+INDEX(in_oce_ins_uplift,1,C22))*AL22,0)</f>
        <v>0</v>
      </c>
      <c r="DT22" s="88" t="n">
        <f aca="false">(AL22+AN22)*(1+BA22+INDEX(in_cus_hmf,1,C22)+DR22)+DS22</f>
        <v>11338.7127279487</v>
      </c>
      <c r="DU22" s="86" t="n">
        <f aca="false">IF(DT22&gt;0,(CD22*(1-thr_gm_go)-(BM22-DT22))/DT22,0)</f>
        <v>1.13897080163623</v>
      </c>
      <c r="DV22" s="86" t="n">
        <f aca="false">IF(DT22&gt;0,(CD22-(BM22-DT22))/DT22,0)</f>
        <v>1.66380074863116</v>
      </c>
      <c r="DW22" s="87" t="n">
        <f aca="false">(1+AH22)*J22*DU22-1</f>
        <v>0.0820222615544226</v>
      </c>
      <c r="DX22" s="87" t="n">
        <f aca="false">(1+AH22)*J22*DV22-1</f>
        <v>0.580610711199601</v>
      </c>
      <c r="DY22" s="85" t="n">
        <f aca="false">IF(G22&gt;0,(CD22*(1-thr_gm_go)-(BM22-AT22))/G22,"")</f>
        <v>4475.74999732601</v>
      </c>
      <c r="DZ22" s="90" t="n">
        <f aca="false">IF(AB22&gt;0,(AL22+AN22+BB22+BC22+BD22)/AB22,0)</f>
        <v>0.134984675332723</v>
      </c>
      <c r="EA22" s="88" t="n">
        <f aca="false">BM22-DZ22*AB22</f>
        <v>4938.22527472528</v>
      </c>
      <c r="EB22" s="90" t="n">
        <f aca="false">IF(AB22&gt;0,CD22/AB22,0)</f>
        <v>0.283376</v>
      </c>
      <c r="EC22" s="85" t="n">
        <f aca="false">IF(EB22*(1-thr_gm_go)-DZ22&gt;0,EA22/(EB22*(1-thr_gm_go)-DZ22),"n/a")</f>
        <v>63680.150100769</v>
      </c>
      <c r="ED22" s="85" t="n">
        <f aca="false">IF(EB22-DZ22&gt;0,EA22/(EB22-DZ22),"n/a")</f>
        <v>33278.3960639058</v>
      </c>
      <c r="EE22" s="93" t="b">
        <f aca="false">INDEX(cfg_fits,D22,C22)</f>
        <v>1</v>
      </c>
      <c r="EF22" s="87" t="n">
        <f aca="false">IF(F22=4,"",INDEX(cfg_lenutil,D22,C22))</f>
        <v>0.999580888516345</v>
      </c>
      <c r="EG22" s="31" t="str">
        <f aca="false">IF(O22&gt;1,"Check fit (units scaled up)","")</f>
        <v/>
      </c>
    </row>
    <row r="23" customFormat="false" ht="15" hidden="false" customHeight="false" outlineLevel="0" collapsed="false">
      <c r="A23" s="78" t="n">
        <v>1044</v>
      </c>
      <c r="B23" s="9" t="s">
        <v>3171</v>
      </c>
      <c r="C23" s="78" t="n">
        <v>1</v>
      </c>
      <c r="D23" s="78" t="n">
        <v>4</v>
      </c>
      <c r="E23" s="78" t="n">
        <v>4</v>
      </c>
      <c r="F23" s="79" t="n">
        <f aca="false">INDEX(cfg_ct,D23)</f>
        <v>3</v>
      </c>
      <c r="G23" s="79" t="n">
        <f aca="false">INDEX(cfg_n,D23)</f>
        <v>1</v>
      </c>
      <c r="H23" s="79" t="n">
        <f aca="false">INDEX(dest_port,E23)</f>
        <v>3</v>
      </c>
      <c r="I23" s="80" t="n">
        <f aca="false">INDEX(in_fx_cbe,1,C23)*(1-INDEX(in_fx_spread,1,C23))</f>
        <v>54.6</v>
      </c>
      <c r="J23" s="81" t="n">
        <f aca="false">1</f>
        <v>1</v>
      </c>
      <c r="K23" s="82" t="n">
        <f aca="false">INDEX(in_sup_vat_mode,1,C23)</f>
        <v>1</v>
      </c>
      <c r="L23" s="83" t="n">
        <f aca="false">INDEX(in_cus_s301,1,C23)</f>
        <v>0</v>
      </c>
      <c r="M23" s="84" t="n">
        <f aca="false">1</f>
        <v>1</v>
      </c>
      <c r="N23" s="81" t="n">
        <f aca="false">1</f>
        <v>1</v>
      </c>
      <c r="O23" s="81" t="n">
        <f aca="false">1</f>
        <v>1</v>
      </c>
      <c r="P23" s="81" t="n">
        <f aca="false">1</f>
        <v>1</v>
      </c>
      <c r="Q23" s="81" t="n">
        <f aca="false">1</f>
        <v>1</v>
      </c>
      <c r="R23" s="83" t="n">
        <f aca="false">INDEX(in_sel_damage,1,C23)</f>
        <v>0.005</v>
      </c>
      <c r="S23" s="83" t="n">
        <f aca="false">INDEX(in_mkt_dist_margin,1,C23)</f>
        <v>0.2</v>
      </c>
      <c r="T23" s="83" t="n">
        <f aca="false">INDEX(in_mkt_eflute_disc,1,C23)</f>
        <v>0.15</v>
      </c>
      <c r="U23" s="82" t="n">
        <f aca="false">INDEX(in_sel_credit_days,1,C23)</f>
        <v>30</v>
      </c>
      <c r="V23" s="81" t="n">
        <f aca="false">1</f>
        <v>1</v>
      </c>
      <c r="W23" s="83" t="n">
        <f aca="false">INDEX(in_sel_commission,1,C23)</f>
        <v>0.03</v>
      </c>
      <c r="X23" s="82" t="n">
        <f aca="false">1</f>
        <v>1</v>
      </c>
      <c r="Y23" s="85" t="n">
        <f aca="false">INDEX(cfg_u_3464,D23,C23)*O23</f>
        <v>28000</v>
      </c>
      <c r="Z23" s="85" t="n">
        <f aca="false">INDEX(cfg_u_3463,D23,C23)*O23</f>
        <v>28000</v>
      </c>
      <c r="AA23" s="85" t="n">
        <f aca="false">INDEX(cfg_u_3460,D23,C23)*O23</f>
        <v>28000</v>
      </c>
      <c r="AB23" s="85" t="n">
        <f aca="false">Y23+Z23+AA23</f>
        <v>84000</v>
      </c>
      <c r="AC23" s="86" t="n">
        <f aca="false">Y23*INDEX(lg_vpu_3464,C23)</f>
        <v>18.67404</v>
      </c>
      <c r="AD23" s="86" t="n">
        <f aca="false">Z23*INDEX(lg_vpu_3463,C23)</f>
        <v>22.84464</v>
      </c>
      <c r="AE23" s="86" t="n">
        <f aca="false">AA23*INDEX(lg_vpu_3460,C23)</f>
        <v>14.92344</v>
      </c>
      <c r="AF23" s="86" t="n">
        <f aca="false">AC23+AD23+AE23</f>
        <v>56.44212</v>
      </c>
      <c r="AG23" s="85" t="n">
        <f aca="false">Y23*INDEX(lg_kpu_3464,C23)+Z23*INDEX(lg_kpu_3463,C23)+AA23*INDEX(lg_kpu_3460,C23)</f>
        <v>13797.51296</v>
      </c>
      <c r="AH23" s="87" t="n">
        <f aca="false">INDEX(in_sup_requote,1,C23)</f>
        <v>-0.05</v>
      </c>
      <c r="AI23" s="88" t="n">
        <f aca="false">Y23*q_price_3464*(1+AH23)*J23/I23</f>
        <v>4075.25641025641</v>
      </c>
      <c r="AJ23" s="88" t="n">
        <f aca="false">Z23*q_price_3463*(1+AH23)*J23/I23</f>
        <v>3848.71794871795</v>
      </c>
      <c r="AK23" s="88" t="n">
        <f aca="false">AA23*q_price_3460*(1+AH23)*J23/I23</f>
        <v>3361.53846153846</v>
      </c>
      <c r="AL23" s="88" t="n">
        <f aca="false">AI23+AJ23+AK23</f>
        <v>11285.5128205128</v>
      </c>
      <c r="AM23" s="88" t="n">
        <f aca="false">IF(OR(K23=2,K23=3),AL23*INDEX(in_sup_vat_rate,1,C23),0)</f>
        <v>0</v>
      </c>
      <c r="AN23" s="88" t="n">
        <f aca="false">IF(K23=3,AM23,0)</f>
        <v>0</v>
      </c>
      <c r="AO23" s="88" t="n">
        <f aca="false">INDEX(in_sup_tooling_egp,1,C23)/I23</f>
        <v>0</v>
      </c>
      <c r="AP23" s="88" t="n">
        <f aca="false">IF(F23=4,INDEX(in_ori_lcl_truck,1,C23)*V23/I23+INDEX(in_ori_lcl_cfs_o,1,C23),G23*(IF(F23=1,INDEX(in_ori_truck_20,1,C23),INDEX(in_ori_truck_40,1,C23))*V23/I23+INDEX(in_ori_terminal,1,C23)+IF(F23=1,INDEX(in_ori_othc_20,1,C23),INDEX(in_ori_othc_40,1,C23))*(1-INDEX(in_ori_othc_in_freight,1,C23))+INDEX(in_ori_seal,1,C23)+INDEX(in_ori_inspection,1,C23)+INDEX(in_ori_dd_days,1,C23)*IF(F23=1,INDEX(in_ori_dd_20,1,C23),INDEX(in_ori_dd_40,1,C23))+INDEX(in_ori_loading_egp,1,C23)/I23))</f>
        <v>457.465201465201</v>
      </c>
      <c r="AQ23" s="88" t="n">
        <f aca="false">(INDEX(in_ori_clearance,1,C23)+INDEX(in_ori_coo,1,C23))/I23+INDEX(in_ori_bl_fee,1,C23)+INDEX(in_ori_fwd_fee,1,C23)+INDEX(in_ori_qc,1,C23)+INDEX(in_ori_wires,1,C23)*INDEX(in_ori_wire_fee,1,C23)</f>
        <v>298.260073260073</v>
      </c>
      <c r="AR23" s="88" t="n">
        <f aca="false">AP23+AQ23</f>
        <v>755.725274725275</v>
      </c>
      <c r="AS23" s="85" t="n">
        <f aca="false">INDEX(tbl_port_diff,H23,C23)</f>
        <v>0</v>
      </c>
      <c r="AT23" s="88" t="n">
        <f aca="false">IF(F23=4,MAX(AF23*INDEX(in_oce_lcl_factor,1,C23),AG23/1000,1)*INDEX(in_oce_lcl_rate,1,C23)*M23,G23*(INDEX(tbl_ocean_rate,MIN(F23,3),C23)+AS23)*M23)</f>
        <v>2900</v>
      </c>
      <c r="AU23" s="88" t="n">
        <f aca="false">AT23+INDEX(in_oce_ams,1,C23)</f>
        <v>2930</v>
      </c>
      <c r="AV23" s="88" t="n">
        <f aca="false">AI23*(1+IF(K23=3,INDEX(in_sup_vat_rate,1,C23),0))+AO23*Y23/AB23</f>
        <v>4075.25641025641</v>
      </c>
      <c r="AW23" s="88" t="n">
        <f aca="false">AJ23*(1+IF(K23=3,INDEX(in_sup_vat_rate,1,C23),0))+AO23*Z23/AB23</f>
        <v>3848.71794871795</v>
      </c>
      <c r="AX23" s="88" t="n">
        <f aca="false">AK23*(1+IF(K23=3,INDEX(in_sup_vat_rate,1,C23),0))+AO23*AA23/AB23</f>
        <v>3361.53846153846</v>
      </c>
      <c r="AY23" s="88" t="n">
        <f aca="false">AV23+AW23+AX23</f>
        <v>11285.5128205128</v>
      </c>
      <c r="AZ23" s="88" t="n">
        <f aca="false">MAX(INDEX(in_oce_ins_min,1,C23),INDEX(in_oce_ins_rate,1,C23)*(1+INDEX(in_oce_ins_uplift,1,C23))*(AL23+AO23+AR23+AU23))*(1-INDEX(in_oce_ins_in_other,1,C23))</f>
        <v>50</v>
      </c>
      <c r="BA23" s="87" t="n">
        <f aca="false">INDEX(in_cus_mfn,1,C23)+L23</f>
        <v>0</v>
      </c>
      <c r="BB23" s="88" t="n">
        <f aca="false">AY23*BA23</f>
        <v>0</v>
      </c>
      <c r="BC23" s="88" t="n">
        <f aca="false">MIN(MAX(AY23*INDEX(in_cus_mpf_rate,1,C23),INDEX(in_cus_mpf_min,1,C23)),INDEX(in_cus_mpf_max,1,C23))</f>
        <v>39.0930164102564</v>
      </c>
      <c r="BD23" s="88" t="n">
        <f aca="false">AY23*INDEX(in_cus_hmf,1,C23)</f>
        <v>14.106891025641</v>
      </c>
      <c r="BE23" s="88" t="n">
        <f aca="false">MAX(INDEX(in_cus_stb_min,1,C23),INDEX(in_cus_stb_rate,1,C23)/1000*(AY23+BB23+BC23+BD23))</f>
        <v>50</v>
      </c>
      <c r="BF23" s="88" t="n">
        <f aca="false">INDEX(in_cus_broker,1,C23)+INDEX(in_cus_isf,1,C23)+INDEX(in_cus_do_fee,1,C23)+BE23+INDEX(in_cus_isf_bond,1,C23)</f>
        <v>385</v>
      </c>
      <c r="BG23" s="88" t="n">
        <f aca="false">IF(H23=1,INDEX(in_cus_cfc,1,C23)*INDEX(ct_teu,F23)*G23*(1-INDEX(in_cus_cfc_in_freight,1,C23)),0)</f>
        <v>0</v>
      </c>
      <c r="BH23" s="88" t="n">
        <f aca="false">IF(F23=4,1,G23)*(INDEX(in_cus_exam,1,C23)+INDEX(in_cus_exam_dray,1,C23))</f>
        <v>0</v>
      </c>
      <c r="BI23" s="88" t="n">
        <f aca="false">IF(F23=4,1,G23)*INDEX(in_cus_dem_days,1,C23)*INDEX(in_cus_dem_rate,1,C23)</f>
        <v>0</v>
      </c>
      <c r="BJ23" s="88" t="n">
        <f aca="false">BG23+BH23+BI23</f>
        <v>0</v>
      </c>
      <c r="BK23" s="88" t="n">
        <f aca="false">IF(F23=4,(INDEX(in_dra_lcl_cfs_d,1,C23)+INDEX(in_dra_lcl_deliv,1,C23))*P23,G23*(INDEX(tbl_dest_line,E23,C23)*P23*(1+INDEX(in_dra_fsc,1,C23))+INDEX(tbl_dest_tolls,E23,C23)+INDEX(in_dra_chassis_days,1,C23)*INDEX(tbl_dest_chassis,E23,C23)*(1-INDEX(in_dra_chassis_in_dray,1,C23))+INDEX(in_dra_wait_hours,1,C23)*INDEX(in_dra_wait_rate,1,C23)+INDEX(in_dra_split,1,C23)+INDEX(in_dra_prepull,1,C23)+INDEX(in_dra_dryrun,1,C23)))</f>
        <v>1027.5</v>
      </c>
      <c r="BL23" s="88" t="n">
        <f aca="false">IF(F23=4,0,G23*IF(F23=1,INDEX(in_dra_unload_20,1,C23),INDEX(in_dra_unload_40,1,C23))*Q23*(1-INDEX(in_dra_unload_in_dray,1,C23)))</f>
        <v>250</v>
      </c>
      <c r="BM23" s="88" t="n">
        <f aca="false">AL23+AN23+AO23+AR23+AU23+AZ23+BB23+BC23+BD23+BF23+BJ23+BK23+BL23</f>
        <v>16736.938002674</v>
      </c>
      <c r="BN23" s="88" t="n">
        <f aca="false">AP23+AU23+BJ23+BK23+BL23</f>
        <v>4664.9652014652</v>
      </c>
      <c r="BO23" s="88" t="n">
        <f aca="false">AQ23+BF23</f>
        <v>683.260073260073</v>
      </c>
      <c r="BP23" s="88" t="n">
        <f aca="false">AI23*(1+IF(K23=3,INDEX(in_sup_vat_rate,1,C23),0))+AO23*Y23/AB23+AV23*BA23+(BC23+BD23)*AV23/AY23+AZ23*AI23/AL23+BN23*AC23/AF23+BO23*Y23/AB23</f>
        <v>5883.69312350092</v>
      </c>
      <c r="BQ23" s="88" t="n">
        <f aca="false">AJ23*(1+IF(K23=3,INDEX(in_sup_vat_rate,1,C23),0))+AO23*Z23/AB23+AW23*BA23+(BC23+BD23)*AW23/AY23+AZ23*AJ23/AL23+BN23*AD23/AF23+BO23*Z23/AB23</f>
        <v>5999.78495250327</v>
      </c>
      <c r="BR23" s="88" t="n">
        <f aca="false">AK23*(1+IF(K23=3,INDEX(in_sup_vat_rate,1,C23),0))+AO23*AA23/AB23+AX23*BA23+(BC23+BD23)*AX23/AY23+AZ23*AK23/AL23+BN23*AE23/AF23+BO23*AA23/AB23</f>
        <v>4853.45992666981</v>
      </c>
      <c r="BS23" s="89" t="n">
        <f aca="false">BP23+BQ23+BR23-BM23</f>
        <v>0</v>
      </c>
      <c r="BT23" s="85" t="n">
        <f aca="false">Y23*(1-R23)</f>
        <v>27860</v>
      </c>
      <c r="BU23" s="85" t="n">
        <f aca="false">Z23*(1-R23)</f>
        <v>27860</v>
      </c>
      <c r="BV23" s="85" t="n">
        <f aca="false">AA23*(1-R23)</f>
        <v>27860</v>
      </c>
      <c r="BW23" s="85" t="n">
        <f aca="false">BT23+BU23+BV23</f>
        <v>83580</v>
      </c>
      <c r="BX23" s="90" t="n">
        <f aca="false">IF(BT23&gt;0,BP23/BT23,0)</f>
        <v>0.211187836450141</v>
      </c>
      <c r="BY23" s="90" t="n">
        <f aca="false">IF(BU23&gt;0,BQ23/BU23,0)</f>
        <v>0.215354808058265</v>
      </c>
      <c r="BZ23" s="90" t="n">
        <f aca="false">IF(BV23&gt;0,BR23/BV23,0)</f>
        <v>0.174208899019017</v>
      </c>
      <c r="CA23" s="90" t="n">
        <f aca="false">INDEX(in_mkt_listing_3464,1,C23)*(1-IF(sku_flute_3464="B",T23,0))*(1-S23)*N23</f>
        <v>0.2856</v>
      </c>
      <c r="CB23" s="90" t="n">
        <f aca="false">INDEX(in_mkt_listing_3463,1,C23)*(1-IF(sku_flute_3463="B",T23,0))*(1-S23)*N23</f>
        <v>0.3128</v>
      </c>
      <c r="CC23" s="90" t="n">
        <f aca="false">INDEX(in_mkt_listing_3460,1,C23)*(1-IF(sku_flute_3460="B",T23,0))*(1-S23)*N23</f>
        <v>0.256</v>
      </c>
      <c r="CD23" s="88" t="n">
        <f aca="false">BT23*CA23+BU23*CB23+BV23*CC23</f>
        <v>23803.584</v>
      </c>
      <c r="CE23" s="88" t="n">
        <f aca="false">CD23-BM23</f>
        <v>7066.64599732601</v>
      </c>
      <c r="CF23" s="87" t="n">
        <f aca="false">IF(CD23&gt;0,CE23/CD23,0)</f>
        <v>0.296873193437005</v>
      </c>
      <c r="CG23" s="87" t="n">
        <f aca="false">W23+INDEX(in_sel_processing,1,C23)+INDEX(in_sel_bad_debt,1,C23)</f>
        <v>0.0325</v>
      </c>
      <c r="CH23" s="88" t="n">
        <f aca="false">CD23*CG23</f>
        <v>773.61648</v>
      </c>
      <c r="CI23" s="88" t="n">
        <f aca="false">INDEX(in_sel_testing,1,C23)*X23+INDEX(in_sel_admin,1,C23)</f>
        <v>1250</v>
      </c>
      <c r="CJ23" s="79" t="n">
        <f aca="false">INDEX(in_sup_lead_days,1,C23)</f>
        <v>14</v>
      </c>
      <c r="CK23" s="79" t="n">
        <f aca="false">CJ23+INDEX(in_oce_transit,1,C23)+IF(F23=4,INDEX(in_oce_lcl_extra_days,1,C23),0)</f>
        <v>39</v>
      </c>
      <c r="CL23" s="79" t="n">
        <f aca="false">CK23+2+INDEX(in_cus_dem_days,1,C23)</f>
        <v>41</v>
      </c>
      <c r="CM23" s="79" t="n">
        <f aca="false">CL23+U23</f>
        <v>71</v>
      </c>
      <c r="CN23" s="79" t="n">
        <f aca="false">CJ23+INDEX(in_sup_vat_lag,1,C23)</f>
        <v>44</v>
      </c>
      <c r="CO23" s="91" t="n">
        <f aca="false">INDEX(in_sup_advance,1,C23)</f>
        <v>0.5</v>
      </c>
      <c r="CP23" s="88" t="n">
        <f aca="false">CO23*(AL23+AM23)+AO23+INDEX(in_sel_testing,1,C23)*X23</f>
        <v>6642.75641025641</v>
      </c>
      <c r="CQ23" s="88" t="n">
        <f aca="false">(1-CO23)*(AL23+AM23)+AR23+AU23+AZ23</f>
        <v>9378.48168498169</v>
      </c>
      <c r="CR23" s="88" t="n">
        <f aca="false">BB23+BC23+BD23+BF23+BJ23</f>
        <v>438.199907435897</v>
      </c>
      <c r="CS23" s="88" t="n">
        <f aca="false">BK23+BL23</f>
        <v>1277.5</v>
      </c>
      <c r="CT23" s="88" t="n">
        <f aca="false">IF(K23=2,AM23,0)</f>
        <v>0</v>
      </c>
      <c r="CU23" s="85" t="n">
        <f aca="false">IF(K23=2,CO23*AM23*(CN23-0)+(1-CO23)*AM23*(CN23-CJ23),0)</f>
        <v>0</v>
      </c>
      <c r="CV23" s="85" t="n">
        <f aca="false">(CP23-CO23*CT23)*(CM23-0)+(CQ23-(1-CO23)*CT23)*(CM23-CJ23)+CR23*(CM23-CK23)+CS23*(CM23-CL23)</f>
        <v>1058556.55821011</v>
      </c>
      <c r="CW23" s="88" t="n">
        <f aca="false">INDEX(in_sel_fin_rate,1,C23)/365*(CU23+CV23)</f>
        <v>232.012396320024</v>
      </c>
      <c r="CX23" s="85" t="n">
        <f aca="false">CP23-IF(CN23&lt;=0,CT23,0)</f>
        <v>6642.75641025641</v>
      </c>
      <c r="CY23" s="85" t="n">
        <f aca="false">CP23+CQ23-IF(CN23&lt;=CJ23,CT23,0)</f>
        <v>16021.2380952381</v>
      </c>
      <c r="CZ23" s="85" t="n">
        <f aca="false">CP23+CQ23+CR23-IF(CN23&lt;=CK23,CT23,0)</f>
        <v>16459.438002674</v>
      </c>
      <c r="DA23" s="85" t="n">
        <f aca="false">CP23+CQ23+CR23+CS23-IF(CN23&lt;=CL23,CT23,0)</f>
        <v>17736.938002674</v>
      </c>
      <c r="DB23" s="88" t="n">
        <f aca="false">MAX(CX23,CY23,CZ23,DA23)</f>
        <v>17736.938002674</v>
      </c>
      <c r="DC23" s="88" t="n">
        <f aca="false">CP23+CQ23+CR23+CS23</f>
        <v>17736.938002674</v>
      </c>
      <c r="DD23" s="88" t="n">
        <f aca="false">CE23-CH23-CI23-CW23</f>
        <v>4811.01712100598</v>
      </c>
      <c r="DE23" s="87" t="n">
        <f aca="false">IF(CD23&gt;0,DD23/CD23,0)</f>
        <v>0.202113140651676</v>
      </c>
      <c r="DF23" s="86" t="n">
        <f aca="false">IF(CD23&gt;0,(BM23+CI23+CW23)/(CD23*(1-CG23)),0)</f>
        <v>0.791097529042195</v>
      </c>
      <c r="DG23" s="90" t="n">
        <f aca="false">IF(BW23&gt;0,BM23/BW23,0)</f>
        <v>0.200250514509141</v>
      </c>
      <c r="DH23" s="90" t="n">
        <f aca="false">IF(BW23&gt;0,CD23/BW23,0)</f>
        <v>0.2848</v>
      </c>
      <c r="DI23" s="90" t="n">
        <f aca="false">IF(AI23&gt;0,(AI23*IF(K23=3,INDEX(in_sup_vat_rate,1,C23),0)+AV23*BA23+(BC23+BD23)*AV23/AY23+AZ23*AI23/AL23)/AI23,0)</f>
        <v>0.00914445883649335</v>
      </c>
      <c r="DJ23" s="90" t="n">
        <f aca="false">IF(AJ23&gt;0,(AJ23*IF(K23=3,INDEX(in_sup_vat_rate,1,C23),0)+AW23*BA23+(BC23+BD23)*AW23/AY23+AZ23*AJ23/AL23)/AJ23,0)</f>
        <v>0.00914445883649335</v>
      </c>
      <c r="DK23" s="90" t="n">
        <f aca="false">IF(AK23&gt;0,(AK23*IF(K23=3,INDEX(in_sup_vat_rate,1,C23),0)+AX23*BA23+(BC23+BD23)*AX23/AY23+AZ23*AK23/AL23)/AK23,0)</f>
        <v>0.00914445883649335</v>
      </c>
      <c r="DL23" s="90" t="n">
        <f aca="false">IF(Y23&gt;0,(BP23-AI23*(1+DI23))/Y23,0)</f>
        <v>0.0632560963840272</v>
      </c>
      <c r="DM23" s="90" t="n">
        <f aca="false">IF(Z23&gt;0,(BQ23-AJ23*(1+DJ23))/Z23,0)</f>
        <v>0.0755668771760712</v>
      </c>
      <c r="DN23" s="90" t="n">
        <f aca="false">IF(AA23&gt;0,(BR23-AK23*(1+DK23))/AA23,0)</f>
        <v>0.0521850719658043</v>
      </c>
      <c r="DO23" s="86" t="n">
        <f aca="false">IF(Y23&gt;0,(CA23*(1-thr_gm_go)*(1-R23)-DL23)/(1+DI23)*I23/((1+AH23)*J23),"")</f>
        <v>8.53569363505242</v>
      </c>
      <c r="DP23" s="86" t="n">
        <f aca="false">IF(Z23&gt;0,(CB23*(1-thr_gm_go)*(1-R23)-DM23)/(1+DJ23)*I23/((1+AH23)*J23),"")</f>
        <v>8.99058877960644</v>
      </c>
      <c r="DQ23" s="86" t="n">
        <f aca="false">IF(AA23&gt;0,(CC23*(1-thr_gm_go)*(1-R23)-DN23)/(1+DK23)*I23/((1+AH23)*J23),"")</f>
        <v>7.90818818359658</v>
      </c>
      <c r="DR23" s="92" t="n">
        <f aca="false">IF(AND(AY23*INDEX(in_cus_mpf_rate,1,C23)&gt;INDEX(in_cus_mpf_min,1,C23),AY23*INDEX(in_cus_mpf_rate,1,C23)&lt;INDEX(in_cus_mpf_max,1,C23)),INDEX(in_cus_mpf_rate,1,C23),0)</f>
        <v>0.003464</v>
      </c>
      <c r="DS23" s="88" t="n">
        <f aca="false">IF(AZ23&gt;INDEX(in_oce_ins_min,1,C23),INDEX(in_oce_ins_rate,1,C23)*(1+INDEX(in_oce_ins_uplift,1,C23))*AL23,0)</f>
        <v>0</v>
      </c>
      <c r="DT23" s="88" t="n">
        <f aca="false">(AL23+AN23)*(1+BA23+INDEX(in_cus_hmf,1,C23)+DR23)+DS23</f>
        <v>11338.7127279487</v>
      </c>
      <c r="DU23" s="86" t="n">
        <f aca="false">IF(DT23&gt;0,(CD23*(1-thr_gm_go)-(BM23-DT23))/DT23,0)</f>
        <v>1.09840182250811</v>
      </c>
      <c r="DV23" s="86" t="n">
        <f aca="false">IF(DT23&gt;0,(CD23-(BM23-DT23))/DT23,0)</f>
        <v>1.62323176950303</v>
      </c>
      <c r="DW23" s="87" t="n">
        <f aca="false">(1+AH23)*J23*DU23-1</f>
        <v>0.0434817313827001</v>
      </c>
      <c r="DX23" s="87" t="n">
        <f aca="false">(1+AH23)*J23*DV23-1</f>
        <v>0.542070181027879</v>
      </c>
      <c r="DY23" s="85" t="n">
        <f aca="false">IF(G23&gt;0,(CD23*(1-thr_gm_go)-(BM23-AT23))/G23,"")</f>
        <v>4015.74999732601</v>
      </c>
      <c r="DZ23" s="90" t="n">
        <f aca="false">IF(AB23&gt;0,(AL23+AN23+BB23+BC23+BD23)/AB23,0)</f>
        <v>0.134984675332723</v>
      </c>
      <c r="EA23" s="88" t="n">
        <f aca="false">BM23-DZ23*AB23</f>
        <v>5398.22527472528</v>
      </c>
      <c r="EB23" s="90" t="n">
        <f aca="false">IF(AB23&gt;0,CD23/AB23,0)</f>
        <v>0.283376</v>
      </c>
      <c r="EC23" s="85" t="n">
        <f aca="false">IF(EB23*(1-thr_gm_go)-DZ23&gt;0,EA23/(EB23*(1-thr_gm_go)-DZ23),"n/a")</f>
        <v>69612.0117345993</v>
      </c>
      <c r="ED23" s="85" t="n">
        <f aca="false">IF(EB23-DZ23&gt;0,EA23/(EB23-DZ23),"n/a")</f>
        <v>36378.3077402211</v>
      </c>
      <c r="EE23" s="93" t="b">
        <f aca="false">INDEX(cfg_fits,D23,C23)</f>
        <v>1</v>
      </c>
      <c r="EF23" s="87" t="n">
        <f aca="false">IF(F23=4,"",INDEX(cfg_lenutil,D23,C23))</f>
        <v>0.999580888516345</v>
      </c>
      <c r="EG23" s="31" t="str">
        <f aca="false">IF(O23&gt;1,"Check fit (units scaled up)","")</f>
        <v/>
      </c>
    </row>
    <row r="24" customFormat="false" ht="15" hidden="false" customHeight="false" outlineLevel="0" collapsed="false">
      <c r="A24" s="78" t="n">
        <v>1045</v>
      </c>
      <c r="B24" s="9" t="s">
        <v>3172</v>
      </c>
      <c r="C24" s="78" t="n">
        <v>1</v>
      </c>
      <c r="D24" s="78" t="n">
        <v>4</v>
      </c>
      <c r="E24" s="78" t="n">
        <v>5</v>
      </c>
      <c r="F24" s="79" t="n">
        <f aca="false">INDEX(cfg_ct,D24)</f>
        <v>3</v>
      </c>
      <c r="G24" s="79" t="n">
        <f aca="false">INDEX(cfg_n,D24)</f>
        <v>1</v>
      </c>
      <c r="H24" s="79" t="n">
        <f aca="false">INDEX(dest_port,E24)</f>
        <v>4</v>
      </c>
      <c r="I24" s="80" t="n">
        <f aca="false">INDEX(in_fx_cbe,1,C24)*(1-INDEX(in_fx_spread,1,C24))</f>
        <v>54.6</v>
      </c>
      <c r="J24" s="81" t="n">
        <f aca="false">1</f>
        <v>1</v>
      </c>
      <c r="K24" s="82" t="n">
        <f aca="false">INDEX(in_sup_vat_mode,1,C24)</f>
        <v>1</v>
      </c>
      <c r="L24" s="83" t="n">
        <f aca="false">INDEX(in_cus_s301,1,C24)</f>
        <v>0</v>
      </c>
      <c r="M24" s="84" t="n">
        <f aca="false">1</f>
        <v>1</v>
      </c>
      <c r="N24" s="81" t="n">
        <f aca="false">1</f>
        <v>1</v>
      </c>
      <c r="O24" s="81" t="n">
        <f aca="false">1</f>
        <v>1</v>
      </c>
      <c r="P24" s="81" t="n">
        <f aca="false">1</f>
        <v>1</v>
      </c>
      <c r="Q24" s="81" t="n">
        <f aca="false">1</f>
        <v>1</v>
      </c>
      <c r="R24" s="83" t="n">
        <f aca="false">INDEX(in_sel_damage,1,C24)</f>
        <v>0.005</v>
      </c>
      <c r="S24" s="83" t="n">
        <f aca="false">INDEX(in_mkt_dist_margin,1,C24)</f>
        <v>0.2</v>
      </c>
      <c r="T24" s="83" t="n">
        <f aca="false">INDEX(in_mkt_eflute_disc,1,C24)</f>
        <v>0.15</v>
      </c>
      <c r="U24" s="82" t="n">
        <f aca="false">INDEX(in_sel_credit_days,1,C24)</f>
        <v>30</v>
      </c>
      <c r="V24" s="81" t="n">
        <f aca="false">1</f>
        <v>1</v>
      </c>
      <c r="W24" s="83" t="n">
        <f aca="false">INDEX(in_sel_commission,1,C24)</f>
        <v>0.03</v>
      </c>
      <c r="X24" s="82" t="n">
        <f aca="false">1</f>
        <v>1</v>
      </c>
      <c r="Y24" s="85" t="n">
        <f aca="false">INDEX(cfg_u_3464,D24,C24)*O24</f>
        <v>28000</v>
      </c>
      <c r="Z24" s="85" t="n">
        <f aca="false">INDEX(cfg_u_3463,D24,C24)*O24</f>
        <v>28000</v>
      </c>
      <c r="AA24" s="85" t="n">
        <f aca="false">INDEX(cfg_u_3460,D24,C24)*O24</f>
        <v>28000</v>
      </c>
      <c r="AB24" s="85" t="n">
        <f aca="false">Y24+Z24+AA24</f>
        <v>84000</v>
      </c>
      <c r="AC24" s="86" t="n">
        <f aca="false">Y24*INDEX(lg_vpu_3464,C24)</f>
        <v>18.67404</v>
      </c>
      <c r="AD24" s="86" t="n">
        <f aca="false">Z24*INDEX(lg_vpu_3463,C24)</f>
        <v>22.84464</v>
      </c>
      <c r="AE24" s="86" t="n">
        <f aca="false">AA24*INDEX(lg_vpu_3460,C24)</f>
        <v>14.92344</v>
      </c>
      <c r="AF24" s="86" t="n">
        <f aca="false">AC24+AD24+AE24</f>
        <v>56.44212</v>
      </c>
      <c r="AG24" s="85" t="n">
        <f aca="false">Y24*INDEX(lg_kpu_3464,C24)+Z24*INDEX(lg_kpu_3463,C24)+AA24*INDEX(lg_kpu_3460,C24)</f>
        <v>13797.51296</v>
      </c>
      <c r="AH24" s="87" t="n">
        <f aca="false">INDEX(in_sup_requote,1,C24)</f>
        <v>-0.05</v>
      </c>
      <c r="AI24" s="88" t="n">
        <f aca="false">Y24*q_price_3464*(1+AH24)*J24/I24</f>
        <v>4075.25641025641</v>
      </c>
      <c r="AJ24" s="88" t="n">
        <f aca="false">Z24*q_price_3463*(1+AH24)*J24/I24</f>
        <v>3848.71794871795</v>
      </c>
      <c r="AK24" s="88" t="n">
        <f aca="false">AA24*q_price_3460*(1+AH24)*J24/I24</f>
        <v>3361.53846153846</v>
      </c>
      <c r="AL24" s="88" t="n">
        <f aca="false">AI24+AJ24+AK24</f>
        <v>11285.5128205128</v>
      </c>
      <c r="AM24" s="88" t="n">
        <f aca="false">IF(OR(K24=2,K24=3),AL24*INDEX(in_sup_vat_rate,1,C24),0)</f>
        <v>0</v>
      </c>
      <c r="AN24" s="88" t="n">
        <f aca="false">IF(K24=3,AM24,0)</f>
        <v>0</v>
      </c>
      <c r="AO24" s="88" t="n">
        <f aca="false">INDEX(in_sup_tooling_egp,1,C24)/I24</f>
        <v>0</v>
      </c>
      <c r="AP24" s="88" t="n">
        <f aca="false">IF(F24=4,INDEX(in_ori_lcl_truck,1,C24)*V24/I24+INDEX(in_ori_lcl_cfs_o,1,C24),G24*(IF(F24=1,INDEX(in_ori_truck_20,1,C24),INDEX(in_ori_truck_40,1,C24))*V24/I24+INDEX(in_ori_terminal,1,C24)+IF(F24=1,INDEX(in_ori_othc_20,1,C24),INDEX(in_ori_othc_40,1,C24))*(1-INDEX(in_ori_othc_in_freight,1,C24))+INDEX(in_ori_seal,1,C24)+INDEX(in_ori_inspection,1,C24)+INDEX(in_ori_dd_days,1,C24)*IF(F24=1,INDEX(in_ori_dd_20,1,C24),INDEX(in_ori_dd_40,1,C24))+INDEX(in_ori_loading_egp,1,C24)/I24))</f>
        <v>457.465201465201</v>
      </c>
      <c r="AQ24" s="88" t="n">
        <f aca="false">(INDEX(in_ori_clearance,1,C24)+INDEX(in_ori_coo,1,C24))/I24+INDEX(in_ori_bl_fee,1,C24)+INDEX(in_ori_fwd_fee,1,C24)+INDEX(in_ori_qc,1,C24)+INDEX(in_ori_wires,1,C24)*INDEX(in_ori_wire_fee,1,C24)</f>
        <v>298.260073260073</v>
      </c>
      <c r="AR24" s="88" t="n">
        <f aca="false">AP24+AQ24</f>
        <v>755.725274725275</v>
      </c>
      <c r="AS24" s="85" t="n">
        <f aca="false">INDEX(tbl_port_diff,H24,C24)</f>
        <v>0</v>
      </c>
      <c r="AT24" s="88" t="n">
        <f aca="false">IF(F24=4,MAX(AF24*INDEX(in_oce_lcl_factor,1,C24),AG24/1000,1)*INDEX(in_oce_lcl_rate,1,C24)*M24,G24*(INDEX(tbl_ocean_rate,MIN(F24,3),C24)+AS24)*M24)</f>
        <v>2900</v>
      </c>
      <c r="AU24" s="88" t="n">
        <f aca="false">AT24+INDEX(in_oce_ams,1,C24)</f>
        <v>2930</v>
      </c>
      <c r="AV24" s="88" t="n">
        <f aca="false">AI24*(1+IF(K24=3,INDEX(in_sup_vat_rate,1,C24),0))+AO24*Y24/AB24</f>
        <v>4075.25641025641</v>
      </c>
      <c r="AW24" s="88" t="n">
        <f aca="false">AJ24*(1+IF(K24=3,INDEX(in_sup_vat_rate,1,C24),0))+AO24*Z24/AB24</f>
        <v>3848.71794871795</v>
      </c>
      <c r="AX24" s="88" t="n">
        <f aca="false">AK24*(1+IF(K24=3,INDEX(in_sup_vat_rate,1,C24),0))+AO24*AA24/AB24</f>
        <v>3361.53846153846</v>
      </c>
      <c r="AY24" s="88" t="n">
        <f aca="false">AV24+AW24+AX24</f>
        <v>11285.5128205128</v>
      </c>
      <c r="AZ24" s="88" t="n">
        <f aca="false">MAX(INDEX(in_oce_ins_min,1,C24),INDEX(in_oce_ins_rate,1,C24)*(1+INDEX(in_oce_ins_uplift,1,C24))*(AL24+AO24+AR24+AU24))*(1-INDEX(in_oce_ins_in_other,1,C24))</f>
        <v>50</v>
      </c>
      <c r="BA24" s="87" t="n">
        <f aca="false">INDEX(in_cus_mfn,1,C24)+L24</f>
        <v>0</v>
      </c>
      <c r="BB24" s="88" t="n">
        <f aca="false">AY24*BA24</f>
        <v>0</v>
      </c>
      <c r="BC24" s="88" t="n">
        <f aca="false">MIN(MAX(AY24*INDEX(in_cus_mpf_rate,1,C24),INDEX(in_cus_mpf_min,1,C24)),INDEX(in_cus_mpf_max,1,C24))</f>
        <v>39.0930164102564</v>
      </c>
      <c r="BD24" s="88" t="n">
        <f aca="false">AY24*INDEX(in_cus_hmf,1,C24)</f>
        <v>14.106891025641</v>
      </c>
      <c r="BE24" s="88" t="n">
        <f aca="false">MAX(INDEX(in_cus_stb_min,1,C24),INDEX(in_cus_stb_rate,1,C24)/1000*(AY24+BB24+BC24+BD24))</f>
        <v>50</v>
      </c>
      <c r="BF24" s="88" t="n">
        <f aca="false">INDEX(in_cus_broker,1,C24)+INDEX(in_cus_isf,1,C24)+INDEX(in_cus_do_fee,1,C24)+BE24+INDEX(in_cus_isf_bond,1,C24)</f>
        <v>385</v>
      </c>
      <c r="BG24" s="88" t="n">
        <f aca="false">IF(H24=1,INDEX(in_cus_cfc,1,C24)*INDEX(ct_teu,F24)*G24*(1-INDEX(in_cus_cfc_in_freight,1,C24)),0)</f>
        <v>0</v>
      </c>
      <c r="BH24" s="88" t="n">
        <f aca="false">IF(F24=4,1,G24)*(INDEX(in_cus_exam,1,C24)+INDEX(in_cus_exam_dray,1,C24))</f>
        <v>0</v>
      </c>
      <c r="BI24" s="88" t="n">
        <f aca="false">IF(F24=4,1,G24)*INDEX(in_cus_dem_days,1,C24)*INDEX(in_cus_dem_rate,1,C24)</f>
        <v>0</v>
      </c>
      <c r="BJ24" s="88" t="n">
        <f aca="false">BG24+BH24+BI24</f>
        <v>0</v>
      </c>
      <c r="BK24" s="88" t="n">
        <f aca="false">IF(F24=4,(INDEX(in_dra_lcl_cfs_d,1,C24)+INDEX(in_dra_lcl_deliv,1,C24))*P24,G24*(INDEX(tbl_dest_line,E24,C24)*P24*(1+INDEX(in_dra_fsc,1,C24))+INDEX(tbl_dest_tolls,E24,C24)+INDEX(in_dra_chassis_days,1,C24)*INDEX(tbl_dest_chassis,E24,C24)*(1-INDEX(in_dra_chassis_in_dray,1,C24))+INDEX(in_dra_wait_hours,1,C24)*INDEX(in_dra_wait_rate,1,C24)+INDEX(in_dra_split,1,C24)+INDEX(in_dra_prepull,1,C24)+INDEX(in_dra_dryrun,1,C24)))</f>
        <v>1424</v>
      </c>
      <c r="BL24" s="88" t="n">
        <f aca="false">IF(F24=4,0,G24*IF(F24=1,INDEX(in_dra_unload_20,1,C24),INDEX(in_dra_unload_40,1,C24))*Q24*(1-INDEX(in_dra_unload_in_dray,1,C24)))</f>
        <v>250</v>
      </c>
      <c r="BM24" s="88" t="n">
        <f aca="false">AL24+AN24+AO24+AR24+AU24+AZ24+BB24+BC24+BD24+BF24+BJ24+BK24+BL24</f>
        <v>17133.438002674</v>
      </c>
      <c r="BN24" s="88" t="n">
        <f aca="false">AP24+AU24+BJ24+BK24+BL24</f>
        <v>5061.4652014652</v>
      </c>
      <c r="BO24" s="88" t="n">
        <f aca="false">AQ24+BF24</f>
        <v>683.260073260073</v>
      </c>
      <c r="BP24" s="88" t="n">
        <f aca="false">AI24*(1+IF(K24=3,INDEX(in_sup_vat_rate,1,C24),0))+AO24*Y24/AB24+AV24*BA24+(BC24+BD24)*AV24/AY24+AZ24*AI24/AL24+BN24*AC24/AF24+BO24*Y24/AB24</f>
        <v>6014.87630478468</v>
      </c>
      <c r="BQ24" s="88" t="n">
        <f aca="false">AJ24*(1+IF(K24=3,INDEX(in_sup_vat_rate,1,C24),0))+AO24*Z24/AB24+AW24*BA24+(BC24+BD24)*AW24/AY24+AZ24*AJ24/AL24+BN24*AD24/AF24+BO24*Z24/AB24</f>
        <v>6160.26616334368</v>
      </c>
      <c r="BR24" s="88" t="n">
        <f aca="false">AK24*(1+IF(K24=3,INDEX(in_sup_vat_rate,1,C24),0))+AO24*AA24/AB24+AX24*BA24+(BC24+BD24)*AX24/AY24+AZ24*AK24/AL24+BN24*AE24/AF24+BO24*AA24/AB24</f>
        <v>4958.29553454563</v>
      </c>
      <c r="BS24" s="89" t="n">
        <f aca="false">BP24+BQ24+BR24-BM24</f>
        <v>0</v>
      </c>
      <c r="BT24" s="85" t="n">
        <f aca="false">Y24*(1-R24)</f>
        <v>27860</v>
      </c>
      <c r="BU24" s="85" t="n">
        <f aca="false">Z24*(1-R24)</f>
        <v>27860</v>
      </c>
      <c r="BV24" s="85" t="n">
        <f aca="false">AA24*(1-R24)</f>
        <v>27860</v>
      </c>
      <c r="BW24" s="85" t="n">
        <f aca="false">BT24+BU24+BV24</f>
        <v>83580</v>
      </c>
      <c r="BX24" s="90" t="n">
        <f aca="false">IF(BT24&gt;0,BP24/BT24,0)</f>
        <v>0.215896493351927</v>
      </c>
      <c r="BY24" s="90" t="n">
        <f aca="false">IF(BU24&gt;0,BQ24/BU24,0)</f>
        <v>0.221115081239902</v>
      </c>
      <c r="BZ24" s="90" t="n">
        <f aca="false">IF(BV24&gt;0,BR24/BV24,0)</f>
        <v>0.177971842589578</v>
      </c>
      <c r="CA24" s="90" t="n">
        <f aca="false">INDEX(in_mkt_listing_3464,1,C24)*(1-IF(sku_flute_3464="B",T24,0))*(1-S24)*N24</f>
        <v>0.2856</v>
      </c>
      <c r="CB24" s="90" t="n">
        <f aca="false">INDEX(in_mkt_listing_3463,1,C24)*(1-IF(sku_flute_3463="B",T24,0))*(1-S24)*N24</f>
        <v>0.3128</v>
      </c>
      <c r="CC24" s="90" t="n">
        <f aca="false">INDEX(in_mkt_listing_3460,1,C24)*(1-IF(sku_flute_3460="B",T24,0))*(1-S24)*N24</f>
        <v>0.256</v>
      </c>
      <c r="CD24" s="88" t="n">
        <f aca="false">BT24*CA24+BU24*CB24+BV24*CC24</f>
        <v>23803.584</v>
      </c>
      <c r="CE24" s="88" t="n">
        <f aca="false">CD24-BM24</f>
        <v>6670.14599732601</v>
      </c>
      <c r="CF24" s="87" t="n">
        <f aca="false">IF(CD24&gt;0,CE24/CD24,0)</f>
        <v>0.28021603794311</v>
      </c>
      <c r="CG24" s="87" t="n">
        <f aca="false">W24+INDEX(in_sel_processing,1,C24)+INDEX(in_sel_bad_debt,1,C24)</f>
        <v>0.0325</v>
      </c>
      <c r="CH24" s="88" t="n">
        <f aca="false">CD24*CG24</f>
        <v>773.61648</v>
      </c>
      <c r="CI24" s="88" t="n">
        <f aca="false">INDEX(in_sel_testing,1,C24)*X24+INDEX(in_sel_admin,1,C24)</f>
        <v>1250</v>
      </c>
      <c r="CJ24" s="79" t="n">
        <f aca="false">INDEX(in_sup_lead_days,1,C24)</f>
        <v>14</v>
      </c>
      <c r="CK24" s="79" t="n">
        <f aca="false">CJ24+INDEX(in_oce_transit,1,C24)+IF(F24=4,INDEX(in_oce_lcl_extra_days,1,C24),0)</f>
        <v>39</v>
      </c>
      <c r="CL24" s="79" t="n">
        <f aca="false">CK24+2+INDEX(in_cus_dem_days,1,C24)</f>
        <v>41</v>
      </c>
      <c r="CM24" s="79" t="n">
        <f aca="false">CL24+U24</f>
        <v>71</v>
      </c>
      <c r="CN24" s="79" t="n">
        <f aca="false">CJ24+INDEX(in_sup_vat_lag,1,C24)</f>
        <v>44</v>
      </c>
      <c r="CO24" s="91" t="n">
        <f aca="false">INDEX(in_sup_advance,1,C24)</f>
        <v>0.5</v>
      </c>
      <c r="CP24" s="88" t="n">
        <f aca="false">CO24*(AL24+AM24)+AO24+INDEX(in_sel_testing,1,C24)*X24</f>
        <v>6642.75641025641</v>
      </c>
      <c r="CQ24" s="88" t="n">
        <f aca="false">(1-CO24)*(AL24+AM24)+AR24+AU24+AZ24</f>
        <v>9378.48168498169</v>
      </c>
      <c r="CR24" s="88" t="n">
        <f aca="false">BB24+BC24+BD24+BF24+BJ24</f>
        <v>438.199907435897</v>
      </c>
      <c r="CS24" s="88" t="n">
        <f aca="false">BK24+BL24</f>
        <v>1674</v>
      </c>
      <c r="CT24" s="88" t="n">
        <f aca="false">IF(K24=2,AM24,0)</f>
        <v>0</v>
      </c>
      <c r="CU24" s="85" t="n">
        <f aca="false">IF(K24=2,CO24*AM24*(CN24-0)+(1-CO24)*AM24*(CN24-CJ24),0)</f>
        <v>0</v>
      </c>
      <c r="CV24" s="85" t="n">
        <f aca="false">(CP24-CO24*CT24)*(CM24-0)+(CQ24-(1-CO24)*CT24)*(CM24-CJ24)+CR24*(CM24-CK24)+CS24*(CM24-CL24)</f>
        <v>1070451.55821011</v>
      </c>
      <c r="CW24" s="88" t="n">
        <f aca="false">INDEX(in_sel_fin_rate,1,C24)/365*(CU24+CV24)</f>
        <v>234.619519607695</v>
      </c>
      <c r="CX24" s="85" t="n">
        <f aca="false">CP24-IF(CN24&lt;=0,CT24,0)</f>
        <v>6642.75641025641</v>
      </c>
      <c r="CY24" s="85" t="n">
        <f aca="false">CP24+CQ24-IF(CN24&lt;=CJ24,CT24,0)</f>
        <v>16021.2380952381</v>
      </c>
      <c r="CZ24" s="85" t="n">
        <f aca="false">CP24+CQ24+CR24-IF(CN24&lt;=CK24,CT24,0)</f>
        <v>16459.438002674</v>
      </c>
      <c r="DA24" s="85" t="n">
        <f aca="false">CP24+CQ24+CR24+CS24-IF(CN24&lt;=CL24,CT24,0)</f>
        <v>18133.438002674</v>
      </c>
      <c r="DB24" s="88" t="n">
        <f aca="false">MAX(CX24,CY24,CZ24,DA24)</f>
        <v>18133.438002674</v>
      </c>
      <c r="DC24" s="88" t="n">
        <f aca="false">CP24+CQ24+CR24+CS24</f>
        <v>18133.438002674</v>
      </c>
      <c r="DD24" s="88" t="n">
        <f aca="false">CE24-CH24-CI24-CW24</f>
        <v>4411.90999771831</v>
      </c>
      <c r="DE24" s="87" t="n">
        <f aca="false">IF(CD24&gt;0,DD24/CD24,0)</f>
        <v>0.185346458655903</v>
      </c>
      <c r="DF24" s="86" t="n">
        <f aca="false">IF(CD24&gt;0,(BM24+CI24+CW24)/(CD24*(1-CG24)),0)</f>
        <v>0.808427432913796</v>
      </c>
      <c r="DG24" s="90" t="n">
        <f aca="false">IF(BW24&gt;0,BM24/BW24,0)</f>
        <v>0.204994472393802</v>
      </c>
      <c r="DH24" s="90" t="n">
        <f aca="false">IF(BW24&gt;0,CD24/BW24,0)</f>
        <v>0.2848</v>
      </c>
      <c r="DI24" s="90" t="n">
        <f aca="false">IF(AI24&gt;0,(AI24*IF(K24=3,INDEX(in_sup_vat_rate,1,C24),0)+AV24*BA24+(BC24+BD24)*AV24/AY24+AZ24*AI24/AL24)/AI24,0)</f>
        <v>0.00914445883649335</v>
      </c>
      <c r="DJ24" s="90" t="n">
        <f aca="false">IF(AJ24&gt;0,(AJ24*IF(K24=3,INDEX(in_sup_vat_rate,1,C24),0)+AW24*BA24+(BC24+BD24)*AW24/AY24+AZ24*AJ24/AL24)/AJ24,0)</f>
        <v>0.00914445883649335</v>
      </c>
      <c r="DK24" s="90" t="n">
        <f aca="false">IF(AK24&gt;0,(AK24*IF(K24=3,INDEX(in_sup_vat_rate,1,C24),0)+AX24*BA24+(BC24+BD24)*AX24/AY24+AZ24*AK24/AL24)/AK24,0)</f>
        <v>0.00914445883649335</v>
      </c>
      <c r="DL24" s="90" t="n">
        <f aca="false">IF(Y24&gt;0,(BP24-AI24*(1+DI24))/Y24,0)</f>
        <v>0.0679412100013045</v>
      </c>
      <c r="DM24" s="90" t="n">
        <f aca="false">IF(Z24&gt;0,(BQ24-AJ24*(1+DJ24))/Z24,0)</f>
        <v>0.0812983489918003</v>
      </c>
      <c r="DN24" s="90" t="n">
        <f aca="false">IF(AA24&gt;0,(BR24-AK24*(1+DK24))/AA24,0)</f>
        <v>0.0559292008185122</v>
      </c>
      <c r="DO24" s="86" t="n">
        <f aca="false">IF(Y24&gt;0,(CA24*(1-thr_gm_go)*(1-R24)-DL24)/(1+DI24)*I24/((1+AH24)*J24),"")</f>
        <v>8.26886291703976</v>
      </c>
      <c r="DP24" s="86" t="n">
        <f aca="false">IF(Z24&gt;0,(CB24*(1-thr_gm_go)*(1-R24)-DM24)/(1+DJ24)*I24/((1+AH24)*J24),"")</f>
        <v>8.66416494770179</v>
      </c>
      <c r="DQ24" s="86" t="n">
        <f aca="false">IF(AA24&gt;0,(CC24*(1-thr_gm_go)*(1-R24)-DN24)/(1+DK24)*I24/((1+AH24)*J24),"")</f>
        <v>7.69494925884228</v>
      </c>
      <c r="DR24" s="92" t="n">
        <f aca="false">IF(AND(AY24*INDEX(in_cus_mpf_rate,1,C24)&gt;INDEX(in_cus_mpf_min,1,C24),AY24*INDEX(in_cus_mpf_rate,1,C24)&lt;INDEX(in_cus_mpf_max,1,C24)),INDEX(in_cus_mpf_rate,1,C24),0)</f>
        <v>0.003464</v>
      </c>
      <c r="DS24" s="88" t="n">
        <f aca="false">IF(AZ24&gt;INDEX(in_oce_ins_min,1,C24),INDEX(in_oce_ins_rate,1,C24)*(1+INDEX(in_oce_ins_uplift,1,C24))*AL24,0)</f>
        <v>0</v>
      </c>
      <c r="DT24" s="88" t="n">
        <f aca="false">(AL24+AN24)*(1+BA24+INDEX(in_cus_hmf,1,C24)+DR24)+DS24</f>
        <v>11338.7127279487</v>
      </c>
      <c r="DU24" s="86" t="n">
        <f aca="false">IF(DT24&gt;0,(CD24*(1-thr_gm_go)-(BM24-DT24))/DT24,0)</f>
        <v>1.06343312636832</v>
      </c>
      <c r="DV24" s="86" t="n">
        <f aca="false">IF(DT24&gt;0,(CD24-(BM24-DT24))/DT24,0)</f>
        <v>1.58826307336324</v>
      </c>
      <c r="DW24" s="87" t="n">
        <f aca="false">(1+AH24)*J24*DU24-1</f>
        <v>0.0102614700499002</v>
      </c>
      <c r="DX24" s="87" t="n">
        <f aca="false">(1+AH24)*J24*DV24-1</f>
        <v>0.508849919695079</v>
      </c>
      <c r="DY24" s="85" t="n">
        <f aca="false">IF(G24&gt;0,(CD24*(1-thr_gm_go)-(BM24-AT24))/G24,"")</f>
        <v>3619.24999732601</v>
      </c>
      <c r="DZ24" s="90" t="n">
        <f aca="false">IF(AB24&gt;0,(AL24+AN24+BB24+BC24+BD24)/AB24,0)</f>
        <v>0.134984675332723</v>
      </c>
      <c r="EA24" s="88" t="n">
        <f aca="false">BM24-DZ24*AB24</f>
        <v>5794.72527472528</v>
      </c>
      <c r="EB24" s="90" t="n">
        <f aca="false">IF(AB24&gt;0,CD24/AB24,0)</f>
        <v>0.283376</v>
      </c>
      <c r="EC24" s="85" t="n">
        <f aca="false">IF(EB24*(1-thr_gm_go)-DZ24&gt;0,EA24/(EB24*(1-thr_gm_go)-DZ24),"n/a")</f>
        <v>74725.0185559334</v>
      </c>
      <c r="ED24" s="85" t="n">
        <f aca="false">IF(EB24-DZ24&gt;0,EA24/(EB24-DZ24),"n/a")</f>
        <v>39050.2968264365</v>
      </c>
      <c r="EE24" s="93" t="b">
        <f aca="false">INDEX(cfg_fits,D24,C24)</f>
        <v>1</v>
      </c>
      <c r="EF24" s="87" t="n">
        <f aca="false">IF(F24=4,"",INDEX(cfg_lenutil,D24,C24))</f>
        <v>0.999580888516345</v>
      </c>
      <c r="EG24" s="31" t="str">
        <f aca="false">IF(O24&gt;1,"Check fit (units scaled up)","")</f>
        <v/>
      </c>
    </row>
    <row r="25" customFormat="false" ht="15" hidden="false" customHeight="false" outlineLevel="0" collapsed="false">
      <c r="A25" s="78" t="n">
        <v>1051</v>
      </c>
      <c r="B25" s="9" t="s">
        <v>3173</v>
      </c>
      <c r="C25" s="78" t="n">
        <v>1</v>
      </c>
      <c r="D25" s="78" t="n">
        <v>5</v>
      </c>
      <c r="E25" s="78" t="n">
        <v>1</v>
      </c>
      <c r="F25" s="79" t="n">
        <f aca="false">INDEX(cfg_ct,D25)</f>
        <v>3</v>
      </c>
      <c r="G25" s="79" t="n">
        <f aca="false">INDEX(cfg_n,D25)</f>
        <v>1</v>
      </c>
      <c r="H25" s="79" t="n">
        <f aca="false">INDEX(dest_port,E25)</f>
        <v>1</v>
      </c>
      <c r="I25" s="80" t="n">
        <f aca="false">INDEX(in_fx_cbe,1,C25)*(1-INDEX(in_fx_spread,1,C25))</f>
        <v>54.6</v>
      </c>
      <c r="J25" s="81" t="n">
        <f aca="false">1</f>
        <v>1</v>
      </c>
      <c r="K25" s="82" t="n">
        <f aca="false">INDEX(in_sup_vat_mode,1,C25)</f>
        <v>1</v>
      </c>
      <c r="L25" s="83" t="n">
        <f aca="false">INDEX(in_cus_s301,1,C25)</f>
        <v>0</v>
      </c>
      <c r="M25" s="84" t="n">
        <f aca="false">1</f>
        <v>1</v>
      </c>
      <c r="N25" s="81" t="n">
        <f aca="false">1</f>
        <v>1</v>
      </c>
      <c r="O25" s="81" t="n">
        <f aca="false">1</f>
        <v>1</v>
      </c>
      <c r="P25" s="81" t="n">
        <f aca="false">1</f>
        <v>1</v>
      </c>
      <c r="Q25" s="81" t="n">
        <f aca="false">1</f>
        <v>1</v>
      </c>
      <c r="R25" s="83" t="n">
        <f aca="false">INDEX(in_sel_damage,1,C25)</f>
        <v>0.005</v>
      </c>
      <c r="S25" s="83" t="n">
        <f aca="false">INDEX(in_mkt_dist_margin,1,C25)</f>
        <v>0.2</v>
      </c>
      <c r="T25" s="83" t="n">
        <f aca="false">INDEX(in_mkt_eflute_disc,1,C25)</f>
        <v>0.15</v>
      </c>
      <c r="U25" s="82" t="n">
        <f aca="false">INDEX(in_sel_credit_days,1,C25)</f>
        <v>30</v>
      </c>
      <c r="V25" s="81" t="n">
        <f aca="false">1</f>
        <v>1</v>
      </c>
      <c r="W25" s="83" t="n">
        <f aca="false">INDEX(in_sel_commission,1,C25)</f>
        <v>0.03</v>
      </c>
      <c r="X25" s="82" t="n">
        <f aca="false">1</f>
        <v>1</v>
      </c>
      <c r="Y25" s="85" t="n">
        <f aca="false">INDEX(cfg_u_3464,D25,C25)*O25</f>
        <v>82450</v>
      </c>
      <c r="Z25" s="85" t="n">
        <f aca="false">INDEX(cfg_u_3463,D25,C25)*O25</f>
        <v>0</v>
      </c>
      <c r="AA25" s="85" t="n">
        <f aca="false">INDEX(cfg_u_3460,D25,C25)*O25</f>
        <v>0</v>
      </c>
      <c r="AB25" s="85" t="n">
        <f aca="false">Y25+Z25+AA25</f>
        <v>82450</v>
      </c>
      <c r="AC25" s="86" t="n">
        <f aca="false">Y25*INDEX(lg_vpu_3464,C25)</f>
        <v>54.9883785</v>
      </c>
      <c r="AD25" s="86" t="n">
        <f aca="false">Z25*INDEX(lg_vpu_3463,C25)</f>
        <v>0</v>
      </c>
      <c r="AE25" s="86" t="n">
        <f aca="false">AA25*INDEX(lg_vpu_3460,C25)</f>
        <v>0</v>
      </c>
      <c r="AF25" s="86" t="n">
        <f aca="false">AC25+AD25+AE25</f>
        <v>54.9883785</v>
      </c>
      <c r="AG25" s="85" t="n">
        <f aca="false">Y25*INDEX(lg_kpu_3464,C25)+Z25*INDEX(lg_kpu_3463,C25)+AA25*INDEX(lg_kpu_3460,C25)</f>
        <v>13441.777328</v>
      </c>
      <c r="AH25" s="87" t="n">
        <f aca="false">INDEX(in_sup_requote,1,C25)</f>
        <v>-0.05</v>
      </c>
      <c r="AI25" s="88" t="n">
        <f aca="false">Y25*q_price_3464*(1+AH25)*J25/I25</f>
        <v>12000.1746794872</v>
      </c>
      <c r="AJ25" s="88" t="n">
        <f aca="false">Z25*q_price_3463*(1+AH25)*J25/I25</f>
        <v>0</v>
      </c>
      <c r="AK25" s="88" t="n">
        <f aca="false">AA25*q_price_3460*(1+AH25)*J25/I25</f>
        <v>0</v>
      </c>
      <c r="AL25" s="88" t="n">
        <f aca="false">AI25+AJ25+AK25</f>
        <v>12000.1746794872</v>
      </c>
      <c r="AM25" s="88" t="n">
        <f aca="false">IF(OR(K25=2,K25=3),AL25*INDEX(in_sup_vat_rate,1,C25),0)</f>
        <v>0</v>
      </c>
      <c r="AN25" s="88" t="n">
        <f aca="false">IF(K25=3,AM25,0)</f>
        <v>0</v>
      </c>
      <c r="AO25" s="88" t="n">
        <f aca="false">INDEX(in_sup_tooling_egp,1,C25)/I25</f>
        <v>0</v>
      </c>
      <c r="AP25" s="88" t="n">
        <f aca="false">IF(F25=4,INDEX(in_ori_lcl_truck,1,C25)*V25/I25+INDEX(in_ori_lcl_cfs_o,1,C25),G25*(IF(F25=1,INDEX(in_ori_truck_20,1,C25),INDEX(in_ori_truck_40,1,C25))*V25/I25+INDEX(in_ori_terminal,1,C25)+IF(F25=1,INDEX(in_ori_othc_20,1,C25),INDEX(in_ori_othc_40,1,C25))*(1-INDEX(in_ori_othc_in_freight,1,C25))+INDEX(in_ori_seal,1,C25)+INDEX(in_ori_inspection,1,C25)+INDEX(in_ori_dd_days,1,C25)*IF(F25=1,INDEX(in_ori_dd_20,1,C25),INDEX(in_ori_dd_40,1,C25))+INDEX(in_ori_loading_egp,1,C25)/I25))</f>
        <v>457.465201465201</v>
      </c>
      <c r="AQ25" s="88" t="n">
        <f aca="false">(INDEX(in_ori_clearance,1,C25)+INDEX(in_ori_coo,1,C25))/I25+INDEX(in_ori_bl_fee,1,C25)+INDEX(in_ori_fwd_fee,1,C25)+INDEX(in_ori_qc,1,C25)+INDEX(in_ori_wires,1,C25)*INDEX(in_ori_wire_fee,1,C25)</f>
        <v>298.260073260073</v>
      </c>
      <c r="AR25" s="88" t="n">
        <f aca="false">AP25+AQ25</f>
        <v>755.725274725275</v>
      </c>
      <c r="AS25" s="85" t="n">
        <f aca="false">INDEX(tbl_port_diff,H25,C25)</f>
        <v>0</v>
      </c>
      <c r="AT25" s="88" t="n">
        <f aca="false">IF(F25=4,MAX(AF25*INDEX(in_oce_lcl_factor,1,C25),AG25/1000,1)*INDEX(in_oce_lcl_rate,1,C25)*M25,G25*(INDEX(tbl_ocean_rate,MIN(F25,3),C25)+AS25)*M25)</f>
        <v>2900</v>
      </c>
      <c r="AU25" s="88" t="n">
        <f aca="false">AT25+INDEX(in_oce_ams,1,C25)</f>
        <v>2930</v>
      </c>
      <c r="AV25" s="88" t="n">
        <f aca="false">AI25*(1+IF(K25=3,INDEX(in_sup_vat_rate,1,C25),0))+AO25*Y25/AB25</f>
        <v>12000.1746794872</v>
      </c>
      <c r="AW25" s="88" t="n">
        <f aca="false">AJ25*(1+IF(K25=3,INDEX(in_sup_vat_rate,1,C25),0))+AO25*Z25/AB25</f>
        <v>0</v>
      </c>
      <c r="AX25" s="88" t="n">
        <f aca="false">AK25*(1+IF(K25=3,INDEX(in_sup_vat_rate,1,C25),0))+AO25*AA25/AB25</f>
        <v>0</v>
      </c>
      <c r="AY25" s="88" t="n">
        <f aca="false">AV25+AW25+AX25</f>
        <v>12000.1746794872</v>
      </c>
      <c r="AZ25" s="88" t="n">
        <f aca="false">MAX(INDEX(in_oce_ins_min,1,C25),INDEX(in_oce_ins_rate,1,C25)*(1+INDEX(in_oce_ins_uplift,1,C25))*(AL25+AO25+AR25+AU25))*(1-INDEX(in_oce_ins_in_other,1,C25))</f>
        <v>50</v>
      </c>
      <c r="BA25" s="87" t="n">
        <f aca="false">INDEX(in_cus_mfn,1,C25)+L25</f>
        <v>0</v>
      </c>
      <c r="BB25" s="88" t="n">
        <f aca="false">AY25*BA25</f>
        <v>0</v>
      </c>
      <c r="BC25" s="88" t="n">
        <f aca="false">MIN(MAX(AY25*INDEX(in_cus_mpf_rate,1,C25),INDEX(in_cus_mpf_min,1,C25)),INDEX(in_cus_mpf_max,1,C25))</f>
        <v>41.5686050897436</v>
      </c>
      <c r="BD25" s="88" t="n">
        <f aca="false">AY25*INDEX(in_cus_hmf,1,C25)</f>
        <v>15.000218349359</v>
      </c>
      <c r="BE25" s="88" t="n">
        <f aca="false">MAX(INDEX(in_cus_stb_min,1,C25),INDEX(in_cus_stb_rate,1,C25)/1000*(AY25+BB25+BC25+BD25))</f>
        <v>50</v>
      </c>
      <c r="BF25" s="88" t="n">
        <f aca="false">INDEX(in_cus_broker,1,C25)+INDEX(in_cus_isf,1,C25)+INDEX(in_cus_do_fee,1,C25)+BE25+INDEX(in_cus_isf_bond,1,C25)</f>
        <v>385</v>
      </c>
      <c r="BG25" s="88" t="n">
        <f aca="false">IF(H25=1,INDEX(in_cus_cfc,1,C25)*INDEX(ct_teu,F25)*G25*(1-INDEX(in_cus_cfc_in_freight,1,C25)),0)</f>
        <v>29.6</v>
      </c>
      <c r="BH25" s="88" t="n">
        <f aca="false">IF(F25=4,1,G25)*(INDEX(in_cus_exam,1,C25)+INDEX(in_cus_exam_dray,1,C25))</f>
        <v>0</v>
      </c>
      <c r="BI25" s="88" t="n">
        <f aca="false">IF(F25=4,1,G25)*INDEX(in_cus_dem_days,1,C25)*INDEX(in_cus_dem_rate,1,C25)</f>
        <v>0</v>
      </c>
      <c r="BJ25" s="88" t="n">
        <f aca="false">BG25+BH25+BI25</f>
        <v>29.6</v>
      </c>
      <c r="BK25" s="88" t="n">
        <f aca="false">IF(F25=4,(INDEX(in_dra_lcl_cfs_d,1,C25)+INDEX(in_dra_lcl_deliv,1,C25))*P25,G25*(INDEX(tbl_dest_line,E25,C25)*P25*(1+INDEX(in_dra_fsc,1,C25))+INDEX(tbl_dest_tolls,E25,C25)+INDEX(in_dra_chassis_days,1,C25)*INDEX(tbl_dest_chassis,E25,C25)*(1-INDEX(in_dra_chassis_in_dray,1,C25))+INDEX(in_dra_wait_hours,1,C25)*INDEX(in_dra_wait_rate,1,C25)+INDEX(in_dra_split,1,C25)+INDEX(in_dra_prepull,1,C25)+INDEX(in_dra_dryrun,1,C25)))</f>
        <v>661</v>
      </c>
      <c r="BL25" s="88" t="n">
        <f aca="false">IF(F25=4,0,G25*IF(F25=1,INDEX(in_dra_unload_20,1,C25),INDEX(in_dra_unload_40,1,C25))*Q25*(1-INDEX(in_dra_unload_in_dray,1,C25)))</f>
        <v>250</v>
      </c>
      <c r="BM25" s="88" t="n">
        <f aca="false">AL25+AN25+AO25+AR25+AU25+AZ25+BB25+BC25+BD25+BF25+BJ25+BK25+BL25</f>
        <v>17118.0687776516</v>
      </c>
      <c r="BN25" s="88" t="n">
        <f aca="false">AP25+AU25+BJ25+BK25+BL25</f>
        <v>4328.0652014652</v>
      </c>
      <c r="BO25" s="88" t="n">
        <f aca="false">AQ25+BF25</f>
        <v>683.260073260073</v>
      </c>
      <c r="BP25" s="88" t="n">
        <f aca="false">AI25*(1+IF(K25=3,INDEX(in_sup_vat_rate,1,C25),0))+AO25*Y25/AB25+AV25*BA25+(BC25+BD25)*AV25/AY25+AZ25*AI25/AL25+BN25*AC25/AF25+BO25*Y25/AB25</f>
        <v>17118.0687776516</v>
      </c>
      <c r="BQ25" s="88" t="n">
        <f aca="false">AJ25*(1+IF(K25=3,INDEX(in_sup_vat_rate,1,C25),0))+AO25*Z25/AB25+AW25*BA25+(BC25+BD25)*AW25/AY25+AZ25*AJ25/AL25+BN25*AD25/AF25+BO25*Z25/AB25</f>
        <v>0</v>
      </c>
      <c r="BR25" s="88" t="n">
        <f aca="false">AK25*(1+IF(K25=3,INDEX(in_sup_vat_rate,1,C25),0))+AO25*AA25/AB25+AX25*BA25+(BC25+BD25)*AX25/AY25+AZ25*AK25/AL25+BN25*AE25/AF25+BO25*AA25/AB25</f>
        <v>0</v>
      </c>
      <c r="BS25" s="89" t="n">
        <f aca="false">BP25+BQ25+BR25-BM25</f>
        <v>0</v>
      </c>
      <c r="BT25" s="85" t="n">
        <f aca="false">Y25*(1-R25)</f>
        <v>82037.75</v>
      </c>
      <c r="BU25" s="85" t="n">
        <f aca="false">Z25*(1-R25)</f>
        <v>0</v>
      </c>
      <c r="BV25" s="85" t="n">
        <f aca="false">AA25*(1-R25)</f>
        <v>0</v>
      </c>
      <c r="BW25" s="85" t="n">
        <f aca="false">BT25+BU25+BV25</f>
        <v>82037.75</v>
      </c>
      <c r="BX25" s="90" t="n">
        <f aca="false">IF(BT25&gt;0,BP25/BT25,0)</f>
        <v>0.208660875970533</v>
      </c>
      <c r="BY25" s="90" t="n">
        <f aca="false">IF(BU25&gt;0,BQ25/BU25,0)</f>
        <v>0</v>
      </c>
      <c r="BZ25" s="90" t="n">
        <f aca="false">IF(BV25&gt;0,BR25/BV25,0)</f>
        <v>0</v>
      </c>
      <c r="CA25" s="90" t="n">
        <f aca="false">INDEX(in_mkt_listing_3464,1,C25)*(1-IF(sku_flute_3464="B",T25,0))*(1-S25)*N25</f>
        <v>0.2856</v>
      </c>
      <c r="CB25" s="90" t="n">
        <f aca="false">INDEX(in_mkt_listing_3463,1,C25)*(1-IF(sku_flute_3463="B",T25,0))*(1-S25)*N25</f>
        <v>0.3128</v>
      </c>
      <c r="CC25" s="90" t="n">
        <f aca="false">INDEX(in_mkt_listing_3460,1,C25)*(1-IF(sku_flute_3460="B",T25,0))*(1-S25)*N25</f>
        <v>0.256</v>
      </c>
      <c r="CD25" s="88" t="n">
        <f aca="false">BT25*CA25+BU25*CB25+BV25*CC25</f>
        <v>23429.9814</v>
      </c>
      <c r="CE25" s="88" t="n">
        <f aca="false">CD25-BM25</f>
        <v>6311.91262234845</v>
      </c>
      <c r="CF25" s="87" t="n">
        <f aca="false">IF(CD25&gt;0,CE25/CD25,0)</f>
        <v>0.269394691979928</v>
      </c>
      <c r="CG25" s="87" t="n">
        <f aca="false">W25+INDEX(in_sel_processing,1,C25)+INDEX(in_sel_bad_debt,1,C25)</f>
        <v>0.0325</v>
      </c>
      <c r="CH25" s="88" t="n">
        <f aca="false">CD25*CG25</f>
        <v>761.4743955</v>
      </c>
      <c r="CI25" s="88" t="n">
        <f aca="false">INDEX(in_sel_testing,1,C25)*X25+INDEX(in_sel_admin,1,C25)</f>
        <v>1250</v>
      </c>
      <c r="CJ25" s="79" t="n">
        <f aca="false">INDEX(in_sup_lead_days,1,C25)</f>
        <v>14</v>
      </c>
      <c r="CK25" s="79" t="n">
        <f aca="false">CJ25+INDEX(in_oce_transit,1,C25)+IF(F25=4,INDEX(in_oce_lcl_extra_days,1,C25),0)</f>
        <v>39</v>
      </c>
      <c r="CL25" s="79" t="n">
        <f aca="false">CK25+2+INDEX(in_cus_dem_days,1,C25)</f>
        <v>41</v>
      </c>
      <c r="CM25" s="79" t="n">
        <f aca="false">CL25+U25</f>
        <v>71</v>
      </c>
      <c r="CN25" s="79" t="n">
        <f aca="false">CJ25+INDEX(in_sup_vat_lag,1,C25)</f>
        <v>44</v>
      </c>
      <c r="CO25" s="91" t="n">
        <f aca="false">INDEX(in_sup_advance,1,C25)</f>
        <v>0.5</v>
      </c>
      <c r="CP25" s="88" t="n">
        <f aca="false">CO25*(AL25+AM25)+AO25+INDEX(in_sel_testing,1,C25)*X25</f>
        <v>7000.08733974359</v>
      </c>
      <c r="CQ25" s="88" t="n">
        <f aca="false">(1-CO25)*(AL25+AM25)+AR25+AU25+AZ25</f>
        <v>9735.81261446886</v>
      </c>
      <c r="CR25" s="88" t="n">
        <f aca="false">BB25+BC25+BD25+BF25+BJ25</f>
        <v>471.168823439103</v>
      </c>
      <c r="CS25" s="88" t="n">
        <f aca="false">BK25+BL25</f>
        <v>911</v>
      </c>
      <c r="CT25" s="88" t="n">
        <f aca="false">IF(K25=2,AM25,0)</f>
        <v>0</v>
      </c>
      <c r="CU25" s="85" t="n">
        <f aca="false">IF(K25=2,CO25*AM25*(CN25-0)+(1-CO25)*AM25*(CN25-CJ25),0)</f>
        <v>0</v>
      </c>
      <c r="CV25" s="85" t="n">
        <f aca="false">(CP25-CO25*CT25)*(CM25-0)+(CQ25-(1-CO25)*CT25)*(CM25-CJ25)+CR25*(CM25-CK25)+CS25*(CM25-CL25)</f>
        <v>1094354.92249657</v>
      </c>
      <c r="CW25" s="88" t="n">
        <f aca="false">INDEX(in_sel_fin_rate,1,C25)/365*(CU25+CV25)</f>
        <v>239.858613149933</v>
      </c>
      <c r="CX25" s="85" t="n">
        <f aca="false">CP25-IF(CN25&lt;=0,CT25,0)</f>
        <v>7000.08733974359</v>
      </c>
      <c r="CY25" s="85" t="n">
        <f aca="false">CP25+CQ25-IF(CN25&lt;=CJ25,CT25,0)</f>
        <v>16735.8999542125</v>
      </c>
      <c r="CZ25" s="85" t="n">
        <f aca="false">CP25+CQ25+CR25-IF(CN25&lt;=CK25,CT25,0)</f>
        <v>17207.0687776516</v>
      </c>
      <c r="DA25" s="85" t="n">
        <f aca="false">CP25+CQ25+CR25+CS25-IF(CN25&lt;=CL25,CT25,0)</f>
        <v>18118.0687776516</v>
      </c>
      <c r="DB25" s="88" t="n">
        <f aca="false">MAX(CX25,CY25,CZ25,DA25)</f>
        <v>18118.0687776516</v>
      </c>
      <c r="DC25" s="88" t="n">
        <f aca="false">CP25+CQ25+CR25+CS25</f>
        <v>18118.0687776516</v>
      </c>
      <c r="DD25" s="88" t="n">
        <f aca="false">CE25-CH25-CI25-CW25</f>
        <v>4060.57961369851</v>
      </c>
      <c r="DE25" s="87" t="n">
        <f aca="false">IF(CD25&gt;0,DD25/CD25,0)</f>
        <v>0.173306992625206</v>
      </c>
      <c r="DF25" s="86" t="n">
        <f aca="false">IF(CD25&gt;0,(BM25+CI25+CW25)/(CD25*(1-CG25)),0)</f>
        <v>0.820871325451983</v>
      </c>
      <c r="DG25" s="90" t="n">
        <f aca="false">IF(BW25&gt;0,BM25/BW25,0)</f>
        <v>0.208660875970533</v>
      </c>
      <c r="DH25" s="90" t="n">
        <f aca="false">IF(BW25&gt;0,CD25/BW25,0)</f>
        <v>0.2856</v>
      </c>
      <c r="DI25" s="90" t="n">
        <f aca="false">IF(AI25&gt;0,(AI25*IF(K25=3,INDEX(in_sup_vat_rate,1,C25),0)+AV25*BA25+(BC25+BD25)*AV25/AY25+AZ25*AI25/AL25)/AI25,0)</f>
        <v>0.00888060601494984</v>
      </c>
      <c r="DJ25" s="90" t="n">
        <f aca="false">IF(AJ25&gt;0,(AJ25*IF(K25=3,INDEX(in_sup_vat_rate,1,C25),0)+AW25*BA25+(BC25+BD25)*AW25/AY25+AZ25*AJ25/AL25)/AJ25,0)</f>
        <v>0</v>
      </c>
      <c r="DK25" s="90" t="n">
        <f aca="false">IF(AK25&gt;0,(AK25*IF(K25=3,INDEX(in_sup_vat_rate,1,C25),0)+AX25*BA25+(BC25+BD25)*AX25/AY25+AZ25*AK25/AL25)/AK25,0)</f>
        <v>0</v>
      </c>
      <c r="DL25" s="90" t="n">
        <f aca="false">IF(Y25&gt;0,(BP25-AI25*(1+DI25))/Y25,0)</f>
        <v>0.0607801731319015</v>
      </c>
      <c r="DM25" s="90" t="n">
        <f aca="false">IF(Z25&gt;0,(BQ25-AJ25*(1+DJ25))/Z25,0)</f>
        <v>0</v>
      </c>
      <c r="DN25" s="90" t="n">
        <f aca="false">IF(AA25&gt;0,(BR25-AK25*(1+DK25))/AA25,0)</f>
        <v>0</v>
      </c>
      <c r="DO25" s="86" t="n">
        <f aca="false">IF(Y25&gt;0,(CA25*(1-thr_gm_go)*(1-R25)-DL25)/(1+DI25)*I25/((1+AH25)*J25),"")</f>
        <v>8.67897381816803</v>
      </c>
      <c r="DP25" s="86" t="str">
        <f aca="false">IF(Z25&gt;0,(CB25*(1-thr_gm_go)*(1-R25)-DM25)/(1+DJ25)*I25/((1+AH25)*J25),"")</f>
        <v/>
      </c>
      <c r="DQ25" s="86" t="str">
        <f aca="false">IF(AA25&gt;0,(CC25*(1-thr_gm_go)*(1-R25)-DN25)/(1+DK25)*I25/((1+AH25)*J25),"")</f>
        <v/>
      </c>
      <c r="DR25" s="92" t="n">
        <f aca="false">IF(AND(AY25*INDEX(in_cus_mpf_rate,1,C25)&gt;INDEX(in_cus_mpf_min,1,C25),AY25*INDEX(in_cus_mpf_rate,1,C25)&lt;INDEX(in_cus_mpf_max,1,C25)),INDEX(in_cus_mpf_rate,1,C25),0)</f>
        <v>0.003464</v>
      </c>
      <c r="DS25" s="88" t="n">
        <f aca="false">IF(AZ25&gt;INDEX(in_oce_ins_min,1,C25),INDEX(in_oce_ins_rate,1,C25)*(1+INDEX(in_oce_ins_uplift,1,C25))*AL25,0)</f>
        <v>0</v>
      </c>
      <c r="DT25" s="88" t="n">
        <f aca="false">(AL25+AN25)*(1+BA25+INDEX(in_cus_hmf,1,C25)+DR25)+DS25</f>
        <v>12056.7435029263</v>
      </c>
      <c r="DU25" s="86" t="n">
        <f aca="false">IF(DT25&gt;0,(CD25*(1-thr_gm_go)-(BM25-DT25))/DT25,0)</f>
        <v>1.03768988468886</v>
      </c>
      <c r="DV25" s="86" t="n">
        <f aca="false">IF(DT25&gt;0,(CD25-(BM25-DT25))/DT25,0)</f>
        <v>1.52351720187267</v>
      </c>
      <c r="DW25" s="87" t="n">
        <f aca="false">(1+AH25)*J25*DU25-1</f>
        <v>-0.0141946095455838</v>
      </c>
      <c r="DX25" s="87" t="n">
        <f aca="false">(1+AH25)*J25*DV25-1</f>
        <v>0.447341341779036</v>
      </c>
      <c r="DY25" s="85" t="n">
        <f aca="false">IF(G25&gt;0,(CD25*(1-thr_gm_go)-(BM25-AT25))/G25,"")</f>
        <v>3354.41727234844</v>
      </c>
      <c r="DZ25" s="90" t="n">
        <f aca="false">IF(AB25&gt;0,(AL25+AN25+BB25+BC25+BD25)/AB25,0)</f>
        <v>0.146230970320513</v>
      </c>
      <c r="EA25" s="88" t="n">
        <f aca="false">BM25-DZ25*AB25</f>
        <v>5061.32527472527</v>
      </c>
      <c r="EB25" s="90" t="n">
        <f aca="false">IF(AB25&gt;0,CD25/AB25,0)</f>
        <v>0.284172</v>
      </c>
      <c r="EC25" s="85" t="n">
        <f aca="false">IF(EB25*(1-thr_gm_go)-DZ25&gt;0,EA25/(EB25*(1-thr_gm_go)-DZ25),"n/a")</f>
        <v>75657.3145573108</v>
      </c>
      <c r="ED25" s="85" t="n">
        <f aca="false">IF(EB25-DZ25&gt;0,EA25/(EB25-DZ25),"n/a")</f>
        <v>36691.9493531802</v>
      </c>
      <c r="EE25" s="93" t="b">
        <f aca="false">INDEX(cfg_fits,D25,C25)</f>
        <v>1</v>
      </c>
      <c r="EF25" s="87" t="n">
        <f aca="false">IF(F25=4,"",INDEX(cfg_lenutil,D25,C25))</f>
        <v>0.991198658843252</v>
      </c>
      <c r="EG25" s="31" t="str">
        <f aca="false">IF(O25&gt;1,"Check fit (units scaled up)","")</f>
        <v/>
      </c>
    </row>
    <row r="26" customFormat="false" ht="15" hidden="false" customHeight="false" outlineLevel="0" collapsed="false">
      <c r="A26" s="78" t="n">
        <v>1052</v>
      </c>
      <c r="B26" s="9" t="s">
        <v>3174</v>
      </c>
      <c r="C26" s="78" t="n">
        <v>1</v>
      </c>
      <c r="D26" s="78" t="n">
        <v>5</v>
      </c>
      <c r="E26" s="78" t="n">
        <v>2</v>
      </c>
      <c r="F26" s="79" t="n">
        <f aca="false">INDEX(cfg_ct,D26)</f>
        <v>3</v>
      </c>
      <c r="G26" s="79" t="n">
        <f aca="false">INDEX(cfg_n,D26)</f>
        <v>1</v>
      </c>
      <c r="H26" s="79" t="n">
        <f aca="false">INDEX(dest_port,E26)</f>
        <v>1</v>
      </c>
      <c r="I26" s="80" t="n">
        <f aca="false">INDEX(in_fx_cbe,1,C26)*(1-INDEX(in_fx_spread,1,C26))</f>
        <v>54.6</v>
      </c>
      <c r="J26" s="81" t="n">
        <f aca="false">1</f>
        <v>1</v>
      </c>
      <c r="K26" s="82" t="n">
        <f aca="false">INDEX(in_sup_vat_mode,1,C26)</f>
        <v>1</v>
      </c>
      <c r="L26" s="83" t="n">
        <f aca="false">INDEX(in_cus_s301,1,C26)</f>
        <v>0</v>
      </c>
      <c r="M26" s="84" t="n">
        <f aca="false">1</f>
        <v>1</v>
      </c>
      <c r="N26" s="81" t="n">
        <f aca="false">1</f>
        <v>1</v>
      </c>
      <c r="O26" s="81" t="n">
        <f aca="false">1</f>
        <v>1</v>
      </c>
      <c r="P26" s="81" t="n">
        <f aca="false">1</f>
        <v>1</v>
      </c>
      <c r="Q26" s="81" t="n">
        <f aca="false">1</f>
        <v>1</v>
      </c>
      <c r="R26" s="83" t="n">
        <f aca="false">INDEX(in_sel_damage,1,C26)</f>
        <v>0.005</v>
      </c>
      <c r="S26" s="83" t="n">
        <f aca="false">INDEX(in_mkt_dist_margin,1,C26)</f>
        <v>0.2</v>
      </c>
      <c r="T26" s="83" t="n">
        <f aca="false">INDEX(in_mkt_eflute_disc,1,C26)</f>
        <v>0.15</v>
      </c>
      <c r="U26" s="82" t="n">
        <f aca="false">INDEX(in_sel_credit_days,1,C26)</f>
        <v>30</v>
      </c>
      <c r="V26" s="81" t="n">
        <f aca="false">1</f>
        <v>1</v>
      </c>
      <c r="W26" s="83" t="n">
        <f aca="false">INDEX(in_sel_commission,1,C26)</f>
        <v>0.03</v>
      </c>
      <c r="X26" s="82" t="n">
        <f aca="false">1</f>
        <v>1</v>
      </c>
      <c r="Y26" s="85" t="n">
        <f aca="false">INDEX(cfg_u_3464,D26,C26)*O26</f>
        <v>82450</v>
      </c>
      <c r="Z26" s="85" t="n">
        <f aca="false">INDEX(cfg_u_3463,D26,C26)*O26</f>
        <v>0</v>
      </c>
      <c r="AA26" s="85" t="n">
        <f aca="false">INDEX(cfg_u_3460,D26,C26)*O26</f>
        <v>0</v>
      </c>
      <c r="AB26" s="85" t="n">
        <f aca="false">Y26+Z26+AA26</f>
        <v>82450</v>
      </c>
      <c r="AC26" s="86" t="n">
        <f aca="false">Y26*INDEX(lg_vpu_3464,C26)</f>
        <v>54.9883785</v>
      </c>
      <c r="AD26" s="86" t="n">
        <f aca="false">Z26*INDEX(lg_vpu_3463,C26)</f>
        <v>0</v>
      </c>
      <c r="AE26" s="86" t="n">
        <f aca="false">AA26*INDEX(lg_vpu_3460,C26)</f>
        <v>0</v>
      </c>
      <c r="AF26" s="86" t="n">
        <f aca="false">AC26+AD26+AE26</f>
        <v>54.9883785</v>
      </c>
      <c r="AG26" s="85" t="n">
        <f aca="false">Y26*INDEX(lg_kpu_3464,C26)+Z26*INDEX(lg_kpu_3463,C26)+AA26*INDEX(lg_kpu_3460,C26)</f>
        <v>13441.777328</v>
      </c>
      <c r="AH26" s="87" t="n">
        <f aca="false">INDEX(in_sup_requote,1,C26)</f>
        <v>-0.05</v>
      </c>
      <c r="AI26" s="88" t="n">
        <f aca="false">Y26*q_price_3464*(1+AH26)*J26/I26</f>
        <v>12000.1746794872</v>
      </c>
      <c r="AJ26" s="88" t="n">
        <f aca="false">Z26*q_price_3463*(1+AH26)*J26/I26</f>
        <v>0</v>
      </c>
      <c r="AK26" s="88" t="n">
        <f aca="false">AA26*q_price_3460*(1+AH26)*J26/I26</f>
        <v>0</v>
      </c>
      <c r="AL26" s="88" t="n">
        <f aca="false">AI26+AJ26+AK26</f>
        <v>12000.1746794872</v>
      </c>
      <c r="AM26" s="88" t="n">
        <f aca="false">IF(OR(K26=2,K26=3),AL26*INDEX(in_sup_vat_rate,1,C26),0)</f>
        <v>0</v>
      </c>
      <c r="AN26" s="88" t="n">
        <f aca="false">IF(K26=3,AM26,0)</f>
        <v>0</v>
      </c>
      <c r="AO26" s="88" t="n">
        <f aca="false">INDEX(in_sup_tooling_egp,1,C26)/I26</f>
        <v>0</v>
      </c>
      <c r="AP26" s="88" t="n">
        <f aca="false">IF(F26=4,INDEX(in_ori_lcl_truck,1,C26)*V26/I26+INDEX(in_ori_lcl_cfs_o,1,C26),G26*(IF(F26=1,INDEX(in_ori_truck_20,1,C26),INDEX(in_ori_truck_40,1,C26))*V26/I26+INDEX(in_ori_terminal,1,C26)+IF(F26=1,INDEX(in_ori_othc_20,1,C26),INDEX(in_ori_othc_40,1,C26))*(1-INDEX(in_ori_othc_in_freight,1,C26))+INDEX(in_ori_seal,1,C26)+INDEX(in_ori_inspection,1,C26)+INDEX(in_ori_dd_days,1,C26)*IF(F26=1,INDEX(in_ori_dd_20,1,C26),INDEX(in_ori_dd_40,1,C26))+INDEX(in_ori_loading_egp,1,C26)/I26))</f>
        <v>457.465201465201</v>
      </c>
      <c r="AQ26" s="88" t="n">
        <f aca="false">(INDEX(in_ori_clearance,1,C26)+INDEX(in_ori_coo,1,C26))/I26+INDEX(in_ori_bl_fee,1,C26)+INDEX(in_ori_fwd_fee,1,C26)+INDEX(in_ori_qc,1,C26)+INDEX(in_ori_wires,1,C26)*INDEX(in_ori_wire_fee,1,C26)</f>
        <v>298.260073260073</v>
      </c>
      <c r="AR26" s="88" t="n">
        <f aca="false">AP26+AQ26</f>
        <v>755.725274725275</v>
      </c>
      <c r="AS26" s="85" t="n">
        <f aca="false">INDEX(tbl_port_diff,H26,C26)</f>
        <v>0</v>
      </c>
      <c r="AT26" s="88" t="n">
        <f aca="false">IF(F26=4,MAX(AF26*INDEX(in_oce_lcl_factor,1,C26),AG26/1000,1)*INDEX(in_oce_lcl_rate,1,C26)*M26,G26*(INDEX(tbl_ocean_rate,MIN(F26,3),C26)+AS26)*M26)</f>
        <v>2900</v>
      </c>
      <c r="AU26" s="88" t="n">
        <f aca="false">AT26+INDEX(in_oce_ams,1,C26)</f>
        <v>2930</v>
      </c>
      <c r="AV26" s="88" t="n">
        <f aca="false">AI26*(1+IF(K26=3,INDEX(in_sup_vat_rate,1,C26),0))+AO26*Y26/AB26</f>
        <v>12000.1746794872</v>
      </c>
      <c r="AW26" s="88" t="n">
        <f aca="false">AJ26*(1+IF(K26=3,INDEX(in_sup_vat_rate,1,C26),0))+AO26*Z26/AB26</f>
        <v>0</v>
      </c>
      <c r="AX26" s="88" t="n">
        <f aca="false">AK26*(1+IF(K26=3,INDEX(in_sup_vat_rate,1,C26),0))+AO26*AA26/AB26</f>
        <v>0</v>
      </c>
      <c r="AY26" s="88" t="n">
        <f aca="false">AV26+AW26+AX26</f>
        <v>12000.1746794872</v>
      </c>
      <c r="AZ26" s="88" t="n">
        <f aca="false">MAX(INDEX(in_oce_ins_min,1,C26),INDEX(in_oce_ins_rate,1,C26)*(1+INDEX(in_oce_ins_uplift,1,C26))*(AL26+AO26+AR26+AU26))*(1-INDEX(in_oce_ins_in_other,1,C26))</f>
        <v>50</v>
      </c>
      <c r="BA26" s="87" t="n">
        <f aca="false">INDEX(in_cus_mfn,1,C26)+L26</f>
        <v>0</v>
      </c>
      <c r="BB26" s="88" t="n">
        <f aca="false">AY26*BA26</f>
        <v>0</v>
      </c>
      <c r="BC26" s="88" t="n">
        <f aca="false">MIN(MAX(AY26*INDEX(in_cus_mpf_rate,1,C26),INDEX(in_cus_mpf_min,1,C26)),INDEX(in_cus_mpf_max,1,C26))</f>
        <v>41.5686050897436</v>
      </c>
      <c r="BD26" s="88" t="n">
        <f aca="false">AY26*INDEX(in_cus_hmf,1,C26)</f>
        <v>15.000218349359</v>
      </c>
      <c r="BE26" s="88" t="n">
        <f aca="false">MAX(INDEX(in_cus_stb_min,1,C26),INDEX(in_cus_stb_rate,1,C26)/1000*(AY26+BB26+BC26+BD26))</f>
        <v>50</v>
      </c>
      <c r="BF26" s="88" t="n">
        <f aca="false">INDEX(in_cus_broker,1,C26)+INDEX(in_cus_isf,1,C26)+INDEX(in_cus_do_fee,1,C26)+BE26+INDEX(in_cus_isf_bond,1,C26)</f>
        <v>385</v>
      </c>
      <c r="BG26" s="88" t="n">
        <f aca="false">IF(H26=1,INDEX(in_cus_cfc,1,C26)*INDEX(ct_teu,F26)*G26*(1-INDEX(in_cus_cfc_in_freight,1,C26)),0)</f>
        <v>29.6</v>
      </c>
      <c r="BH26" s="88" t="n">
        <f aca="false">IF(F26=4,1,G26)*(INDEX(in_cus_exam,1,C26)+INDEX(in_cus_exam_dray,1,C26))</f>
        <v>0</v>
      </c>
      <c r="BI26" s="88" t="n">
        <f aca="false">IF(F26=4,1,G26)*INDEX(in_cus_dem_days,1,C26)*INDEX(in_cus_dem_rate,1,C26)</f>
        <v>0</v>
      </c>
      <c r="BJ26" s="88" t="n">
        <f aca="false">BG26+BH26+BI26</f>
        <v>29.6</v>
      </c>
      <c r="BK26" s="88" t="n">
        <f aca="false">IF(F26=4,(INDEX(in_dra_lcl_cfs_d,1,C26)+INDEX(in_dra_lcl_deliv,1,C26))*P26,G26*(INDEX(tbl_dest_line,E26,C26)*P26*(1+INDEX(in_dra_fsc,1,C26))+INDEX(tbl_dest_tolls,E26,C26)+INDEX(in_dra_chassis_days,1,C26)*INDEX(tbl_dest_chassis,E26,C26)*(1-INDEX(in_dra_chassis_in_dray,1,C26))+INDEX(in_dra_wait_hours,1,C26)*INDEX(in_dra_wait_rate,1,C26)+INDEX(in_dra_split,1,C26)+INDEX(in_dra_prepull,1,C26)+INDEX(in_dra_dryrun,1,C26)))</f>
        <v>866</v>
      </c>
      <c r="BL26" s="88" t="n">
        <f aca="false">IF(F26=4,0,G26*IF(F26=1,INDEX(in_dra_unload_20,1,C26),INDEX(in_dra_unload_40,1,C26))*Q26*(1-INDEX(in_dra_unload_in_dray,1,C26)))</f>
        <v>250</v>
      </c>
      <c r="BM26" s="88" t="n">
        <f aca="false">AL26+AN26+AO26+AR26+AU26+AZ26+BB26+BC26+BD26+BF26+BJ26+BK26+BL26</f>
        <v>17323.0687776516</v>
      </c>
      <c r="BN26" s="88" t="n">
        <f aca="false">AP26+AU26+BJ26+BK26+BL26</f>
        <v>4533.0652014652</v>
      </c>
      <c r="BO26" s="88" t="n">
        <f aca="false">AQ26+BF26</f>
        <v>683.260073260073</v>
      </c>
      <c r="BP26" s="88" t="n">
        <f aca="false">AI26*(1+IF(K26=3,INDEX(in_sup_vat_rate,1,C26),0))+AO26*Y26/AB26+AV26*BA26+(BC26+BD26)*AV26/AY26+AZ26*AI26/AL26+BN26*AC26/AF26+BO26*Y26/AB26</f>
        <v>17323.0687776516</v>
      </c>
      <c r="BQ26" s="88" t="n">
        <f aca="false">AJ26*(1+IF(K26=3,INDEX(in_sup_vat_rate,1,C26),0))+AO26*Z26/AB26+AW26*BA26+(BC26+BD26)*AW26/AY26+AZ26*AJ26/AL26+BN26*AD26/AF26+BO26*Z26/AB26</f>
        <v>0</v>
      </c>
      <c r="BR26" s="88" t="n">
        <f aca="false">AK26*(1+IF(K26=3,INDEX(in_sup_vat_rate,1,C26),0))+AO26*AA26/AB26+AX26*BA26+(BC26+BD26)*AX26/AY26+AZ26*AK26/AL26+BN26*AE26/AF26+BO26*AA26/AB26</f>
        <v>0</v>
      </c>
      <c r="BS26" s="89" t="n">
        <f aca="false">BP26+BQ26+BR26-BM26</f>
        <v>0</v>
      </c>
      <c r="BT26" s="85" t="n">
        <f aca="false">Y26*(1-R26)</f>
        <v>82037.75</v>
      </c>
      <c r="BU26" s="85" t="n">
        <f aca="false">Z26*(1-R26)</f>
        <v>0</v>
      </c>
      <c r="BV26" s="85" t="n">
        <f aca="false">AA26*(1-R26)</f>
        <v>0</v>
      </c>
      <c r="BW26" s="85" t="n">
        <f aca="false">BT26+BU26+BV26</f>
        <v>82037.75</v>
      </c>
      <c r="BX26" s="90" t="n">
        <f aca="false">IF(BT26&gt;0,BP26/BT26,0)</f>
        <v>0.211159725585496</v>
      </c>
      <c r="BY26" s="90" t="n">
        <f aca="false">IF(BU26&gt;0,BQ26/BU26,0)</f>
        <v>0</v>
      </c>
      <c r="BZ26" s="90" t="n">
        <f aca="false">IF(BV26&gt;0,BR26/BV26,0)</f>
        <v>0</v>
      </c>
      <c r="CA26" s="90" t="n">
        <f aca="false">INDEX(in_mkt_listing_3464,1,C26)*(1-IF(sku_flute_3464="B",T26,0))*(1-S26)*N26</f>
        <v>0.2856</v>
      </c>
      <c r="CB26" s="90" t="n">
        <f aca="false">INDEX(in_mkt_listing_3463,1,C26)*(1-IF(sku_flute_3463="B",T26,0))*(1-S26)*N26</f>
        <v>0.3128</v>
      </c>
      <c r="CC26" s="90" t="n">
        <f aca="false">INDEX(in_mkt_listing_3460,1,C26)*(1-IF(sku_flute_3460="B",T26,0))*(1-S26)*N26</f>
        <v>0.256</v>
      </c>
      <c r="CD26" s="88" t="n">
        <f aca="false">BT26*CA26+BU26*CB26+BV26*CC26</f>
        <v>23429.9814</v>
      </c>
      <c r="CE26" s="88" t="n">
        <f aca="false">CD26-BM26</f>
        <v>6106.91262234845</v>
      </c>
      <c r="CF26" s="87" t="n">
        <f aca="false">IF(CD26&gt;0,CE26/CD26,0)</f>
        <v>0.260645218538178</v>
      </c>
      <c r="CG26" s="87" t="n">
        <f aca="false">W26+INDEX(in_sel_processing,1,C26)+INDEX(in_sel_bad_debt,1,C26)</f>
        <v>0.0325</v>
      </c>
      <c r="CH26" s="88" t="n">
        <f aca="false">CD26*CG26</f>
        <v>761.4743955</v>
      </c>
      <c r="CI26" s="88" t="n">
        <f aca="false">INDEX(in_sel_testing,1,C26)*X26+INDEX(in_sel_admin,1,C26)</f>
        <v>1250</v>
      </c>
      <c r="CJ26" s="79" t="n">
        <f aca="false">INDEX(in_sup_lead_days,1,C26)</f>
        <v>14</v>
      </c>
      <c r="CK26" s="79" t="n">
        <f aca="false">CJ26+INDEX(in_oce_transit,1,C26)+IF(F26=4,INDEX(in_oce_lcl_extra_days,1,C26),0)</f>
        <v>39</v>
      </c>
      <c r="CL26" s="79" t="n">
        <f aca="false">CK26+2+INDEX(in_cus_dem_days,1,C26)</f>
        <v>41</v>
      </c>
      <c r="CM26" s="79" t="n">
        <f aca="false">CL26+U26</f>
        <v>71</v>
      </c>
      <c r="CN26" s="79" t="n">
        <f aca="false">CJ26+INDEX(in_sup_vat_lag,1,C26)</f>
        <v>44</v>
      </c>
      <c r="CO26" s="91" t="n">
        <f aca="false">INDEX(in_sup_advance,1,C26)</f>
        <v>0.5</v>
      </c>
      <c r="CP26" s="88" t="n">
        <f aca="false">CO26*(AL26+AM26)+AO26+INDEX(in_sel_testing,1,C26)*X26</f>
        <v>7000.08733974359</v>
      </c>
      <c r="CQ26" s="88" t="n">
        <f aca="false">(1-CO26)*(AL26+AM26)+AR26+AU26+AZ26</f>
        <v>9735.81261446886</v>
      </c>
      <c r="CR26" s="88" t="n">
        <f aca="false">BB26+BC26+BD26+BF26+BJ26</f>
        <v>471.168823439103</v>
      </c>
      <c r="CS26" s="88" t="n">
        <f aca="false">BK26+BL26</f>
        <v>1116</v>
      </c>
      <c r="CT26" s="88" t="n">
        <f aca="false">IF(K26=2,AM26,0)</f>
        <v>0</v>
      </c>
      <c r="CU26" s="85" t="n">
        <f aca="false">IF(K26=2,CO26*AM26*(CN26-0)+(1-CO26)*AM26*(CN26-CJ26),0)</f>
        <v>0</v>
      </c>
      <c r="CV26" s="85" t="n">
        <f aca="false">(CP26-CO26*CT26)*(CM26-0)+(CQ26-(1-CO26)*CT26)*(CM26-CJ26)+CR26*(CM26-CK26)+CS26*(CM26-CL26)</f>
        <v>1100504.92249657</v>
      </c>
      <c r="CW26" s="88" t="n">
        <f aca="false">INDEX(in_sel_fin_rate,1,C26)/365*(CU26+CV26)</f>
        <v>241.206558355413</v>
      </c>
      <c r="CX26" s="85" t="n">
        <f aca="false">CP26-IF(CN26&lt;=0,CT26,0)</f>
        <v>7000.08733974359</v>
      </c>
      <c r="CY26" s="85" t="n">
        <f aca="false">CP26+CQ26-IF(CN26&lt;=CJ26,CT26,0)</f>
        <v>16735.8999542125</v>
      </c>
      <c r="CZ26" s="85" t="n">
        <f aca="false">CP26+CQ26+CR26-IF(CN26&lt;=CK26,CT26,0)</f>
        <v>17207.0687776516</v>
      </c>
      <c r="DA26" s="85" t="n">
        <f aca="false">CP26+CQ26+CR26+CS26-IF(CN26&lt;=CL26,CT26,0)</f>
        <v>18323.0687776516</v>
      </c>
      <c r="DB26" s="88" t="n">
        <f aca="false">MAX(CX26,CY26,CZ26,DA26)</f>
        <v>18323.0687776516</v>
      </c>
      <c r="DC26" s="88" t="n">
        <f aca="false">CP26+CQ26+CR26+CS26</f>
        <v>18323.0687776516</v>
      </c>
      <c r="DD26" s="88" t="n">
        <f aca="false">CE26-CH26-CI26-CW26</f>
        <v>3854.23166849303</v>
      </c>
      <c r="DE26" s="87" t="n">
        <f aca="false">IF(CD26&gt;0,DD26/CD26,0)</f>
        <v>0.164499988399181</v>
      </c>
      <c r="DF26" s="86" t="n">
        <f aca="false">IF(CD26&gt;0,(BM26+CI26+CW26)/(CD26*(1-CG26)),0)</f>
        <v>0.829974172197229</v>
      </c>
      <c r="DG26" s="90" t="n">
        <f aca="false">IF(BW26&gt;0,BM26/BW26,0)</f>
        <v>0.211159725585496</v>
      </c>
      <c r="DH26" s="90" t="n">
        <f aca="false">IF(BW26&gt;0,CD26/BW26,0)</f>
        <v>0.2856</v>
      </c>
      <c r="DI26" s="90" t="n">
        <f aca="false">IF(AI26&gt;0,(AI26*IF(K26=3,INDEX(in_sup_vat_rate,1,C26),0)+AV26*BA26+(BC26+BD26)*AV26/AY26+AZ26*AI26/AL26)/AI26,0)</f>
        <v>0.00888060601494984</v>
      </c>
      <c r="DJ26" s="90" t="n">
        <f aca="false">IF(AJ26&gt;0,(AJ26*IF(K26=3,INDEX(in_sup_vat_rate,1,C26),0)+AW26*BA26+(BC26+BD26)*AW26/AY26+AZ26*AJ26/AL26)/AJ26,0)</f>
        <v>0</v>
      </c>
      <c r="DK26" s="90" t="n">
        <f aca="false">IF(AK26&gt;0,(AK26*IF(K26=3,INDEX(in_sup_vat_rate,1,C26),0)+AX26*BA26+(BC26+BD26)*AX26/AY26+AZ26*AK26/AL26)/AK26,0)</f>
        <v>0</v>
      </c>
      <c r="DL26" s="90" t="n">
        <f aca="false">IF(Y26&gt;0,(BP26-AI26*(1+DI26))/Y26,0)</f>
        <v>0.0632665284987905</v>
      </c>
      <c r="DM26" s="90" t="n">
        <f aca="false">IF(Z26&gt;0,(BQ26-AJ26*(1+DJ26))/Z26,0)</f>
        <v>0</v>
      </c>
      <c r="DN26" s="90" t="n">
        <f aca="false">IF(AA26&gt;0,(BR26-AK26*(1+DK26))/AA26,0)</f>
        <v>0</v>
      </c>
      <c r="DO26" s="86" t="n">
        <f aca="false">IF(Y26&gt;0,(CA26*(1-thr_gm_go)*(1-R26)-DL26)/(1+DI26)*I26/((1+AH26)*J26),"")</f>
        <v>8.53733168297408</v>
      </c>
      <c r="DP26" s="86" t="str">
        <f aca="false">IF(Z26&gt;0,(CB26*(1-thr_gm_go)*(1-R26)-DM26)/(1+DJ26)*I26/((1+AH26)*J26),"")</f>
        <v/>
      </c>
      <c r="DQ26" s="86" t="str">
        <f aca="false">IF(AA26&gt;0,(CC26*(1-thr_gm_go)*(1-R26)-DN26)/(1+DK26)*I26/((1+AH26)*J26),"")</f>
        <v/>
      </c>
      <c r="DR26" s="92" t="n">
        <f aca="false">IF(AND(AY26*INDEX(in_cus_mpf_rate,1,C26)&gt;INDEX(in_cus_mpf_min,1,C26),AY26*INDEX(in_cus_mpf_rate,1,C26)&lt;INDEX(in_cus_mpf_max,1,C26)),INDEX(in_cus_mpf_rate,1,C26),0)</f>
        <v>0.003464</v>
      </c>
      <c r="DS26" s="88" t="n">
        <f aca="false">IF(AZ26&gt;INDEX(in_oce_ins_min,1,C26),INDEX(in_oce_ins_rate,1,C26)*(1+INDEX(in_oce_ins_uplift,1,C26))*AL26,0)</f>
        <v>0</v>
      </c>
      <c r="DT26" s="88" t="n">
        <f aca="false">(AL26+AN26)*(1+BA26+INDEX(in_cus_hmf,1,C26)+DR26)+DS26</f>
        <v>12056.7435029263</v>
      </c>
      <c r="DU26" s="86" t="n">
        <f aca="false">IF(DT26&gt;0,(CD26*(1-thr_gm_go)-(BM26-DT26))/DT26,0)</f>
        <v>1.02068695185295</v>
      </c>
      <c r="DV26" s="86" t="n">
        <f aca="false">IF(DT26&gt;0,(CD26-(BM26-DT26))/DT26,0)</f>
        <v>1.50651426903676</v>
      </c>
      <c r="DW26" s="87" t="n">
        <f aca="false">(1+AH26)*J26*DU26-1</f>
        <v>-0.0303473957396944</v>
      </c>
      <c r="DX26" s="87" t="n">
        <f aca="false">(1+AH26)*J26*DV26-1</f>
        <v>0.431188555584925</v>
      </c>
      <c r="DY26" s="85" t="n">
        <f aca="false">IF(G26&gt;0,(CD26*(1-thr_gm_go)-(BM26-AT26))/G26,"")</f>
        <v>3149.41727234844</v>
      </c>
      <c r="DZ26" s="90" t="n">
        <f aca="false">IF(AB26&gt;0,(AL26+AN26+BB26+BC26+BD26)/AB26,0)</f>
        <v>0.146230970320513</v>
      </c>
      <c r="EA26" s="88" t="n">
        <f aca="false">BM26-DZ26*AB26</f>
        <v>5266.32527472527</v>
      </c>
      <c r="EB26" s="90" t="n">
        <f aca="false">IF(AB26&gt;0,CD26/AB26,0)</f>
        <v>0.284172</v>
      </c>
      <c r="EC26" s="85" t="n">
        <f aca="false">IF(EB26*(1-thr_gm_go)-DZ26&gt;0,EA26/(EB26*(1-thr_gm_go)-DZ26),"n/a")</f>
        <v>78721.6798455288</v>
      </c>
      <c r="ED26" s="85" t="n">
        <f aca="false">IF(EB26-DZ26&gt;0,EA26/(EB26-DZ26),"n/a")</f>
        <v>38178.091659616</v>
      </c>
      <c r="EE26" s="93" t="b">
        <f aca="false">INDEX(cfg_fits,D26,C26)</f>
        <v>1</v>
      </c>
      <c r="EF26" s="87" t="n">
        <f aca="false">IF(F26=4,"",INDEX(cfg_lenutil,D26,C26))</f>
        <v>0.991198658843252</v>
      </c>
      <c r="EG26" s="31" t="str">
        <f aca="false">IF(O26&gt;1,"Check fit (units scaled up)","")</f>
        <v/>
      </c>
    </row>
    <row r="27" customFormat="false" ht="15" hidden="false" customHeight="false" outlineLevel="0" collapsed="false">
      <c r="A27" s="78" t="n">
        <v>1053</v>
      </c>
      <c r="B27" s="9" t="s">
        <v>3175</v>
      </c>
      <c r="C27" s="78" t="n">
        <v>1</v>
      </c>
      <c r="D27" s="78" t="n">
        <v>5</v>
      </c>
      <c r="E27" s="78" t="n">
        <v>3</v>
      </c>
      <c r="F27" s="79" t="n">
        <f aca="false">INDEX(cfg_ct,D27)</f>
        <v>3</v>
      </c>
      <c r="G27" s="79" t="n">
        <f aca="false">INDEX(cfg_n,D27)</f>
        <v>1</v>
      </c>
      <c r="H27" s="79" t="n">
        <f aca="false">INDEX(dest_port,E27)</f>
        <v>2</v>
      </c>
      <c r="I27" s="80" t="n">
        <f aca="false">INDEX(in_fx_cbe,1,C27)*(1-INDEX(in_fx_spread,1,C27))</f>
        <v>54.6</v>
      </c>
      <c r="J27" s="81" t="n">
        <f aca="false">1</f>
        <v>1</v>
      </c>
      <c r="K27" s="82" t="n">
        <f aca="false">INDEX(in_sup_vat_mode,1,C27)</f>
        <v>1</v>
      </c>
      <c r="L27" s="83" t="n">
        <f aca="false">INDEX(in_cus_s301,1,C27)</f>
        <v>0</v>
      </c>
      <c r="M27" s="84" t="n">
        <f aca="false">1</f>
        <v>1</v>
      </c>
      <c r="N27" s="81" t="n">
        <f aca="false">1</f>
        <v>1</v>
      </c>
      <c r="O27" s="81" t="n">
        <f aca="false">1</f>
        <v>1</v>
      </c>
      <c r="P27" s="81" t="n">
        <f aca="false">1</f>
        <v>1</v>
      </c>
      <c r="Q27" s="81" t="n">
        <f aca="false">1</f>
        <v>1</v>
      </c>
      <c r="R27" s="83" t="n">
        <f aca="false">INDEX(in_sel_damage,1,C27)</f>
        <v>0.005</v>
      </c>
      <c r="S27" s="83" t="n">
        <f aca="false">INDEX(in_mkt_dist_margin,1,C27)</f>
        <v>0.2</v>
      </c>
      <c r="T27" s="83" t="n">
        <f aca="false">INDEX(in_mkt_eflute_disc,1,C27)</f>
        <v>0.15</v>
      </c>
      <c r="U27" s="82" t="n">
        <f aca="false">INDEX(in_sel_credit_days,1,C27)</f>
        <v>30</v>
      </c>
      <c r="V27" s="81" t="n">
        <f aca="false">1</f>
        <v>1</v>
      </c>
      <c r="W27" s="83" t="n">
        <f aca="false">INDEX(in_sel_commission,1,C27)</f>
        <v>0.03</v>
      </c>
      <c r="X27" s="82" t="n">
        <f aca="false">1</f>
        <v>1</v>
      </c>
      <c r="Y27" s="85" t="n">
        <f aca="false">INDEX(cfg_u_3464,D27,C27)*O27</f>
        <v>82450</v>
      </c>
      <c r="Z27" s="85" t="n">
        <f aca="false">INDEX(cfg_u_3463,D27,C27)*O27</f>
        <v>0</v>
      </c>
      <c r="AA27" s="85" t="n">
        <f aca="false">INDEX(cfg_u_3460,D27,C27)*O27</f>
        <v>0</v>
      </c>
      <c r="AB27" s="85" t="n">
        <f aca="false">Y27+Z27+AA27</f>
        <v>82450</v>
      </c>
      <c r="AC27" s="86" t="n">
        <f aca="false">Y27*INDEX(lg_vpu_3464,C27)</f>
        <v>54.9883785</v>
      </c>
      <c r="AD27" s="86" t="n">
        <f aca="false">Z27*INDEX(lg_vpu_3463,C27)</f>
        <v>0</v>
      </c>
      <c r="AE27" s="86" t="n">
        <f aca="false">AA27*INDEX(lg_vpu_3460,C27)</f>
        <v>0</v>
      </c>
      <c r="AF27" s="86" t="n">
        <f aca="false">AC27+AD27+AE27</f>
        <v>54.9883785</v>
      </c>
      <c r="AG27" s="85" t="n">
        <f aca="false">Y27*INDEX(lg_kpu_3464,C27)+Z27*INDEX(lg_kpu_3463,C27)+AA27*INDEX(lg_kpu_3460,C27)</f>
        <v>13441.777328</v>
      </c>
      <c r="AH27" s="87" t="n">
        <f aca="false">INDEX(in_sup_requote,1,C27)</f>
        <v>-0.05</v>
      </c>
      <c r="AI27" s="88" t="n">
        <f aca="false">Y27*q_price_3464*(1+AH27)*J27/I27</f>
        <v>12000.1746794872</v>
      </c>
      <c r="AJ27" s="88" t="n">
        <f aca="false">Z27*q_price_3463*(1+AH27)*J27/I27</f>
        <v>0</v>
      </c>
      <c r="AK27" s="88" t="n">
        <f aca="false">AA27*q_price_3460*(1+AH27)*J27/I27</f>
        <v>0</v>
      </c>
      <c r="AL27" s="88" t="n">
        <f aca="false">AI27+AJ27+AK27</f>
        <v>12000.1746794872</v>
      </c>
      <c r="AM27" s="88" t="n">
        <f aca="false">IF(OR(K27=2,K27=3),AL27*INDEX(in_sup_vat_rate,1,C27),0)</f>
        <v>0</v>
      </c>
      <c r="AN27" s="88" t="n">
        <f aca="false">IF(K27=3,AM27,0)</f>
        <v>0</v>
      </c>
      <c r="AO27" s="88" t="n">
        <f aca="false">INDEX(in_sup_tooling_egp,1,C27)/I27</f>
        <v>0</v>
      </c>
      <c r="AP27" s="88" t="n">
        <f aca="false">IF(F27=4,INDEX(in_ori_lcl_truck,1,C27)*V27/I27+INDEX(in_ori_lcl_cfs_o,1,C27),G27*(IF(F27=1,INDEX(in_ori_truck_20,1,C27),INDEX(in_ori_truck_40,1,C27))*V27/I27+INDEX(in_ori_terminal,1,C27)+IF(F27=1,INDEX(in_ori_othc_20,1,C27),INDEX(in_ori_othc_40,1,C27))*(1-INDEX(in_ori_othc_in_freight,1,C27))+INDEX(in_ori_seal,1,C27)+INDEX(in_ori_inspection,1,C27)+INDEX(in_ori_dd_days,1,C27)*IF(F27=1,INDEX(in_ori_dd_20,1,C27),INDEX(in_ori_dd_40,1,C27))+INDEX(in_ori_loading_egp,1,C27)/I27))</f>
        <v>457.465201465201</v>
      </c>
      <c r="AQ27" s="88" t="n">
        <f aca="false">(INDEX(in_ori_clearance,1,C27)+INDEX(in_ori_coo,1,C27))/I27+INDEX(in_ori_bl_fee,1,C27)+INDEX(in_ori_fwd_fee,1,C27)+INDEX(in_ori_qc,1,C27)+INDEX(in_ori_wires,1,C27)*INDEX(in_ori_wire_fee,1,C27)</f>
        <v>298.260073260073</v>
      </c>
      <c r="AR27" s="88" t="n">
        <f aca="false">AP27+AQ27</f>
        <v>755.725274725275</v>
      </c>
      <c r="AS27" s="85" t="n">
        <f aca="false">INDEX(tbl_port_diff,H27,C27)</f>
        <v>0</v>
      </c>
      <c r="AT27" s="88" t="n">
        <f aca="false">IF(F27=4,MAX(AF27*INDEX(in_oce_lcl_factor,1,C27),AG27/1000,1)*INDEX(in_oce_lcl_rate,1,C27)*M27,G27*(INDEX(tbl_ocean_rate,MIN(F27,3),C27)+AS27)*M27)</f>
        <v>2900</v>
      </c>
      <c r="AU27" s="88" t="n">
        <f aca="false">AT27+INDEX(in_oce_ams,1,C27)</f>
        <v>2930</v>
      </c>
      <c r="AV27" s="88" t="n">
        <f aca="false">AI27*(1+IF(K27=3,INDEX(in_sup_vat_rate,1,C27),0))+AO27*Y27/AB27</f>
        <v>12000.1746794872</v>
      </c>
      <c r="AW27" s="88" t="n">
        <f aca="false">AJ27*(1+IF(K27=3,INDEX(in_sup_vat_rate,1,C27),0))+AO27*Z27/AB27</f>
        <v>0</v>
      </c>
      <c r="AX27" s="88" t="n">
        <f aca="false">AK27*(1+IF(K27=3,INDEX(in_sup_vat_rate,1,C27),0))+AO27*AA27/AB27</f>
        <v>0</v>
      </c>
      <c r="AY27" s="88" t="n">
        <f aca="false">AV27+AW27+AX27</f>
        <v>12000.1746794872</v>
      </c>
      <c r="AZ27" s="88" t="n">
        <f aca="false">MAX(INDEX(in_oce_ins_min,1,C27),INDEX(in_oce_ins_rate,1,C27)*(1+INDEX(in_oce_ins_uplift,1,C27))*(AL27+AO27+AR27+AU27))*(1-INDEX(in_oce_ins_in_other,1,C27))</f>
        <v>50</v>
      </c>
      <c r="BA27" s="87" t="n">
        <f aca="false">INDEX(in_cus_mfn,1,C27)+L27</f>
        <v>0</v>
      </c>
      <c r="BB27" s="88" t="n">
        <f aca="false">AY27*BA27</f>
        <v>0</v>
      </c>
      <c r="BC27" s="88" t="n">
        <f aca="false">MIN(MAX(AY27*INDEX(in_cus_mpf_rate,1,C27),INDEX(in_cus_mpf_min,1,C27)),INDEX(in_cus_mpf_max,1,C27))</f>
        <v>41.5686050897436</v>
      </c>
      <c r="BD27" s="88" t="n">
        <f aca="false">AY27*INDEX(in_cus_hmf,1,C27)</f>
        <v>15.000218349359</v>
      </c>
      <c r="BE27" s="88" t="n">
        <f aca="false">MAX(INDEX(in_cus_stb_min,1,C27),INDEX(in_cus_stb_rate,1,C27)/1000*(AY27+BB27+BC27+BD27))</f>
        <v>50</v>
      </c>
      <c r="BF27" s="88" t="n">
        <f aca="false">INDEX(in_cus_broker,1,C27)+INDEX(in_cus_isf,1,C27)+INDEX(in_cus_do_fee,1,C27)+BE27+INDEX(in_cus_isf_bond,1,C27)</f>
        <v>385</v>
      </c>
      <c r="BG27" s="88" t="n">
        <f aca="false">IF(H27=1,INDEX(in_cus_cfc,1,C27)*INDEX(ct_teu,F27)*G27*(1-INDEX(in_cus_cfc_in_freight,1,C27)),0)</f>
        <v>0</v>
      </c>
      <c r="BH27" s="88" t="n">
        <f aca="false">IF(F27=4,1,G27)*(INDEX(in_cus_exam,1,C27)+INDEX(in_cus_exam_dray,1,C27))</f>
        <v>0</v>
      </c>
      <c r="BI27" s="88" t="n">
        <f aca="false">IF(F27=4,1,G27)*INDEX(in_cus_dem_days,1,C27)*INDEX(in_cus_dem_rate,1,C27)</f>
        <v>0</v>
      </c>
      <c r="BJ27" s="88" t="n">
        <f aca="false">BG27+BH27+BI27</f>
        <v>0</v>
      </c>
      <c r="BK27" s="88" t="n">
        <f aca="false">IF(F27=4,(INDEX(in_dra_lcl_cfs_d,1,C27)+INDEX(in_dra_lcl_deliv,1,C27))*P27,G27*(INDEX(tbl_dest_line,E27,C27)*P27*(1+INDEX(in_dra_fsc,1,C27))+INDEX(tbl_dest_tolls,E27,C27)+INDEX(in_dra_chassis_days,1,C27)*INDEX(tbl_dest_chassis,E27,C27)*(1-INDEX(in_dra_chassis_in_dray,1,C27))+INDEX(in_dra_wait_hours,1,C27)*INDEX(in_dra_wait_rate,1,C27)+INDEX(in_dra_split,1,C27)+INDEX(in_dra_prepull,1,C27)+INDEX(in_dra_dryrun,1,C27)))</f>
        <v>567.5</v>
      </c>
      <c r="BL27" s="88" t="n">
        <f aca="false">IF(F27=4,0,G27*IF(F27=1,INDEX(in_dra_unload_20,1,C27),INDEX(in_dra_unload_40,1,C27))*Q27*(1-INDEX(in_dra_unload_in_dray,1,C27)))</f>
        <v>250</v>
      </c>
      <c r="BM27" s="88" t="n">
        <f aca="false">AL27+AN27+AO27+AR27+AU27+AZ27+BB27+BC27+BD27+BF27+BJ27+BK27+BL27</f>
        <v>16994.9687776516</v>
      </c>
      <c r="BN27" s="88" t="n">
        <f aca="false">AP27+AU27+BJ27+BK27+BL27</f>
        <v>4204.9652014652</v>
      </c>
      <c r="BO27" s="88" t="n">
        <f aca="false">AQ27+BF27</f>
        <v>683.260073260073</v>
      </c>
      <c r="BP27" s="88" t="n">
        <f aca="false">AI27*(1+IF(K27=3,INDEX(in_sup_vat_rate,1,C27),0))+AO27*Y27/AB27+AV27*BA27+(BC27+BD27)*AV27/AY27+AZ27*AI27/AL27+BN27*AC27/AF27+BO27*Y27/AB27</f>
        <v>16994.9687776516</v>
      </c>
      <c r="BQ27" s="88" t="n">
        <f aca="false">AJ27*(1+IF(K27=3,INDEX(in_sup_vat_rate,1,C27),0))+AO27*Z27/AB27+AW27*BA27+(BC27+BD27)*AW27/AY27+AZ27*AJ27/AL27+BN27*AD27/AF27+BO27*Z27/AB27</f>
        <v>0</v>
      </c>
      <c r="BR27" s="88" t="n">
        <f aca="false">AK27*(1+IF(K27=3,INDEX(in_sup_vat_rate,1,C27),0))+AO27*AA27/AB27+AX27*BA27+(BC27+BD27)*AX27/AY27+AZ27*AK27/AL27+BN27*AE27/AF27+BO27*AA27/AB27</f>
        <v>0</v>
      </c>
      <c r="BS27" s="89" t="n">
        <f aca="false">BP27+BQ27+BR27-BM27</f>
        <v>0</v>
      </c>
      <c r="BT27" s="85" t="n">
        <f aca="false">Y27*(1-R27)</f>
        <v>82037.75</v>
      </c>
      <c r="BU27" s="85" t="n">
        <f aca="false">Z27*(1-R27)</f>
        <v>0</v>
      </c>
      <c r="BV27" s="85" t="n">
        <f aca="false">AA27*(1-R27)</f>
        <v>0</v>
      </c>
      <c r="BW27" s="85" t="n">
        <f aca="false">BT27+BU27+BV27</f>
        <v>82037.75</v>
      </c>
      <c r="BX27" s="90" t="n">
        <f aca="false">IF(BT27&gt;0,BP27/BT27,0)</f>
        <v>0.207160347250523</v>
      </c>
      <c r="BY27" s="90" t="n">
        <f aca="false">IF(BU27&gt;0,BQ27/BU27,0)</f>
        <v>0</v>
      </c>
      <c r="BZ27" s="90" t="n">
        <f aca="false">IF(BV27&gt;0,BR27/BV27,0)</f>
        <v>0</v>
      </c>
      <c r="CA27" s="90" t="n">
        <f aca="false">INDEX(in_mkt_listing_3464,1,C27)*(1-IF(sku_flute_3464="B",T27,0))*(1-S27)*N27</f>
        <v>0.2856</v>
      </c>
      <c r="CB27" s="90" t="n">
        <f aca="false">INDEX(in_mkt_listing_3463,1,C27)*(1-IF(sku_flute_3463="B",T27,0))*(1-S27)*N27</f>
        <v>0.3128</v>
      </c>
      <c r="CC27" s="90" t="n">
        <f aca="false">INDEX(in_mkt_listing_3460,1,C27)*(1-IF(sku_flute_3460="B",T27,0))*(1-S27)*N27</f>
        <v>0.256</v>
      </c>
      <c r="CD27" s="88" t="n">
        <f aca="false">BT27*CA27+BU27*CB27+BV27*CC27</f>
        <v>23429.9814</v>
      </c>
      <c r="CE27" s="88" t="n">
        <f aca="false">CD27-BM27</f>
        <v>6435.01262234844</v>
      </c>
      <c r="CF27" s="87" t="n">
        <f aca="false">IF(CD27&gt;0,CE27/CD27,0)</f>
        <v>0.274648644080803</v>
      </c>
      <c r="CG27" s="87" t="n">
        <f aca="false">W27+INDEX(in_sel_processing,1,C27)+INDEX(in_sel_bad_debt,1,C27)</f>
        <v>0.0325</v>
      </c>
      <c r="CH27" s="88" t="n">
        <f aca="false">CD27*CG27</f>
        <v>761.4743955</v>
      </c>
      <c r="CI27" s="88" t="n">
        <f aca="false">INDEX(in_sel_testing,1,C27)*X27+INDEX(in_sel_admin,1,C27)</f>
        <v>1250</v>
      </c>
      <c r="CJ27" s="79" t="n">
        <f aca="false">INDEX(in_sup_lead_days,1,C27)</f>
        <v>14</v>
      </c>
      <c r="CK27" s="79" t="n">
        <f aca="false">CJ27+INDEX(in_oce_transit,1,C27)+IF(F27=4,INDEX(in_oce_lcl_extra_days,1,C27),0)</f>
        <v>39</v>
      </c>
      <c r="CL27" s="79" t="n">
        <f aca="false">CK27+2+INDEX(in_cus_dem_days,1,C27)</f>
        <v>41</v>
      </c>
      <c r="CM27" s="79" t="n">
        <f aca="false">CL27+U27</f>
        <v>71</v>
      </c>
      <c r="CN27" s="79" t="n">
        <f aca="false">CJ27+INDEX(in_sup_vat_lag,1,C27)</f>
        <v>44</v>
      </c>
      <c r="CO27" s="91" t="n">
        <f aca="false">INDEX(in_sup_advance,1,C27)</f>
        <v>0.5</v>
      </c>
      <c r="CP27" s="88" t="n">
        <f aca="false">CO27*(AL27+AM27)+AO27+INDEX(in_sel_testing,1,C27)*X27</f>
        <v>7000.08733974359</v>
      </c>
      <c r="CQ27" s="88" t="n">
        <f aca="false">(1-CO27)*(AL27+AM27)+AR27+AU27+AZ27</f>
        <v>9735.81261446886</v>
      </c>
      <c r="CR27" s="88" t="n">
        <f aca="false">BB27+BC27+BD27+BF27+BJ27</f>
        <v>441.568823439103</v>
      </c>
      <c r="CS27" s="88" t="n">
        <f aca="false">BK27+BL27</f>
        <v>817.5</v>
      </c>
      <c r="CT27" s="88" t="n">
        <f aca="false">IF(K27=2,AM27,0)</f>
        <v>0</v>
      </c>
      <c r="CU27" s="85" t="n">
        <f aca="false">IF(K27=2,CO27*AM27*(CN27-0)+(1-CO27)*AM27*(CN27-CJ27),0)</f>
        <v>0</v>
      </c>
      <c r="CV27" s="85" t="n">
        <f aca="false">(CP27-CO27*CT27)*(CM27-0)+(CQ27-(1-CO27)*CT27)*(CM27-CJ27)+CR27*(CM27-CK27)+CS27*(CM27-CL27)</f>
        <v>1090602.72249657</v>
      </c>
      <c r="CW27" s="88" t="n">
        <f aca="false">INDEX(in_sel_fin_rate,1,C27)/365*(CU27+CV27)</f>
        <v>239.036213149933</v>
      </c>
      <c r="CX27" s="85" t="n">
        <f aca="false">CP27-IF(CN27&lt;=0,CT27,0)</f>
        <v>7000.08733974359</v>
      </c>
      <c r="CY27" s="85" t="n">
        <f aca="false">CP27+CQ27-IF(CN27&lt;=CJ27,CT27,0)</f>
        <v>16735.8999542125</v>
      </c>
      <c r="CZ27" s="85" t="n">
        <f aca="false">CP27+CQ27+CR27-IF(CN27&lt;=CK27,CT27,0)</f>
        <v>17177.4687776516</v>
      </c>
      <c r="DA27" s="85" t="n">
        <f aca="false">CP27+CQ27+CR27+CS27-IF(CN27&lt;=CL27,CT27,0)</f>
        <v>17994.9687776516</v>
      </c>
      <c r="DB27" s="88" t="n">
        <f aca="false">MAX(CX27,CY27,CZ27,DA27)</f>
        <v>17994.9687776516</v>
      </c>
      <c r="DC27" s="88" t="n">
        <f aca="false">CP27+CQ27+CR27+CS27</f>
        <v>17994.9687776516</v>
      </c>
      <c r="DD27" s="88" t="n">
        <f aca="false">CE27-CH27-CI27-CW27</f>
        <v>4184.50201369851</v>
      </c>
      <c r="DE27" s="87" t="n">
        <f aca="false">IF(CD27&gt;0,DD27/CD27,0)</f>
        <v>0.178596045052708</v>
      </c>
      <c r="DF27" s="86" t="n">
        <f aca="false">IF(CD27&gt;0,(BM27+CI27+CW27)/(CD27*(1-CG27)),0)</f>
        <v>0.815404604596684</v>
      </c>
      <c r="DG27" s="90" t="n">
        <f aca="false">IF(BW27&gt;0,BM27/BW27,0)</f>
        <v>0.207160347250523</v>
      </c>
      <c r="DH27" s="90" t="n">
        <f aca="false">IF(BW27&gt;0,CD27/BW27,0)</f>
        <v>0.2856</v>
      </c>
      <c r="DI27" s="90" t="n">
        <f aca="false">IF(AI27&gt;0,(AI27*IF(K27=3,INDEX(in_sup_vat_rate,1,C27),0)+AV27*BA27+(BC27+BD27)*AV27/AY27+AZ27*AI27/AL27)/AI27,0)</f>
        <v>0.00888060601494984</v>
      </c>
      <c r="DJ27" s="90" t="n">
        <f aca="false">IF(AJ27&gt;0,(AJ27*IF(K27=3,INDEX(in_sup_vat_rate,1,C27),0)+AW27*BA27+(BC27+BD27)*AW27/AY27+AZ27*AJ27/AL27)/AJ27,0)</f>
        <v>0</v>
      </c>
      <c r="DK27" s="90" t="n">
        <f aca="false">IF(AK27&gt;0,(AK27*IF(K27=3,INDEX(in_sup_vat_rate,1,C27),0)+AX27*BA27+(BC27+BD27)*AX27/AY27+AZ27*AK27/AL27)/AK27,0)</f>
        <v>0</v>
      </c>
      <c r="DL27" s="90" t="n">
        <f aca="false">IF(Y27&gt;0,(BP27-AI27*(1+DI27))/Y27,0)</f>
        <v>0.0592871470554915</v>
      </c>
      <c r="DM27" s="90" t="n">
        <f aca="false">IF(Z27&gt;0,(BQ27-AJ27*(1+DJ27))/Z27,0)</f>
        <v>0</v>
      </c>
      <c r="DN27" s="90" t="n">
        <f aca="false">IF(AA27&gt;0,(BR27-AK27*(1+DK27))/AA27,0)</f>
        <v>0</v>
      </c>
      <c r="DO27" s="86" t="n">
        <f aca="false">IF(Y27&gt;0,(CA27*(1-thr_gm_go)*(1-R27)-DL27)/(1+DI27)*I27/((1+AH27)*J27),"")</f>
        <v>8.76402819300888</v>
      </c>
      <c r="DP27" s="86" t="str">
        <f aca="false">IF(Z27&gt;0,(CB27*(1-thr_gm_go)*(1-R27)-DM27)/(1+DJ27)*I27/((1+AH27)*J27),"")</f>
        <v/>
      </c>
      <c r="DQ27" s="86" t="str">
        <f aca="false">IF(AA27&gt;0,(CC27*(1-thr_gm_go)*(1-R27)-DN27)/(1+DK27)*I27/((1+AH27)*J27),"")</f>
        <v/>
      </c>
      <c r="DR27" s="92" t="n">
        <f aca="false">IF(AND(AY27*INDEX(in_cus_mpf_rate,1,C27)&gt;INDEX(in_cus_mpf_min,1,C27),AY27*INDEX(in_cus_mpf_rate,1,C27)&lt;INDEX(in_cus_mpf_max,1,C27)),INDEX(in_cus_mpf_rate,1,C27),0)</f>
        <v>0.003464</v>
      </c>
      <c r="DS27" s="88" t="n">
        <f aca="false">IF(AZ27&gt;INDEX(in_oce_ins_min,1,C27),INDEX(in_oce_ins_rate,1,C27)*(1+INDEX(in_oce_ins_uplift,1,C27))*AL27,0)</f>
        <v>0</v>
      </c>
      <c r="DT27" s="88" t="n">
        <f aca="false">(AL27+AN27)*(1+BA27+INDEX(in_cus_hmf,1,C27)+DR27)+DS27</f>
        <v>12056.7435029263</v>
      </c>
      <c r="DU27" s="86" t="n">
        <f aca="false">IF(DT27&gt;0,(CD27*(1-thr_gm_go)-(BM27-DT27))/DT27,0)</f>
        <v>1.04789993850398</v>
      </c>
      <c r="DV27" s="86" t="n">
        <f aca="false">IF(DT27&gt;0,(CD27-(BM27-DT27))/DT27,0)</f>
        <v>1.53372725568779</v>
      </c>
      <c r="DW27" s="87" t="n">
        <f aca="false">(1+AH27)*J27*DU27-1</f>
        <v>-0.004495058421218</v>
      </c>
      <c r="DX27" s="87" t="n">
        <f aca="false">(1+AH27)*J27*DV27-1</f>
        <v>0.457040892903401</v>
      </c>
      <c r="DY27" s="85" t="n">
        <f aca="false">IF(G27&gt;0,(CD27*(1-thr_gm_go)-(BM27-AT27))/G27,"")</f>
        <v>3477.51727234844</v>
      </c>
      <c r="DZ27" s="90" t="n">
        <f aca="false">IF(AB27&gt;0,(AL27+AN27+BB27+BC27+BD27)/AB27,0)</f>
        <v>0.146230970320513</v>
      </c>
      <c r="EA27" s="88" t="n">
        <f aca="false">BM27-DZ27*AB27</f>
        <v>4938.22527472527</v>
      </c>
      <c r="EB27" s="90" t="n">
        <f aca="false">IF(AB27&gt;0,CD27/AB27,0)</f>
        <v>0.284172</v>
      </c>
      <c r="EC27" s="85" t="n">
        <f aca="false">IF(EB27*(1-thr_gm_go)-DZ27&gt;0,EA27/(EB27*(1-thr_gm_go)-DZ27),"n/a")</f>
        <v>73817.2005720443</v>
      </c>
      <c r="ED27" s="85" t="n">
        <f aca="false">IF(EB27-DZ27&gt;0,EA27/(EB27-DZ27),"n/a")</f>
        <v>35799.5390218522</v>
      </c>
      <c r="EE27" s="93" t="b">
        <f aca="false">INDEX(cfg_fits,D27,C27)</f>
        <v>1</v>
      </c>
      <c r="EF27" s="87" t="n">
        <f aca="false">IF(F27=4,"",INDEX(cfg_lenutil,D27,C27))</f>
        <v>0.991198658843252</v>
      </c>
      <c r="EG27" s="31" t="str">
        <f aca="false">IF(O27&gt;1,"Check fit (units scaled up)","")</f>
        <v/>
      </c>
    </row>
    <row r="28" customFormat="false" ht="15" hidden="false" customHeight="false" outlineLevel="0" collapsed="false">
      <c r="A28" s="78" t="n">
        <v>1054</v>
      </c>
      <c r="B28" s="9" t="s">
        <v>3176</v>
      </c>
      <c r="C28" s="78" t="n">
        <v>1</v>
      </c>
      <c r="D28" s="78" t="n">
        <v>5</v>
      </c>
      <c r="E28" s="78" t="n">
        <v>4</v>
      </c>
      <c r="F28" s="79" t="n">
        <f aca="false">INDEX(cfg_ct,D28)</f>
        <v>3</v>
      </c>
      <c r="G28" s="79" t="n">
        <f aca="false">INDEX(cfg_n,D28)</f>
        <v>1</v>
      </c>
      <c r="H28" s="79" t="n">
        <f aca="false">INDEX(dest_port,E28)</f>
        <v>3</v>
      </c>
      <c r="I28" s="80" t="n">
        <f aca="false">INDEX(in_fx_cbe,1,C28)*(1-INDEX(in_fx_spread,1,C28))</f>
        <v>54.6</v>
      </c>
      <c r="J28" s="81" t="n">
        <f aca="false">1</f>
        <v>1</v>
      </c>
      <c r="K28" s="82" t="n">
        <f aca="false">INDEX(in_sup_vat_mode,1,C28)</f>
        <v>1</v>
      </c>
      <c r="L28" s="83" t="n">
        <f aca="false">INDEX(in_cus_s301,1,C28)</f>
        <v>0</v>
      </c>
      <c r="M28" s="84" t="n">
        <f aca="false">1</f>
        <v>1</v>
      </c>
      <c r="N28" s="81" t="n">
        <f aca="false">1</f>
        <v>1</v>
      </c>
      <c r="O28" s="81" t="n">
        <f aca="false">1</f>
        <v>1</v>
      </c>
      <c r="P28" s="81" t="n">
        <f aca="false">1</f>
        <v>1</v>
      </c>
      <c r="Q28" s="81" t="n">
        <f aca="false">1</f>
        <v>1</v>
      </c>
      <c r="R28" s="83" t="n">
        <f aca="false">INDEX(in_sel_damage,1,C28)</f>
        <v>0.005</v>
      </c>
      <c r="S28" s="83" t="n">
        <f aca="false">INDEX(in_mkt_dist_margin,1,C28)</f>
        <v>0.2</v>
      </c>
      <c r="T28" s="83" t="n">
        <f aca="false">INDEX(in_mkt_eflute_disc,1,C28)</f>
        <v>0.15</v>
      </c>
      <c r="U28" s="82" t="n">
        <f aca="false">INDEX(in_sel_credit_days,1,C28)</f>
        <v>30</v>
      </c>
      <c r="V28" s="81" t="n">
        <f aca="false">1</f>
        <v>1</v>
      </c>
      <c r="W28" s="83" t="n">
        <f aca="false">INDEX(in_sel_commission,1,C28)</f>
        <v>0.03</v>
      </c>
      <c r="X28" s="82" t="n">
        <f aca="false">1</f>
        <v>1</v>
      </c>
      <c r="Y28" s="85" t="n">
        <f aca="false">INDEX(cfg_u_3464,D28,C28)*O28</f>
        <v>82450</v>
      </c>
      <c r="Z28" s="85" t="n">
        <f aca="false">INDEX(cfg_u_3463,D28,C28)*O28</f>
        <v>0</v>
      </c>
      <c r="AA28" s="85" t="n">
        <f aca="false">INDEX(cfg_u_3460,D28,C28)*O28</f>
        <v>0</v>
      </c>
      <c r="AB28" s="85" t="n">
        <f aca="false">Y28+Z28+AA28</f>
        <v>82450</v>
      </c>
      <c r="AC28" s="86" t="n">
        <f aca="false">Y28*INDEX(lg_vpu_3464,C28)</f>
        <v>54.9883785</v>
      </c>
      <c r="AD28" s="86" t="n">
        <f aca="false">Z28*INDEX(lg_vpu_3463,C28)</f>
        <v>0</v>
      </c>
      <c r="AE28" s="86" t="n">
        <f aca="false">AA28*INDEX(lg_vpu_3460,C28)</f>
        <v>0</v>
      </c>
      <c r="AF28" s="86" t="n">
        <f aca="false">AC28+AD28+AE28</f>
        <v>54.9883785</v>
      </c>
      <c r="AG28" s="85" t="n">
        <f aca="false">Y28*INDEX(lg_kpu_3464,C28)+Z28*INDEX(lg_kpu_3463,C28)+AA28*INDEX(lg_kpu_3460,C28)</f>
        <v>13441.777328</v>
      </c>
      <c r="AH28" s="87" t="n">
        <f aca="false">INDEX(in_sup_requote,1,C28)</f>
        <v>-0.05</v>
      </c>
      <c r="AI28" s="88" t="n">
        <f aca="false">Y28*q_price_3464*(1+AH28)*J28/I28</f>
        <v>12000.1746794872</v>
      </c>
      <c r="AJ28" s="88" t="n">
        <f aca="false">Z28*q_price_3463*(1+AH28)*J28/I28</f>
        <v>0</v>
      </c>
      <c r="AK28" s="88" t="n">
        <f aca="false">AA28*q_price_3460*(1+AH28)*J28/I28</f>
        <v>0</v>
      </c>
      <c r="AL28" s="88" t="n">
        <f aca="false">AI28+AJ28+AK28</f>
        <v>12000.1746794872</v>
      </c>
      <c r="AM28" s="88" t="n">
        <f aca="false">IF(OR(K28=2,K28=3),AL28*INDEX(in_sup_vat_rate,1,C28),0)</f>
        <v>0</v>
      </c>
      <c r="AN28" s="88" t="n">
        <f aca="false">IF(K28=3,AM28,0)</f>
        <v>0</v>
      </c>
      <c r="AO28" s="88" t="n">
        <f aca="false">INDEX(in_sup_tooling_egp,1,C28)/I28</f>
        <v>0</v>
      </c>
      <c r="AP28" s="88" t="n">
        <f aca="false">IF(F28=4,INDEX(in_ori_lcl_truck,1,C28)*V28/I28+INDEX(in_ori_lcl_cfs_o,1,C28),G28*(IF(F28=1,INDEX(in_ori_truck_20,1,C28),INDEX(in_ori_truck_40,1,C28))*V28/I28+INDEX(in_ori_terminal,1,C28)+IF(F28=1,INDEX(in_ori_othc_20,1,C28),INDEX(in_ori_othc_40,1,C28))*(1-INDEX(in_ori_othc_in_freight,1,C28))+INDEX(in_ori_seal,1,C28)+INDEX(in_ori_inspection,1,C28)+INDEX(in_ori_dd_days,1,C28)*IF(F28=1,INDEX(in_ori_dd_20,1,C28),INDEX(in_ori_dd_40,1,C28))+INDEX(in_ori_loading_egp,1,C28)/I28))</f>
        <v>457.465201465201</v>
      </c>
      <c r="AQ28" s="88" t="n">
        <f aca="false">(INDEX(in_ori_clearance,1,C28)+INDEX(in_ori_coo,1,C28))/I28+INDEX(in_ori_bl_fee,1,C28)+INDEX(in_ori_fwd_fee,1,C28)+INDEX(in_ori_qc,1,C28)+INDEX(in_ori_wires,1,C28)*INDEX(in_ori_wire_fee,1,C28)</f>
        <v>298.260073260073</v>
      </c>
      <c r="AR28" s="88" t="n">
        <f aca="false">AP28+AQ28</f>
        <v>755.725274725275</v>
      </c>
      <c r="AS28" s="85" t="n">
        <f aca="false">INDEX(tbl_port_diff,H28,C28)</f>
        <v>0</v>
      </c>
      <c r="AT28" s="88" t="n">
        <f aca="false">IF(F28=4,MAX(AF28*INDEX(in_oce_lcl_factor,1,C28),AG28/1000,1)*INDEX(in_oce_lcl_rate,1,C28)*M28,G28*(INDEX(tbl_ocean_rate,MIN(F28,3),C28)+AS28)*M28)</f>
        <v>2900</v>
      </c>
      <c r="AU28" s="88" t="n">
        <f aca="false">AT28+INDEX(in_oce_ams,1,C28)</f>
        <v>2930</v>
      </c>
      <c r="AV28" s="88" t="n">
        <f aca="false">AI28*(1+IF(K28=3,INDEX(in_sup_vat_rate,1,C28),0))+AO28*Y28/AB28</f>
        <v>12000.1746794872</v>
      </c>
      <c r="AW28" s="88" t="n">
        <f aca="false">AJ28*(1+IF(K28=3,INDEX(in_sup_vat_rate,1,C28),0))+AO28*Z28/AB28</f>
        <v>0</v>
      </c>
      <c r="AX28" s="88" t="n">
        <f aca="false">AK28*(1+IF(K28=3,INDEX(in_sup_vat_rate,1,C28),0))+AO28*AA28/AB28</f>
        <v>0</v>
      </c>
      <c r="AY28" s="88" t="n">
        <f aca="false">AV28+AW28+AX28</f>
        <v>12000.1746794872</v>
      </c>
      <c r="AZ28" s="88" t="n">
        <f aca="false">MAX(INDEX(in_oce_ins_min,1,C28),INDEX(in_oce_ins_rate,1,C28)*(1+INDEX(in_oce_ins_uplift,1,C28))*(AL28+AO28+AR28+AU28))*(1-INDEX(in_oce_ins_in_other,1,C28))</f>
        <v>50</v>
      </c>
      <c r="BA28" s="87" t="n">
        <f aca="false">INDEX(in_cus_mfn,1,C28)+L28</f>
        <v>0</v>
      </c>
      <c r="BB28" s="88" t="n">
        <f aca="false">AY28*BA28</f>
        <v>0</v>
      </c>
      <c r="BC28" s="88" t="n">
        <f aca="false">MIN(MAX(AY28*INDEX(in_cus_mpf_rate,1,C28),INDEX(in_cus_mpf_min,1,C28)),INDEX(in_cus_mpf_max,1,C28))</f>
        <v>41.5686050897436</v>
      </c>
      <c r="BD28" s="88" t="n">
        <f aca="false">AY28*INDEX(in_cus_hmf,1,C28)</f>
        <v>15.000218349359</v>
      </c>
      <c r="BE28" s="88" t="n">
        <f aca="false">MAX(INDEX(in_cus_stb_min,1,C28),INDEX(in_cus_stb_rate,1,C28)/1000*(AY28+BB28+BC28+BD28))</f>
        <v>50</v>
      </c>
      <c r="BF28" s="88" t="n">
        <f aca="false">INDEX(in_cus_broker,1,C28)+INDEX(in_cus_isf,1,C28)+INDEX(in_cus_do_fee,1,C28)+BE28+INDEX(in_cus_isf_bond,1,C28)</f>
        <v>385</v>
      </c>
      <c r="BG28" s="88" t="n">
        <f aca="false">IF(H28=1,INDEX(in_cus_cfc,1,C28)*INDEX(ct_teu,F28)*G28*(1-INDEX(in_cus_cfc_in_freight,1,C28)),0)</f>
        <v>0</v>
      </c>
      <c r="BH28" s="88" t="n">
        <f aca="false">IF(F28=4,1,G28)*(INDEX(in_cus_exam,1,C28)+INDEX(in_cus_exam_dray,1,C28))</f>
        <v>0</v>
      </c>
      <c r="BI28" s="88" t="n">
        <f aca="false">IF(F28=4,1,G28)*INDEX(in_cus_dem_days,1,C28)*INDEX(in_cus_dem_rate,1,C28)</f>
        <v>0</v>
      </c>
      <c r="BJ28" s="88" t="n">
        <f aca="false">BG28+BH28+BI28</f>
        <v>0</v>
      </c>
      <c r="BK28" s="88" t="n">
        <f aca="false">IF(F28=4,(INDEX(in_dra_lcl_cfs_d,1,C28)+INDEX(in_dra_lcl_deliv,1,C28))*P28,G28*(INDEX(tbl_dest_line,E28,C28)*P28*(1+INDEX(in_dra_fsc,1,C28))+INDEX(tbl_dest_tolls,E28,C28)+INDEX(in_dra_chassis_days,1,C28)*INDEX(tbl_dest_chassis,E28,C28)*(1-INDEX(in_dra_chassis_in_dray,1,C28))+INDEX(in_dra_wait_hours,1,C28)*INDEX(in_dra_wait_rate,1,C28)+INDEX(in_dra_split,1,C28)+INDEX(in_dra_prepull,1,C28)+INDEX(in_dra_dryrun,1,C28)))</f>
        <v>1027.5</v>
      </c>
      <c r="BL28" s="88" t="n">
        <f aca="false">IF(F28=4,0,G28*IF(F28=1,INDEX(in_dra_unload_20,1,C28),INDEX(in_dra_unload_40,1,C28))*Q28*(1-INDEX(in_dra_unload_in_dray,1,C28)))</f>
        <v>250</v>
      </c>
      <c r="BM28" s="88" t="n">
        <f aca="false">AL28+AN28+AO28+AR28+AU28+AZ28+BB28+BC28+BD28+BF28+BJ28+BK28+BL28</f>
        <v>17454.9687776516</v>
      </c>
      <c r="BN28" s="88" t="n">
        <f aca="false">AP28+AU28+BJ28+BK28+BL28</f>
        <v>4664.9652014652</v>
      </c>
      <c r="BO28" s="88" t="n">
        <f aca="false">AQ28+BF28</f>
        <v>683.260073260073</v>
      </c>
      <c r="BP28" s="88" t="n">
        <f aca="false">AI28*(1+IF(K28=3,INDEX(in_sup_vat_rate,1,C28),0))+AO28*Y28/AB28+AV28*BA28+(BC28+BD28)*AV28/AY28+AZ28*AI28/AL28+BN28*AC28/AF28+BO28*Y28/AB28</f>
        <v>17454.9687776516</v>
      </c>
      <c r="BQ28" s="88" t="n">
        <f aca="false">AJ28*(1+IF(K28=3,INDEX(in_sup_vat_rate,1,C28),0))+AO28*Z28/AB28+AW28*BA28+(BC28+BD28)*AW28/AY28+AZ28*AJ28/AL28+BN28*AD28/AF28+BO28*Z28/AB28</f>
        <v>0</v>
      </c>
      <c r="BR28" s="88" t="n">
        <f aca="false">AK28*(1+IF(K28=3,INDEX(in_sup_vat_rate,1,C28),0))+AO28*AA28/AB28+AX28*BA28+(BC28+BD28)*AX28/AY28+AZ28*AK28/AL28+BN28*AE28/AF28+BO28*AA28/AB28</f>
        <v>0</v>
      </c>
      <c r="BS28" s="89" t="n">
        <f aca="false">BP28+BQ28+BR28-BM28</f>
        <v>0</v>
      </c>
      <c r="BT28" s="85" t="n">
        <f aca="false">Y28*(1-R28)</f>
        <v>82037.75</v>
      </c>
      <c r="BU28" s="85" t="n">
        <f aca="false">Z28*(1-R28)</f>
        <v>0</v>
      </c>
      <c r="BV28" s="85" t="n">
        <f aca="false">AA28*(1-R28)</f>
        <v>0</v>
      </c>
      <c r="BW28" s="85" t="n">
        <f aca="false">BT28+BU28+BV28</f>
        <v>82037.75</v>
      </c>
      <c r="BX28" s="90" t="n">
        <f aca="false">IF(BT28&gt;0,BP28/BT28,0)</f>
        <v>0.212767521996295</v>
      </c>
      <c r="BY28" s="90" t="n">
        <f aca="false">IF(BU28&gt;0,BQ28/BU28,0)</f>
        <v>0</v>
      </c>
      <c r="BZ28" s="90" t="n">
        <f aca="false">IF(BV28&gt;0,BR28/BV28,0)</f>
        <v>0</v>
      </c>
      <c r="CA28" s="90" t="n">
        <f aca="false">INDEX(in_mkt_listing_3464,1,C28)*(1-IF(sku_flute_3464="B",T28,0))*(1-S28)*N28</f>
        <v>0.2856</v>
      </c>
      <c r="CB28" s="90" t="n">
        <f aca="false">INDEX(in_mkt_listing_3463,1,C28)*(1-IF(sku_flute_3463="B",T28,0))*(1-S28)*N28</f>
        <v>0.3128</v>
      </c>
      <c r="CC28" s="90" t="n">
        <f aca="false">INDEX(in_mkt_listing_3460,1,C28)*(1-IF(sku_flute_3460="B",T28,0))*(1-S28)*N28</f>
        <v>0.256</v>
      </c>
      <c r="CD28" s="88" t="n">
        <f aca="false">BT28*CA28+BU28*CB28+BV28*CC28</f>
        <v>23429.9814</v>
      </c>
      <c r="CE28" s="88" t="n">
        <f aca="false">CD28-BM28</f>
        <v>5975.01262234844</v>
      </c>
      <c r="CF28" s="87" t="n">
        <f aca="false">IF(CD28&gt;0,CE28/CD28,0)</f>
        <v>0.255015679284681</v>
      </c>
      <c r="CG28" s="87" t="n">
        <f aca="false">W28+INDEX(in_sel_processing,1,C28)+INDEX(in_sel_bad_debt,1,C28)</f>
        <v>0.0325</v>
      </c>
      <c r="CH28" s="88" t="n">
        <f aca="false">CD28*CG28</f>
        <v>761.4743955</v>
      </c>
      <c r="CI28" s="88" t="n">
        <f aca="false">INDEX(in_sel_testing,1,C28)*X28+INDEX(in_sel_admin,1,C28)</f>
        <v>1250</v>
      </c>
      <c r="CJ28" s="79" t="n">
        <f aca="false">INDEX(in_sup_lead_days,1,C28)</f>
        <v>14</v>
      </c>
      <c r="CK28" s="79" t="n">
        <f aca="false">CJ28+INDEX(in_oce_transit,1,C28)+IF(F28=4,INDEX(in_oce_lcl_extra_days,1,C28),0)</f>
        <v>39</v>
      </c>
      <c r="CL28" s="79" t="n">
        <f aca="false">CK28+2+INDEX(in_cus_dem_days,1,C28)</f>
        <v>41</v>
      </c>
      <c r="CM28" s="79" t="n">
        <f aca="false">CL28+U28</f>
        <v>71</v>
      </c>
      <c r="CN28" s="79" t="n">
        <f aca="false">CJ28+INDEX(in_sup_vat_lag,1,C28)</f>
        <v>44</v>
      </c>
      <c r="CO28" s="91" t="n">
        <f aca="false">INDEX(in_sup_advance,1,C28)</f>
        <v>0.5</v>
      </c>
      <c r="CP28" s="88" t="n">
        <f aca="false">CO28*(AL28+AM28)+AO28+INDEX(in_sel_testing,1,C28)*X28</f>
        <v>7000.08733974359</v>
      </c>
      <c r="CQ28" s="88" t="n">
        <f aca="false">(1-CO28)*(AL28+AM28)+AR28+AU28+AZ28</f>
        <v>9735.81261446886</v>
      </c>
      <c r="CR28" s="88" t="n">
        <f aca="false">BB28+BC28+BD28+BF28+BJ28</f>
        <v>441.568823439103</v>
      </c>
      <c r="CS28" s="88" t="n">
        <f aca="false">BK28+BL28</f>
        <v>1277.5</v>
      </c>
      <c r="CT28" s="88" t="n">
        <f aca="false">IF(K28=2,AM28,0)</f>
        <v>0</v>
      </c>
      <c r="CU28" s="85" t="n">
        <f aca="false">IF(K28=2,CO28*AM28*(CN28-0)+(1-CO28)*AM28*(CN28-CJ28),0)</f>
        <v>0</v>
      </c>
      <c r="CV28" s="85" t="n">
        <f aca="false">(CP28-CO28*CT28)*(CM28-0)+(CQ28-(1-CO28)*CT28)*(CM28-CJ28)+CR28*(CM28-CK28)+CS28*(CM28-CL28)</f>
        <v>1104402.72249657</v>
      </c>
      <c r="CW28" s="88" t="n">
        <f aca="false">INDEX(in_sel_fin_rate,1,C28)/365*(CU28+CV28)</f>
        <v>242.06087068418</v>
      </c>
      <c r="CX28" s="85" t="n">
        <f aca="false">CP28-IF(CN28&lt;=0,CT28,0)</f>
        <v>7000.08733974359</v>
      </c>
      <c r="CY28" s="85" t="n">
        <f aca="false">CP28+CQ28-IF(CN28&lt;=CJ28,CT28,0)</f>
        <v>16735.8999542125</v>
      </c>
      <c r="CZ28" s="85" t="n">
        <f aca="false">CP28+CQ28+CR28-IF(CN28&lt;=CK28,CT28,0)</f>
        <v>17177.4687776516</v>
      </c>
      <c r="DA28" s="85" t="n">
        <f aca="false">CP28+CQ28+CR28+CS28-IF(CN28&lt;=CL28,CT28,0)</f>
        <v>18454.9687776516</v>
      </c>
      <c r="DB28" s="88" t="n">
        <f aca="false">MAX(CX28,CY28,CZ28,DA28)</f>
        <v>18454.9687776516</v>
      </c>
      <c r="DC28" s="88" t="n">
        <f aca="false">CP28+CQ28+CR28+CS28</f>
        <v>18454.9687776516</v>
      </c>
      <c r="DD28" s="88" t="n">
        <f aca="false">CE28-CH28-CI28-CW28</f>
        <v>3721.47735616426</v>
      </c>
      <c r="DE28" s="87" t="n">
        <f aca="false">IF(CD28&gt;0,DD28/CD28,0)</f>
        <v>0.158833986789433</v>
      </c>
      <c r="DF28" s="86" t="n">
        <f aca="false">IF(CD28&gt;0,(BM28+CI28+CW28)/(CD28*(1-CG28)),0)</f>
        <v>0.835830504610405</v>
      </c>
      <c r="DG28" s="90" t="n">
        <f aca="false">IF(BW28&gt;0,BM28/BW28,0)</f>
        <v>0.212767521996295</v>
      </c>
      <c r="DH28" s="90" t="n">
        <f aca="false">IF(BW28&gt;0,CD28/BW28,0)</f>
        <v>0.2856</v>
      </c>
      <c r="DI28" s="90" t="n">
        <f aca="false">IF(AI28&gt;0,(AI28*IF(K28=3,INDEX(in_sup_vat_rate,1,C28),0)+AV28*BA28+(BC28+BD28)*AV28/AY28+AZ28*AI28/AL28)/AI28,0)</f>
        <v>0.00888060601494984</v>
      </c>
      <c r="DJ28" s="90" t="n">
        <f aca="false">IF(AJ28&gt;0,(AJ28*IF(K28=3,INDEX(in_sup_vat_rate,1,C28),0)+AW28*BA28+(BC28+BD28)*AW28/AY28+AZ28*AJ28/AL28)/AJ28,0)</f>
        <v>0</v>
      </c>
      <c r="DK28" s="90" t="n">
        <f aca="false">IF(AK28&gt;0,(AK28*IF(K28=3,INDEX(in_sup_vat_rate,1,C28),0)+AX28*BA28+(BC28+BD28)*AX28/AY28+AZ28*AK28/AL28)/AK28,0)</f>
        <v>0</v>
      </c>
      <c r="DL28" s="90" t="n">
        <f aca="false">IF(Y28&gt;0,(BP28-AI28*(1+DI28))/Y28,0)</f>
        <v>0.0648662859275352</v>
      </c>
      <c r="DM28" s="90" t="n">
        <f aca="false">IF(Z28&gt;0,(BQ28-AJ28*(1+DJ28))/Z28,0)</f>
        <v>0</v>
      </c>
      <c r="DN28" s="90" t="n">
        <f aca="false">IF(AA28&gt;0,(BR28-AK28*(1+DK28))/AA28,0)</f>
        <v>0</v>
      </c>
      <c r="DO28" s="86" t="n">
        <f aca="false">IF(Y28&gt;0,(CA28*(1-thr_gm_go)*(1-R28)-DL28)/(1+DI28)*I28/((1+AH28)*J28),"")</f>
        <v>8.44619706037855</v>
      </c>
      <c r="DP28" s="86" t="str">
        <f aca="false">IF(Z28&gt;0,(CB28*(1-thr_gm_go)*(1-R28)-DM28)/(1+DJ28)*I28/((1+AH28)*J28),"")</f>
        <v/>
      </c>
      <c r="DQ28" s="86" t="str">
        <f aca="false">IF(AA28&gt;0,(CC28*(1-thr_gm_go)*(1-R28)-DN28)/(1+DK28)*I28/((1+AH28)*J28),"")</f>
        <v/>
      </c>
      <c r="DR28" s="92" t="n">
        <f aca="false">IF(AND(AY28*INDEX(in_cus_mpf_rate,1,C28)&gt;INDEX(in_cus_mpf_min,1,C28),AY28*INDEX(in_cus_mpf_rate,1,C28)&lt;INDEX(in_cus_mpf_max,1,C28)),INDEX(in_cus_mpf_rate,1,C28),0)</f>
        <v>0.003464</v>
      </c>
      <c r="DS28" s="88" t="n">
        <f aca="false">IF(AZ28&gt;INDEX(in_oce_ins_min,1,C28),INDEX(in_oce_ins_rate,1,C28)*(1+INDEX(in_oce_ins_uplift,1,C28))*AL28,0)</f>
        <v>0</v>
      </c>
      <c r="DT28" s="88" t="n">
        <f aca="false">(AL28+AN28)*(1+BA28+INDEX(in_cus_hmf,1,C28)+DR28)+DS28</f>
        <v>12056.7435029263</v>
      </c>
      <c r="DU28" s="86" t="n">
        <f aca="false">IF(DT28&gt;0,(CD28*(1-thr_gm_go)-(BM28-DT28))/DT28,0)</f>
        <v>1.00974701604292</v>
      </c>
      <c r="DV28" s="86" t="n">
        <f aca="false">IF(DT28&gt;0,(CD28-(BM28-DT28))/DT28,0)</f>
        <v>1.49557433322673</v>
      </c>
      <c r="DW28" s="87" t="n">
        <f aca="false">(1+AH28)*J28*DU28-1</f>
        <v>-0.0407403347592222</v>
      </c>
      <c r="DX28" s="87" t="n">
        <f aca="false">(1+AH28)*J28*DV28-1</f>
        <v>0.420795616565397</v>
      </c>
      <c r="DY28" s="85" t="n">
        <f aca="false">IF(G28&gt;0,(CD28*(1-thr_gm_go)-(BM28-AT28))/G28,"")</f>
        <v>3017.51727234844</v>
      </c>
      <c r="DZ28" s="90" t="n">
        <f aca="false">IF(AB28&gt;0,(AL28+AN28+BB28+BC28+BD28)/AB28,0)</f>
        <v>0.146230970320513</v>
      </c>
      <c r="EA28" s="88" t="n">
        <f aca="false">BM28-DZ28*AB28</f>
        <v>5398.22527472527</v>
      </c>
      <c r="EB28" s="90" t="n">
        <f aca="false">IF(AB28&gt;0,CD28/AB28,0)</f>
        <v>0.284172</v>
      </c>
      <c r="EC28" s="85" t="n">
        <f aca="false">IF(EB28*(1-thr_gm_go)-DZ28&gt;0,EA28/(EB28*(1-thr_gm_go)-DZ28),"n/a")</f>
        <v>80693.3373163384</v>
      </c>
      <c r="ED28" s="85" t="n">
        <f aca="false">IF(EB28-DZ28&gt;0,EA28/(EB28-DZ28),"n/a")</f>
        <v>39134.2973680008</v>
      </c>
      <c r="EE28" s="93" t="b">
        <f aca="false">INDEX(cfg_fits,D28,C28)</f>
        <v>1</v>
      </c>
      <c r="EF28" s="87" t="n">
        <f aca="false">IF(F28=4,"",INDEX(cfg_lenutil,D28,C28))</f>
        <v>0.991198658843252</v>
      </c>
      <c r="EG28" s="31" t="str">
        <f aca="false">IF(O28&gt;1,"Check fit (units scaled up)","")</f>
        <v/>
      </c>
    </row>
    <row r="29" customFormat="false" ht="15" hidden="false" customHeight="false" outlineLevel="0" collapsed="false">
      <c r="A29" s="78" t="n">
        <v>1055</v>
      </c>
      <c r="B29" s="9" t="s">
        <v>3177</v>
      </c>
      <c r="C29" s="78" t="n">
        <v>1</v>
      </c>
      <c r="D29" s="78" t="n">
        <v>5</v>
      </c>
      <c r="E29" s="78" t="n">
        <v>5</v>
      </c>
      <c r="F29" s="79" t="n">
        <f aca="false">INDEX(cfg_ct,D29)</f>
        <v>3</v>
      </c>
      <c r="G29" s="79" t="n">
        <f aca="false">INDEX(cfg_n,D29)</f>
        <v>1</v>
      </c>
      <c r="H29" s="79" t="n">
        <f aca="false">INDEX(dest_port,E29)</f>
        <v>4</v>
      </c>
      <c r="I29" s="80" t="n">
        <f aca="false">INDEX(in_fx_cbe,1,C29)*(1-INDEX(in_fx_spread,1,C29))</f>
        <v>54.6</v>
      </c>
      <c r="J29" s="81" t="n">
        <f aca="false">1</f>
        <v>1</v>
      </c>
      <c r="K29" s="82" t="n">
        <f aca="false">INDEX(in_sup_vat_mode,1,C29)</f>
        <v>1</v>
      </c>
      <c r="L29" s="83" t="n">
        <f aca="false">INDEX(in_cus_s301,1,C29)</f>
        <v>0</v>
      </c>
      <c r="M29" s="84" t="n">
        <f aca="false">1</f>
        <v>1</v>
      </c>
      <c r="N29" s="81" t="n">
        <f aca="false">1</f>
        <v>1</v>
      </c>
      <c r="O29" s="81" t="n">
        <f aca="false">1</f>
        <v>1</v>
      </c>
      <c r="P29" s="81" t="n">
        <f aca="false">1</f>
        <v>1</v>
      </c>
      <c r="Q29" s="81" t="n">
        <f aca="false">1</f>
        <v>1</v>
      </c>
      <c r="R29" s="83" t="n">
        <f aca="false">INDEX(in_sel_damage,1,C29)</f>
        <v>0.005</v>
      </c>
      <c r="S29" s="83" t="n">
        <f aca="false">INDEX(in_mkt_dist_margin,1,C29)</f>
        <v>0.2</v>
      </c>
      <c r="T29" s="83" t="n">
        <f aca="false">INDEX(in_mkt_eflute_disc,1,C29)</f>
        <v>0.15</v>
      </c>
      <c r="U29" s="82" t="n">
        <f aca="false">INDEX(in_sel_credit_days,1,C29)</f>
        <v>30</v>
      </c>
      <c r="V29" s="81" t="n">
        <f aca="false">1</f>
        <v>1</v>
      </c>
      <c r="W29" s="83" t="n">
        <f aca="false">INDEX(in_sel_commission,1,C29)</f>
        <v>0.03</v>
      </c>
      <c r="X29" s="82" t="n">
        <f aca="false">1</f>
        <v>1</v>
      </c>
      <c r="Y29" s="85" t="n">
        <f aca="false">INDEX(cfg_u_3464,D29,C29)*O29</f>
        <v>82450</v>
      </c>
      <c r="Z29" s="85" t="n">
        <f aca="false">INDEX(cfg_u_3463,D29,C29)*O29</f>
        <v>0</v>
      </c>
      <c r="AA29" s="85" t="n">
        <f aca="false">INDEX(cfg_u_3460,D29,C29)*O29</f>
        <v>0</v>
      </c>
      <c r="AB29" s="85" t="n">
        <f aca="false">Y29+Z29+AA29</f>
        <v>82450</v>
      </c>
      <c r="AC29" s="86" t="n">
        <f aca="false">Y29*INDEX(lg_vpu_3464,C29)</f>
        <v>54.9883785</v>
      </c>
      <c r="AD29" s="86" t="n">
        <f aca="false">Z29*INDEX(lg_vpu_3463,C29)</f>
        <v>0</v>
      </c>
      <c r="AE29" s="86" t="n">
        <f aca="false">AA29*INDEX(lg_vpu_3460,C29)</f>
        <v>0</v>
      </c>
      <c r="AF29" s="86" t="n">
        <f aca="false">AC29+AD29+AE29</f>
        <v>54.9883785</v>
      </c>
      <c r="AG29" s="85" t="n">
        <f aca="false">Y29*INDEX(lg_kpu_3464,C29)+Z29*INDEX(lg_kpu_3463,C29)+AA29*INDEX(lg_kpu_3460,C29)</f>
        <v>13441.777328</v>
      </c>
      <c r="AH29" s="87" t="n">
        <f aca="false">INDEX(in_sup_requote,1,C29)</f>
        <v>-0.05</v>
      </c>
      <c r="AI29" s="88" t="n">
        <f aca="false">Y29*q_price_3464*(1+AH29)*J29/I29</f>
        <v>12000.1746794872</v>
      </c>
      <c r="AJ29" s="88" t="n">
        <f aca="false">Z29*q_price_3463*(1+AH29)*J29/I29</f>
        <v>0</v>
      </c>
      <c r="AK29" s="88" t="n">
        <f aca="false">AA29*q_price_3460*(1+AH29)*J29/I29</f>
        <v>0</v>
      </c>
      <c r="AL29" s="88" t="n">
        <f aca="false">AI29+AJ29+AK29</f>
        <v>12000.1746794872</v>
      </c>
      <c r="AM29" s="88" t="n">
        <f aca="false">IF(OR(K29=2,K29=3),AL29*INDEX(in_sup_vat_rate,1,C29),0)</f>
        <v>0</v>
      </c>
      <c r="AN29" s="88" t="n">
        <f aca="false">IF(K29=3,AM29,0)</f>
        <v>0</v>
      </c>
      <c r="AO29" s="88" t="n">
        <f aca="false">INDEX(in_sup_tooling_egp,1,C29)/I29</f>
        <v>0</v>
      </c>
      <c r="AP29" s="88" t="n">
        <f aca="false">IF(F29=4,INDEX(in_ori_lcl_truck,1,C29)*V29/I29+INDEX(in_ori_lcl_cfs_o,1,C29),G29*(IF(F29=1,INDEX(in_ori_truck_20,1,C29),INDEX(in_ori_truck_40,1,C29))*V29/I29+INDEX(in_ori_terminal,1,C29)+IF(F29=1,INDEX(in_ori_othc_20,1,C29),INDEX(in_ori_othc_40,1,C29))*(1-INDEX(in_ori_othc_in_freight,1,C29))+INDEX(in_ori_seal,1,C29)+INDEX(in_ori_inspection,1,C29)+INDEX(in_ori_dd_days,1,C29)*IF(F29=1,INDEX(in_ori_dd_20,1,C29),INDEX(in_ori_dd_40,1,C29))+INDEX(in_ori_loading_egp,1,C29)/I29))</f>
        <v>457.465201465201</v>
      </c>
      <c r="AQ29" s="88" t="n">
        <f aca="false">(INDEX(in_ori_clearance,1,C29)+INDEX(in_ori_coo,1,C29))/I29+INDEX(in_ori_bl_fee,1,C29)+INDEX(in_ori_fwd_fee,1,C29)+INDEX(in_ori_qc,1,C29)+INDEX(in_ori_wires,1,C29)*INDEX(in_ori_wire_fee,1,C29)</f>
        <v>298.260073260073</v>
      </c>
      <c r="AR29" s="88" t="n">
        <f aca="false">AP29+AQ29</f>
        <v>755.725274725275</v>
      </c>
      <c r="AS29" s="85" t="n">
        <f aca="false">INDEX(tbl_port_diff,H29,C29)</f>
        <v>0</v>
      </c>
      <c r="AT29" s="88" t="n">
        <f aca="false">IF(F29=4,MAX(AF29*INDEX(in_oce_lcl_factor,1,C29),AG29/1000,1)*INDEX(in_oce_lcl_rate,1,C29)*M29,G29*(INDEX(tbl_ocean_rate,MIN(F29,3),C29)+AS29)*M29)</f>
        <v>2900</v>
      </c>
      <c r="AU29" s="88" t="n">
        <f aca="false">AT29+INDEX(in_oce_ams,1,C29)</f>
        <v>2930</v>
      </c>
      <c r="AV29" s="88" t="n">
        <f aca="false">AI29*(1+IF(K29=3,INDEX(in_sup_vat_rate,1,C29),0))+AO29*Y29/AB29</f>
        <v>12000.1746794872</v>
      </c>
      <c r="AW29" s="88" t="n">
        <f aca="false">AJ29*(1+IF(K29=3,INDEX(in_sup_vat_rate,1,C29),0))+AO29*Z29/AB29</f>
        <v>0</v>
      </c>
      <c r="AX29" s="88" t="n">
        <f aca="false">AK29*(1+IF(K29=3,INDEX(in_sup_vat_rate,1,C29),0))+AO29*AA29/AB29</f>
        <v>0</v>
      </c>
      <c r="AY29" s="88" t="n">
        <f aca="false">AV29+AW29+AX29</f>
        <v>12000.1746794872</v>
      </c>
      <c r="AZ29" s="88" t="n">
        <f aca="false">MAX(INDEX(in_oce_ins_min,1,C29),INDEX(in_oce_ins_rate,1,C29)*(1+INDEX(in_oce_ins_uplift,1,C29))*(AL29+AO29+AR29+AU29))*(1-INDEX(in_oce_ins_in_other,1,C29))</f>
        <v>50</v>
      </c>
      <c r="BA29" s="87" t="n">
        <f aca="false">INDEX(in_cus_mfn,1,C29)+L29</f>
        <v>0</v>
      </c>
      <c r="BB29" s="88" t="n">
        <f aca="false">AY29*BA29</f>
        <v>0</v>
      </c>
      <c r="BC29" s="88" t="n">
        <f aca="false">MIN(MAX(AY29*INDEX(in_cus_mpf_rate,1,C29),INDEX(in_cus_mpf_min,1,C29)),INDEX(in_cus_mpf_max,1,C29))</f>
        <v>41.5686050897436</v>
      </c>
      <c r="BD29" s="88" t="n">
        <f aca="false">AY29*INDEX(in_cus_hmf,1,C29)</f>
        <v>15.000218349359</v>
      </c>
      <c r="BE29" s="88" t="n">
        <f aca="false">MAX(INDEX(in_cus_stb_min,1,C29),INDEX(in_cus_stb_rate,1,C29)/1000*(AY29+BB29+BC29+BD29))</f>
        <v>50</v>
      </c>
      <c r="BF29" s="88" t="n">
        <f aca="false">INDEX(in_cus_broker,1,C29)+INDEX(in_cus_isf,1,C29)+INDEX(in_cus_do_fee,1,C29)+BE29+INDEX(in_cus_isf_bond,1,C29)</f>
        <v>385</v>
      </c>
      <c r="BG29" s="88" t="n">
        <f aca="false">IF(H29=1,INDEX(in_cus_cfc,1,C29)*INDEX(ct_teu,F29)*G29*(1-INDEX(in_cus_cfc_in_freight,1,C29)),0)</f>
        <v>0</v>
      </c>
      <c r="BH29" s="88" t="n">
        <f aca="false">IF(F29=4,1,G29)*(INDEX(in_cus_exam,1,C29)+INDEX(in_cus_exam_dray,1,C29))</f>
        <v>0</v>
      </c>
      <c r="BI29" s="88" t="n">
        <f aca="false">IF(F29=4,1,G29)*INDEX(in_cus_dem_days,1,C29)*INDEX(in_cus_dem_rate,1,C29)</f>
        <v>0</v>
      </c>
      <c r="BJ29" s="88" t="n">
        <f aca="false">BG29+BH29+BI29</f>
        <v>0</v>
      </c>
      <c r="BK29" s="88" t="n">
        <f aca="false">IF(F29=4,(INDEX(in_dra_lcl_cfs_d,1,C29)+INDEX(in_dra_lcl_deliv,1,C29))*P29,G29*(INDEX(tbl_dest_line,E29,C29)*P29*(1+INDEX(in_dra_fsc,1,C29))+INDEX(tbl_dest_tolls,E29,C29)+INDEX(in_dra_chassis_days,1,C29)*INDEX(tbl_dest_chassis,E29,C29)*(1-INDEX(in_dra_chassis_in_dray,1,C29))+INDEX(in_dra_wait_hours,1,C29)*INDEX(in_dra_wait_rate,1,C29)+INDEX(in_dra_split,1,C29)+INDEX(in_dra_prepull,1,C29)+INDEX(in_dra_dryrun,1,C29)))</f>
        <v>1424</v>
      </c>
      <c r="BL29" s="88" t="n">
        <f aca="false">IF(F29=4,0,G29*IF(F29=1,INDEX(in_dra_unload_20,1,C29),INDEX(in_dra_unload_40,1,C29))*Q29*(1-INDEX(in_dra_unload_in_dray,1,C29)))</f>
        <v>250</v>
      </c>
      <c r="BM29" s="88" t="n">
        <f aca="false">AL29+AN29+AO29+AR29+AU29+AZ29+BB29+BC29+BD29+BF29+BJ29+BK29+BL29</f>
        <v>17851.4687776516</v>
      </c>
      <c r="BN29" s="88" t="n">
        <f aca="false">AP29+AU29+BJ29+BK29+BL29</f>
        <v>5061.4652014652</v>
      </c>
      <c r="BO29" s="88" t="n">
        <f aca="false">AQ29+BF29</f>
        <v>683.260073260073</v>
      </c>
      <c r="BP29" s="88" t="n">
        <f aca="false">AI29*(1+IF(K29=3,INDEX(in_sup_vat_rate,1,C29),0))+AO29*Y29/AB29+AV29*BA29+(BC29+BD29)*AV29/AY29+AZ29*AI29/AL29+BN29*AC29/AF29+BO29*Y29/AB29</f>
        <v>17851.4687776516</v>
      </c>
      <c r="BQ29" s="88" t="n">
        <f aca="false">AJ29*(1+IF(K29=3,INDEX(in_sup_vat_rate,1,C29),0))+AO29*Z29/AB29+AW29*BA29+(BC29+BD29)*AW29/AY29+AZ29*AJ29/AL29+BN29*AD29/AF29+BO29*Z29/AB29</f>
        <v>0</v>
      </c>
      <c r="BR29" s="88" t="n">
        <f aca="false">AK29*(1+IF(K29=3,INDEX(in_sup_vat_rate,1,C29),0))+AO29*AA29/AB29+AX29*BA29+(BC29+BD29)*AX29/AY29+AZ29*AK29/AL29+BN29*AE29/AF29+BO29*AA29/AB29</f>
        <v>0</v>
      </c>
      <c r="BS29" s="89" t="n">
        <f aca="false">BP29+BQ29+BR29-BM29</f>
        <v>0</v>
      </c>
      <c r="BT29" s="85" t="n">
        <f aca="false">Y29*(1-R29)</f>
        <v>82037.75</v>
      </c>
      <c r="BU29" s="85" t="n">
        <f aca="false">Z29*(1-R29)</f>
        <v>0</v>
      </c>
      <c r="BV29" s="85" t="n">
        <f aca="false">AA29*(1-R29)</f>
        <v>0</v>
      </c>
      <c r="BW29" s="85" t="n">
        <f aca="false">BT29+BU29+BV29</f>
        <v>82037.75</v>
      </c>
      <c r="BX29" s="90" t="n">
        <f aca="false">IF(BT29&gt;0,BP29/BT29,0)</f>
        <v>0.217600662836945</v>
      </c>
      <c r="BY29" s="90" t="n">
        <f aca="false">IF(BU29&gt;0,BQ29/BU29,0)</f>
        <v>0</v>
      </c>
      <c r="BZ29" s="90" t="n">
        <f aca="false">IF(BV29&gt;0,BR29/BV29,0)</f>
        <v>0</v>
      </c>
      <c r="CA29" s="90" t="n">
        <f aca="false">INDEX(in_mkt_listing_3464,1,C29)*(1-IF(sku_flute_3464="B",T29,0))*(1-S29)*N29</f>
        <v>0.2856</v>
      </c>
      <c r="CB29" s="90" t="n">
        <f aca="false">INDEX(in_mkt_listing_3463,1,C29)*(1-IF(sku_flute_3463="B",T29,0))*(1-S29)*N29</f>
        <v>0.3128</v>
      </c>
      <c r="CC29" s="90" t="n">
        <f aca="false">INDEX(in_mkt_listing_3460,1,C29)*(1-IF(sku_flute_3460="B",T29,0))*(1-S29)*N29</f>
        <v>0.256</v>
      </c>
      <c r="CD29" s="88" t="n">
        <f aca="false">BT29*CA29+BU29*CB29+BV29*CC29</f>
        <v>23429.9814</v>
      </c>
      <c r="CE29" s="88" t="n">
        <f aca="false">CD29-BM29</f>
        <v>5578.51262234844</v>
      </c>
      <c r="CF29" s="87" t="n">
        <f aca="false">IF(CD29&gt;0,CE29/CD29,0)</f>
        <v>0.238092917237589</v>
      </c>
      <c r="CG29" s="87" t="n">
        <f aca="false">W29+INDEX(in_sel_processing,1,C29)+INDEX(in_sel_bad_debt,1,C29)</f>
        <v>0.0325</v>
      </c>
      <c r="CH29" s="88" t="n">
        <f aca="false">CD29*CG29</f>
        <v>761.4743955</v>
      </c>
      <c r="CI29" s="88" t="n">
        <f aca="false">INDEX(in_sel_testing,1,C29)*X29+INDEX(in_sel_admin,1,C29)</f>
        <v>1250</v>
      </c>
      <c r="CJ29" s="79" t="n">
        <f aca="false">INDEX(in_sup_lead_days,1,C29)</f>
        <v>14</v>
      </c>
      <c r="CK29" s="79" t="n">
        <f aca="false">CJ29+INDEX(in_oce_transit,1,C29)+IF(F29=4,INDEX(in_oce_lcl_extra_days,1,C29),0)</f>
        <v>39</v>
      </c>
      <c r="CL29" s="79" t="n">
        <f aca="false">CK29+2+INDEX(in_cus_dem_days,1,C29)</f>
        <v>41</v>
      </c>
      <c r="CM29" s="79" t="n">
        <f aca="false">CL29+U29</f>
        <v>71</v>
      </c>
      <c r="CN29" s="79" t="n">
        <f aca="false">CJ29+INDEX(in_sup_vat_lag,1,C29)</f>
        <v>44</v>
      </c>
      <c r="CO29" s="91" t="n">
        <f aca="false">INDEX(in_sup_advance,1,C29)</f>
        <v>0.5</v>
      </c>
      <c r="CP29" s="88" t="n">
        <f aca="false">CO29*(AL29+AM29)+AO29+INDEX(in_sel_testing,1,C29)*X29</f>
        <v>7000.08733974359</v>
      </c>
      <c r="CQ29" s="88" t="n">
        <f aca="false">(1-CO29)*(AL29+AM29)+AR29+AU29+AZ29</f>
        <v>9735.81261446886</v>
      </c>
      <c r="CR29" s="88" t="n">
        <f aca="false">BB29+BC29+BD29+BF29+BJ29</f>
        <v>441.568823439103</v>
      </c>
      <c r="CS29" s="88" t="n">
        <f aca="false">BK29+BL29</f>
        <v>1674</v>
      </c>
      <c r="CT29" s="88" t="n">
        <f aca="false">IF(K29=2,AM29,0)</f>
        <v>0</v>
      </c>
      <c r="CU29" s="85" t="n">
        <f aca="false">IF(K29=2,CO29*AM29*(CN29-0)+(1-CO29)*AM29*(CN29-CJ29),0)</f>
        <v>0</v>
      </c>
      <c r="CV29" s="85" t="n">
        <f aca="false">(CP29-CO29*CT29)*(CM29-0)+(CQ29-(1-CO29)*CT29)*(CM29-CJ29)+CR29*(CM29-CK29)+CS29*(CM29-CL29)</f>
        <v>1116297.72249657</v>
      </c>
      <c r="CW29" s="88" t="n">
        <f aca="false">INDEX(in_sel_fin_rate,1,C29)/365*(CU29+CV29)</f>
        <v>244.667993971851</v>
      </c>
      <c r="CX29" s="85" t="n">
        <f aca="false">CP29-IF(CN29&lt;=0,CT29,0)</f>
        <v>7000.08733974359</v>
      </c>
      <c r="CY29" s="85" t="n">
        <f aca="false">CP29+CQ29-IF(CN29&lt;=CJ29,CT29,0)</f>
        <v>16735.8999542125</v>
      </c>
      <c r="CZ29" s="85" t="n">
        <f aca="false">CP29+CQ29+CR29-IF(CN29&lt;=CK29,CT29,0)</f>
        <v>17177.4687776516</v>
      </c>
      <c r="DA29" s="85" t="n">
        <f aca="false">CP29+CQ29+CR29+CS29-IF(CN29&lt;=CL29,CT29,0)</f>
        <v>18851.4687776516</v>
      </c>
      <c r="DB29" s="88" t="n">
        <f aca="false">MAX(CX29,CY29,CZ29,DA29)</f>
        <v>18851.4687776516</v>
      </c>
      <c r="DC29" s="88" t="n">
        <f aca="false">CP29+CQ29+CR29+CS29</f>
        <v>18851.4687776516</v>
      </c>
      <c r="DD29" s="88" t="n">
        <f aca="false">CE29-CH29-CI29-CW29</f>
        <v>3322.37023287659</v>
      </c>
      <c r="DE29" s="87" t="n">
        <f aca="false">IF(CD29&gt;0,DD29/CD29,0)</f>
        <v>0.141799951786415</v>
      </c>
      <c r="DF29" s="86" t="n">
        <f aca="false">IF(CD29&gt;0,(BM29+CI29+CW29)/(CD29*(1-CG29)),0)</f>
        <v>0.853436742339623</v>
      </c>
      <c r="DG29" s="90" t="n">
        <f aca="false">IF(BW29&gt;0,BM29/BW29,0)</f>
        <v>0.217600662836945</v>
      </c>
      <c r="DH29" s="90" t="n">
        <f aca="false">IF(BW29&gt;0,CD29/BW29,0)</f>
        <v>0.2856</v>
      </c>
      <c r="DI29" s="90" t="n">
        <f aca="false">IF(AI29&gt;0,(AI29*IF(K29=3,INDEX(in_sup_vat_rate,1,C29),0)+AV29*BA29+(BC29+BD29)*AV29/AY29+AZ29*AI29/AL29)/AI29,0)</f>
        <v>0.00888060601494984</v>
      </c>
      <c r="DJ29" s="90" t="n">
        <f aca="false">IF(AJ29&gt;0,(AJ29*IF(K29=3,INDEX(in_sup_vat_rate,1,C29),0)+AW29*BA29+(BC29+BD29)*AW29/AY29+AZ29*AJ29/AL29)/AJ29,0)</f>
        <v>0</v>
      </c>
      <c r="DK29" s="90" t="n">
        <f aca="false">IF(AK29&gt;0,(AK29*IF(K29=3,INDEX(in_sup_vat_rate,1,C29),0)+AX29*BA29+(BC29+BD29)*AX29/AY29+AZ29*AK29/AL29)/AK29,0)</f>
        <v>0</v>
      </c>
      <c r="DL29" s="90" t="n">
        <f aca="false">IF(Y29&gt;0,(BP29-AI29*(1+DI29))/Y29,0)</f>
        <v>0.0696752610639815</v>
      </c>
      <c r="DM29" s="90" t="n">
        <f aca="false">IF(Z29&gt;0,(BQ29-AJ29*(1+DJ29))/Z29,0)</f>
        <v>0</v>
      </c>
      <c r="DN29" s="90" t="n">
        <f aca="false">IF(AA29&gt;0,(BR29-AK29*(1+DK29))/AA29,0)</f>
        <v>0</v>
      </c>
      <c r="DO29" s="86" t="n">
        <f aca="false">IF(Y29&gt;0,(CA29*(1-thr_gm_go)*(1-R29)-DL29)/(1+DI29)*I29/((1+AH29)*J29),"")</f>
        <v>8.1722404427961</v>
      </c>
      <c r="DP29" s="86" t="str">
        <f aca="false">IF(Z29&gt;0,(CB29*(1-thr_gm_go)*(1-R29)-DM29)/(1+DJ29)*I29/((1+AH29)*J29),"")</f>
        <v/>
      </c>
      <c r="DQ29" s="86" t="str">
        <f aca="false">IF(AA29&gt;0,(CC29*(1-thr_gm_go)*(1-R29)-DN29)/(1+DK29)*I29/((1+AH29)*J29),"")</f>
        <v/>
      </c>
      <c r="DR29" s="92" t="n">
        <f aca="false">IF(AND(AY29*INDEX(in_cus_mpf_rate,1,C29)&gt;INDEX(in_cus_mpf_min,1,C29),AY29*INDEX(in_cus_mpf_rate,1,C29)&lt;INDEX(in_cus_mpf_max,1,C29)),INDEX(in_cus_mpf_rate,1,C29),0)</f>
        <v>0.003464</v>
      </c>
      <c r="DS29" s="88" t="n">
        <f aca="false">IF(AZ29&gt;INDEX(in_oce_ins_min,1,C29),INDEX(in_oce_ins_rate,1,C29)*(1+INDEX(in_oce_ins_uplift,1,C29))*AL29,0)</f>
        <v>0</v>
      </c>
      <c r="DT29" s="88" t="n">
        <f aca="false">(AL29+AN29)*(1+BA29+INDEX(in_cus_hmf,1,C29)+DR29)+DS29</f>
        <v>12056.7435029263</v>
      </c>
      <c r="DU29" s="86" t="n">
        <f aca="false">IF(DT29&gt;0,(CD29*(1-thr_gm_go)-(BM29-DT29))/DT29,0)</f>
        <v>0.976860855704209</v>
      </c>
      <c r="DV29" s="86" t="n">
        <f aca="false">IF(DT29&gt;0,(CD29-(BM29-DT29))/DT29,0)</f>
        <v>1.46268817288802</v>
      </c>
      <c r="DW29" s="87" t="n">
        <f aca="false">(1+AH29)*J29*DU29-1</f>
        <v>-0.0719821870810019</v>
      </c>
      <c r="DX29" s="87" t="n">
        <f aca="false">(1+AH29)*J29*DV29-1</f>
        <v>0.389553764243617</v>
      </c>
      <c r="DY29" s="85" t="n">
        <f aca="false">IF(G29&gt;0,(CD29*(1-thr_gm_go)-(BM29-AT29))/G29,"")</f>
        <v>2621.01727234844</v>
      </c>
      <c r="DZ29" s="90" t="n">
        <f aca="false">IF(AB29&gt;0,(AL29+AN29+BB29+BC29+BD29)/AB29,0)</f>
        <v>0.146230970320513</v>
      </c>
      <c r="EA29" s="88" t="n">
        <f aca="false">BM29-DZ29*AB29</f>
        <v>5794.72527472527</v>
      </c>
      <c r="EB29" s="90" t="n">
        <f aca="false">IF(AB29&gt;0,CD29/AB29,0)</f>
        <v>0.284172</v>
      </c>
      <c r="EC29" s="85" t="n">
        <f aca="false">IF(EB29*(1-thr_gm_go)-DZ29&gt;0,EA29/(EB29*(1-thr_gm_go)-DZ29),"n/a")</f>
        <v>86620.2682274528</v>
      </c>
      <c r="ED29" s="85" t="n">
        <f aca="false">IF(EB29-DZ29&gt;0,EA29/(EB29-DZ29),"n/a")</f>
        <v>42008.7140728876</v>
      </c>
      <c r="EE29" s="93" t="b">
        <f aca="false">INDEX(cfg_fits,D29,C29)</f>
        <v>1</v>
      </c>
      <c r="EF29" s="87" t="n">
        <f aca="false">IF(F29=4,"",INDEX(cfg_lenutil,D29,C29))</f>
        <v>0.991198658843252</v>
      </c>
      <c r="EG29" s="31" t="str">
        <f aca="false">IF(O29&gt;1,"Check fit (units scaled up)","")</f>
        <v/>
      </c>
    </row>
    <row r="30" customFormat="false" ht="15" hidden="false" customHeight="false" outlineLevel="0" collapsed="false">
      <c r="A30" s="78" t="n">
        <v>1061</v>
      </c>
      <c r="B30" s="9" t="s">
        <v>3178</v>
      </c>
      <c r="C30" s="78" t="n">
        <v>1</v>
      </c>
      <c r="D30" s="78" t="n">
        <v>6</v>
      </c>
      <c r="E30" s="78" t="n">
        <v>1</v>
      </c>
      <c r="F30" s="79" t="n">
        <f aca="false">INDEX(cfg_ct,D30)</f>
        <v>3</v>
      </c>
      <c r="G30" s="79" t="n">
        <f aca="false">INDEX(cfg_n,D30)</f>
        <v>1</v>
      </c>
      <c r="H30" s="79" t="n">
        <f aca="false">INDEX(dest_port,E30)</f>
        <v>1</v>
      </c>
      <c r="I30" s="80" t="n">
        <f aca="false">INDEX(in_fx_cbe,1,C30)*(1-INDEX(in_fx_spread,1,C30))</f>
        <v>54.6</v>
      </c>
      <c r="J30" s="81" t="n">
        <f aca="false">1</f>
        <v>1</v>
      </c>
      <c r="K30" s="82" t="n">
        <f aca="false">INDEX(in_sup_vat_mode,1,C30)</f>
        <v>1</v>
      </c>
      <c r="L30" s="83" t="n">
        <f aca="false">INDEX(in_cus_s301,1,C30)</f>
        <v>0</v>
      </c>
      <c r="M30" s="84" t="n">
        <f aca="false">1</f>
        <v>1</v>
      </c>
      <c r="N30" s="81" t="n">
        <f aca="false">1</f>
        <v>1</v>
      </c>
      <c r="O30" s="81" t="n">
        <f aca="false">1</f>
        <v>1</v>
      </c>
      <c r="P30" s="81" t="n">
        <f aca="false">1</f>
        <v>1</v>
      </c>
      <c r="Q30" s="81" t="n">
        <f aca="false">1</f>
        <v>1</v>
      </c>
      <c r="R30" s="83" t="n">
        <f aca="false">INDEX(in_sel_damage,1,C30)</f>
        <v>0.005</v>
      </c>
      <c r="S30" s="83" t="n">
        <f aca="false">INDEX(in_mkt_dist_margin,1,C30)</f>
        <v>0.2</v>
      </c>
      <c r="T30" s="83" t="n">
        <f aca="false">INDEX(in_mkt_eflute_disc,1,C30)</f>
        <v>0.15</v>
      </c>
      <c r="U30" s="82" t="n">
        <f aca="false">INDEX(in_sel_credit_days,1,C30)</f>
        <v>30</v>
      </c>
      <c r="V30" s="81" t="n">
        <f aca="false">1</f>
        <v>1</v>
      </c>
      <c r="W30" s="83" t="n">
        <f aca="false">INDEX(in_sel_commission,1,C30)</f>
        <v>0.03</v>
      </c>
      <c r="X30" s="82" t="n">
        <f aca="false">1</f>
        <v>1</v>
      </c>
      <c r="Y30" s="85" t="n">
        <f aca="false">INDEX(cfg_u_3464,D30,C30)*O30</f>
        <v>0</v>
      </c>
      <c r="Z30" s="85" t="n">
        <f aca="false">INDEX(cfg_u_3463,D30,C30)*O30</f>
        <v>72550</v>
      </c>
      <c r="AA30" s="85" t="n">
        <f aca="false">INDEX(cfg_u_3460,D30,C30)*O30</f>
        <v>0</v>
      </c>
      <c r="AB30" s="85" t="n">
        <f aca="false">Y30+Z30+AA30</f>
        <v>72550</v>
      </c>
      <c r="AC30" s="86" t="n">
        <f aca="false">Y30*INDEX(lg_vpu_3464,C30)</f>
        <v>0</v>
      </c>
      <c r="AD30" s="86" t="n">
        <f aca="false">Z30*INDEX(lg_vpu_3463,C30)</f>
        <v>59.192094</v>
      </c>
      <c r="AE30" s="86" t="n">
        <f aca="false">AA30*INDEX(lg_vpu_3460,C30)</f>
        <v>0</v>
      </c>
      <c r="AF30" s="86" t="n">
        <f aca="false">AC30+AD30+AE30</f>
        <v>59.192094</v>
      </c>
      <c r="AG30" s="85" t="n">
        <f aca="false">Y30*INDEX(lg_kpu_3464,C30)+Z30*INDEX(lg_kpu_3463,C30)+AA30*INDEX(lg_kpu_3460,C30)</f>
        <v>14458.913192</v>
      </c>
      <c r="AH30" s="87" t="n">
        <f aca="false">INDEX(in_sup_requote,1,C30)</f>
        <v>-0.05</v>
      </c>
      <c r="AI30" s="88" t="n">
        <f aca="false">Y30*q_price_3464*(1+AH30)*J30/I30</f>
        <v>0</v>
      </c>
      <c r="AJ30" s="88" t="n">
        <f aca="false">Z30*q_price_3463*(1+AH30)*J30/I30</f>
        <v>9972.30311355311</v>
      </c>
      <c r="AK30" s="88" t="n">
        <f aca="false">AA30*q_price_3460*(1+AH30)*J30/I30</f>
        <v>0</v>
      </c>
      <c r="AL30" s="88" t="n">
        <f aca="false">AI30+AJ30+AK30</f>
        <v>9972.30311355311</v>
      </c>
      <c r="AM30" s="88" t="n">
        <f aca="false">IF(OR(K30=2,K30=3),AL30*INDEX(in_sup_vat_rate,1,C30),0)</f>
        <v>0</v>
      </c>
      <c r="AN30" s="88" t="n">
        <f aca="false">IF(K30=3,AM30,0)</f>
        <v>0</v>
      </c>
      <c r="AO30" s="88" t="n">
        <f aca="false">INDEX(in_sup_tooling_egp,1,C30)/I30</f>
        <v>0</v>
      </c>
      <c r="AP30" s="88" t="n">
        <f aca="false">IF(F30=4,INDEX(in_ori_lcl_truck,1,C30)*V30/I30+INDEX(in_ori_lcl_cfs_o,1,C30),G30*(IF(F30=1,INDEX(in_ori_truck_20,1,C30),INDEX(in_ori_truck_40,1,C30))*V30/I30+INDEX(in_ori_terminal,1,C30)+IF(F30=1,INDEX(in_ori_othc_20,1,C30),INDEX(in_ori_othc_40,1,C30))*(1-INDEX(in_ori_othc_in_freight,1,C30))+INDEX(in_ori_seal,1,C30)+INDEX(in_ori_inspection,1,C30)+INDEX(in_ori_dd_days,1,C30)*IF(F30=1,INDEX(in_ori_dd_20,1,C30),INDEX(in_ori_dd_40,1,C30))+INDEX(in_ori_loading_egp,1,C30)/I30))</f>
        <v>457.465201465201</v>
      </c>
      <c r="AQ30" s="88" t="n">
        <f aca="false">(INDEX(in_ori_clearance,1,C30)+INDEX(in_ori_coo,1,C30))/I30+INDEX(in_ori_bl_fee,1,C30)+INDEX(in_ori_fwd_fee,1,C30)+INDEX(in_ori_qc,1,C30)+INDEX(in_ori_wires,1,C30)*INDEX(in_ori_wire_fee,1,C30)</f>
        <v>298.260073260073</v>
      </c>
      <c r="AR30" s="88" t="n">
        <f aca="false">AP30+AQ30</f>
        <v>755.725274725275</v>
      </c>
      <c r="AS30" s="85" t="n">
        <f aca="false">INDEX(tbl_port_diff,H30,C30)</f>
        <v>0</v>
      </c>
      <c r="AT30" s="88" t="n">
        <f aca="false">IF(F30=4,MAX(AF30*INDEX(in_oce_lcl_factor,1,C30),AG30/1000,1)*INDEX(in_oce_lcl_rate,1,C30)*M30,G30*(INDEX(tbl_ocean_rate,MIN(F30,3),C30)+AS30)*M30)</f>
        <v>2900</v>
      </c>
      <c r="AU30" s="88" t="n">
        <f aca="false">AT30+INDEX(in_oce_ams,1,C30)</f>
        <v>2930</v>
      </c>
      <c r="AV30" s="88" t="n">
        <f aca="false">AI30*(1+IF(K30=3,INDEX(in_sup_vat_rate,1,C30),0))+AO30*Y30/AB30</f>
        <v>0</v>
      </c>
      <c r="AW30" s="88" t="n">
        <f aca="false">AJ30*(1+IF(K30=3,INDEX(in_sup_vat_rate,1,C30),0))+AO30*Z30/AB30</f>
        <v>9972.30311355311</v>
      </c>
      <c r="AX30" s="88" t="n">
        <f aca="false">AK30*(1+IF(K30=3,INDEX(in_sup_vat_rate,1,C30),0))+AO30*AA30/AB30</f>
        <v>0</v>
      </c>
      <c r="AY30" s="88" t="n">
        <f aca="false">AV30+AW30+AX30</f>
        <v>9972.30311355311</v>
      </c>
      <c r="AZ30" s="88" t="n">
        <f aca="false">MAX(INDEX(in_oce_ins_min,1,C30),INDEX(in_oce_ins_rate,1,C30)*(1+INDEX(in_oce_ins_uplift,1,C30))*(AL30+AO30+AR30+AU30))*(1-INDEX(in_oce_ins_in_other,1,C30))</f>
        <v>50</v>
      </c>
      <c r="BA30" s="87" t="n">
        <f aca="false">INDEX(in_cus_mfn,1,C30)+L30</f>
        <v>0</v>
      </c>
      <c r="BB30" s="88" t="n">
        <f aca="false">AY30*BA30</f>
        <v>0</v>
      </c>
      <c r="BC30" s="88" t="n">
        <f aca="false">MIN(MAX(AY30*INDEX(in_cus_mpf_rate,1,C30),INDEX(in_cus_mpf_min,1,C30)),INDEX(in_cus_mpf_max,1,C30))</f>
        <v>34.58</v>
      </c>
      <c r="BD30" s="88" t="n">
        <f aca="false">AY30*INDEX(in_cus_hmf,1,C30)</f>
        <v>12.4653788919414</v>
      </c>
      <c r="BE30" s="88" t="n">
        <f aca="false">MAX(INDEX(in_cus_stb_min,1,C30),INDEX(in_cus_stb_rate,1,C30)/1000*(AY30+BB30+BC30+BD30))</f>
        <v>50</v>
      </c>
      <c r="BF30" s="88" t="n">
        <f aca="false">INDEX(in_cus_broker,1,C30)+INDEX(in_cus_isf,1,C30)+INDEX(in_cus_do_fee,1,C30)+BE30+INDEX(in_cus_isf_bond,1,C30)</f>
        <v>385</v>
      </c>
      <c r="BG30" s="88" t="n">
        <f aca="false">IF(H30=1,INDEX(in_cus_cfc,1,C30)*INDEX(ct_teu,F30)*G30*(1-INDEX(in_cus_cfc_in_freight,1,C30)),0)</f>
        <v>29.6</v>
      </c>
      <c r="BH30" s="88" t="n">
        <f aca="false">IF(F30=4,1,G30)*(INDEX(in_cus_exam,1,C30)+INDEX(in_cus_exam_dray,1,C30))</f>
        <v>0</v>
      </c>
      <c r="BI30" s="88" t="n">
        <f aca="false">IF(F30=4,1,G30)*INDEX(in_cus_dem_days,1,C30)*INDEX(in_cus_dem_rate,1,C30)</f>
        <v>0</v>
      </c>
      <c r="BJ30" s="88" t="n">
        <f aca="false">BG30+BH30+BI30</f>
        <v>29.6</v>
      </c>
      <c r="BK30" s="88" t="n">
        <f aca="false">IF(F30=4,(INDEX(in_dra_lcl_cfs_d,1,C30)+INDEX(in_dra_lcl_deliv,1,C30))*P30,G30*(INDEX(tbl_dest_line,E30,C30)*P30*(1+INDEX(in_dra_fsc,1,C30))+INDEX(tbl_dest_tolls,E30,C30)+INDEX(in_dra_chassis_days,1,C30)*INDEX(tbl_dest_chassis,E30,C30)*(1-INDEX(in_dra_chassis_in_dray,1,C30))+INDEX(in_dra_wait_hours,1,C30)*INDEX(in_dra_wait_rate,1,C30)+INDEX(in_dra_split,1,C30)+INDEX(in_dra_prepull,1,C30)+INDEX(in_dra_dryrun,1,C30)))</f>
        <v>661</v>
      </c>
      <c r="BL30" s="88" t="n">
        <f aca="false">IF(F30=4,0,G30*IF(F30=1,INDEX(in_dra_unload_20,1,C30),INDEX(in_dra_unload_40,1,C30))*Q30*(1-INDEX(in_dra_unload_in_dray,1,C30)))</f>
        <v>250</v>
      </c>
      <c r="BM30" s="88" t="n">
        <f aca="false">AL30+AN30+AO30+AR30+AU30+AZ30+BB30+BC30+BD30+BF30+BJ30+BK30+BL30</f>
        <v>15080.6737671703</v>
      </c>
      <c r="BN30" s="88" t="n">
        <f aca="false">AP30+AU30+BJ30+BK30+BL30</f>
        <v>4328.0652014652</v>
      </c>
      <c r="BO30" s="88" t="n">
        <f aca="false">AQ30+BF30</f>
        <v>683.260073260073</v>
      </c>
      <c r="BP30" s="88" t="n">
        <f aca="false">AI30*(1+IF(K30=3,INDEX(in_sup_vat_rate,1,C30),0))+AO30*Y30/AB30+AV30*BA30+(BC30+BD30)*AV30/AY30+AZ30*AI30/AL30+BN30*AC30/AF30+BO30*Y30/AB30</f>
        <v>0</v>
      </c>
      <c r="BQ30" s="88" t="n">
        <f aca="false">AJ30*(1+IF(K30=3,INDEX(in_sup_vat_rate,1,C30),0))+AO30*Z30/AB30+AW30*BA30+(BC30+BD30)*AW30/AY30+AZ30*AJ30/AL30+BN30*AD30/AF30+BO30*Z30/AB30</f>
        <v>15080.6737671703</v>
      </c>
      <c r="BR30" s="88" t="n">
        <f aca="false">AK30*(1+IF(K30=3,INDEX(in_sup_vat_rate,1,C30),0))+AO30*AA30/AB30+AX30*BA30+(BC30+BD30)*AX30/AY30+AZ30*AK30/AL30+BN30*AE30/AF30+BO30*AA30/AB30</f>
        <v>0</v>
      </c>
      <c r="BS30" s="89" t="n">
        <f aca="false">BP30+BQ30+BR30-BM30</f>
        <v>0</v>
      </c>
      <c r="BT30" s="85" t="n">
        <f aca="false">Y30*(1-R30)</f>
        <v>0</v>
      </c>
      <c r="BU30" s="85" t="n">
        <f aca="false">Z30*(1-R30)</f>
        <v>72187.25</v>
      </c>
      <c r="BV30" s="85" t="n">
        <f aca="false">AA30*(1-R30)</f>
        <v>0</v>
      </c>
      <c r="BW30" s="85" t="n">
        <f aca="false">BT30+BU30+BV30</f>
        <v>72187.25</v>
      </c>
      <c r="BX30" s="90" t="n">
        <f aca="false">IF(BT30&gt;0,BP30/BT30,0)</f>
        <v>0</v>
      </c>
      <c r="BY30" s="90" t="n">
        <f aca="false">IF(BU30&gt;0,BQ30/BU30,0)</f>
        <v>0.208910489971156</v>
      </c>
      <c r="BZ30" s="90" t="n">
        <f aca="false">IF(BV30&gt;0,BR30/BV30,0)</f>
        <v>0</v>
      </c>
      <c r="CA30" s="90" t="n">
        <f aca="false">INDEX(in_mkt_listing_3464,1,C30)*(1-IF(sku_flute_3464="B",T30,0))*(1-S30)*N30</f>
        <v>0.2856</v>
      </c>
      <c r="CB30" s="90" t="n">
        <f aca="false">INDEX(in_mkt_listing_3463,1,C30)*(1-IF(sku_flute_3463="B",T30,0))*(1-S30)*N30</f>
        <v>0.3128</v>
      </c>
      <c r="CC30" s="90" t="n">
        <f aca="false">INDEX(in_mkt_listing_3460,1,C30)*(1-IF(sku_flute_3460="B",T30,0))*(1-S30)*N30</f>
        <v>0.256</v>
      </c>
      <c r="CD30" s="88" t="n">
        <f aca="false">BT30*CA30+BU30*CB30+BV30*CC30</f>
        <v>22580.1718</v>
      </c>
      <c r="CE30" s="88" t="n">
        <f aca="false">CD30-BM30</f>
        <v>7499.49803282967</v>
      </c>
      <c r="CF30" s="87" t="n">
        <f aca="false">IF(CD30&gt;0,CE30/CD30,0)</f>
        <v>0.332127589606279</v>
      </c>
      <c r="CG30" s="87" t="n">
        <f aca="false">W30+INDEX(in_sel_processing,1,C30)+INDEX(in_sel_bad_debt,1,C30)</f>
        <v>0.0325</v>
      </c>
      <c r="CH30" s="88" t="n">
        <f aca="false">CD30*CG30</f>
        <v>733.8555835</v>
      </c>
      <c r="CI30" s="88" t="n">
        <f aca="false">INDEX(in_sel_testing,1,C30)*X30+INDEX(in_sel_admin,1,C30)</f>
        <v>1250</v>
      </c>
      <c r="CJ30" s="79" t="n">
        <f aca="false">INDEX(in_sup_lead_days,1,C30)</f>
        <v>14</v>
      </c>
      <c r="CK30" s="79" t="n">
        <f aca="false">CJ30+INDEX(in_oce_transit,1,C30)+IF(F30=4,INDEX(in_oce_lcl_extra_days,1,C30),0)</f>
        <v>39</v>
      </c>
      <c r="CL30" s="79" t="n">
        <f aca="false">CK30+2+INDEX(in_cus_dem_days,1,C30)</f>
        <v>41</v>
      </c>
      <c r="CM30" s="79" t="n">
        <f aca="false">CL30+U30</f>
        <v>71</v>
      </c>
      <c r="CN30" s="79" t="n">
        <f aca="false">CJ30+INDEX(in_sup_vat_lag,1,C30)</f>
        <v>44</v>
      </c>
      <c r="CO30" s="91" t="n">
        <f aca="false">INDEX(in_sup_advance,1,C30)</f>
        <v>0.5</v>
      </c>
      <c r="CP30" s="88" t="n">
        <f aca="false">CO30*(AL30+AM30)+AO30+INDEX(in_sel_testing,1,C30)*X30</f>
        <v>5986.15155677656</v>
      </c>
      <c r="CQ30" s="88" t="n">
        <f aca="false">(1-CO30)*(AL30+AM30)+AR30+AU30+AZ30</f>
        <v>8721.87683150183</v>
      </c>
      <c r="CR30" s="88" t="n">
        <f aca="false">BB30+BC30+BD30+BF30+BJ30</f>
        <v>461.645378891941</v>
      </c>
      <c r="CS30" s="88" t="n">
        <f aca="false">BK30+BL30</f>
        <v>911</v>
      </c>
      <c r="CT30" s="88" t="n">
        <f aca="false">IF(K30=2,AM30,0)</f>
        <v>0</v>
      </c>
      <c r="CU30" s="85" t="n">
        <f aca="false">IF(K30=2,CO30*AM30*(CN30-0)+(1-CO30)*AM30*(CN30-CJ30),0)</f>
        <v>0</v>
      </c>
      <c r="CV30" s="85" t="n">
        <f aca="false">(CP30-CO30*CT30)*(CM30-0)+(CQ30-(1-CO30)*CT30)*(CM30-CJ30)+CR30*(CM30-CK30)+CS30*(CM30-CL30)</f>
        <v>964266.392051282</v>
      </c>
      <c r="CW30" s="88" t="n">
        <f aca="false">INDEX(in_sel_fin_rate,1,C30)/365*(CU30+CV30)</f>
        <v>211.346058531788</v>
      </c>
      <c r="CX30" s="85" t="n">
        <f aca="false">CP30-IF(CN30&lt;=0,CT30,0)</f>
        <v>5986.15155677656</v>
      </c>
      <c r="CY30" s="85" t="n">
        <f aca="false">CP30+CQ30-IF(CN30&lt;=CJ30,CT30,0)</f>
        <v>14708.0283882784</v>
      </c>
      <c r="CZ30" s="85" t="n">
        <f aca="false">CP30+CQ30+CR30-IF(CN30&lt;=CK30,CT30,0)</f>
        <v>15169.6737671703</v>
      </c>
      <c r="DA30" s="85" t="n">
        <f aca="false">CP30+CQ30+CR30+CS30-IF(CN30&lt;=CL30,CT30,0)</f>
        <v>16080.6737671703</v>
      </c>
      <c r="DB30" s="88" t="n">
        <f aca="false">MAX(CX30,CY30,CZ30,DA30)</f>
        <v>16080.6737671703</v>
      </c>
      <c r="DC30" s="88" t="n">
        <f aca="false">CP30+CQ30+CR30+CS30</f>
        <v>16080.6737671703</v>
      </c>
      <c r="DD30" s="88" t="n">
        <f aca="false">CE30-CH30-CI30-CW30</f>
        <v>5304.29639079788</v>
      </c>
      <c r="DE30" s="87" t="n">
        <f aca="false">IF(CD30&gt;0,DD30/CD30,0)</f>
        <v>0.234909478890585</v>
      </c>
      <c r="DF30" s="86" t="n">
        <f aca="false">IF(CD30&gt;0,(BM30+CI30+CW30)/(CD30*(1-CG30)),0)</f>
        <v>0.757199505022651</v>
      </c>
      <c r="DG30" s="90" t="n">
        <f aca="false">IF(BW30&gt;0,BM30/BW30,0)</f>
        <v>0.208910489971156</v>
      </c>
      <c r="DH30" s="90" t="n">
        <f aca="false">IF(BW30&gt;0,CD30/BW30,0)</f>
        <v>0.3128</v>
      </c>
      <c r="DI30" s="90" t="n">
        <f aca="false">IF(AI30&gt;0,(AI30*IF(K30=3,INDEX(in_sup_vat_rate,1,C30),0)+AV30*BA30+(BC30+BD30)*AV30/AY30+AZ30*AI30/AL30)/AI30,0)</f>
        <v>0</v>
      </c>
      <c r="DJ30" s="90" t="n">
        <f aca="false">IF(AJ30&gt;0,(AJ30*IF(K30=3,INDEX(in_sup_vat_rate,1,C30),0)+AW30*BA30+(BC30+BD30)*AW30/AY30+AZ30*AJ30/AL30)/AJ30,0)</f>
        <v>0.00973149108956079</v>
      </c>
      <c r="DK30" s="90" t="n">
        <f aca="false">IF(AK30&gt;0,(AK30*IF(K30=3,INDEX(in_sup_vat_rate,1,C30),0)+AX30*BA30+(BC30+BD30)*AX30/AY30+AZ30*AK30/AL30)/AK30,0)</f>
        <v>0</v>
      </c>
      <c r="DL30" s="90" t="n">
        <f aca="false">IF(Y30&gt;0,(BP30-AI30*(1+DI30))/Y30,0)</f>
        <v>0</v>
      </c>
      <c r="DM30" s="90" t="n">
        <f aca="false">IF(Z30&gt;0,(BQ30-AJ30*(1+DJ30))/Z30,0)</f>
        <v>0.069074090623367</v>
      </c>
      <c r="DN30" s="90" t="n">
        <f aca="false">IF(AA30&gt;0,(BR30-AK30*(1+DK30))/AA30,0)</f>
        <v>0</v>
      </c>
      <c r="DO30" s="86" t="str">
        <f aca="false">IF(Y30&gt;0,(CA30*(1-thr_gm_go)*(1-R30)-DL30)/(1+DI30)*I30/((1+AH30)*J30),"")</f>
        <v/>
      </c>
      <c r="DP30" s="86" t="n">
        <f aca="false">IF(Z30&gt;0,(CB30*(1-thr_gm_go)*(1-R30)-DM30)/(1+DJ30)*I30/((1+AH30)*J30),"")</f>
        <v>9.35492979663444</v>
      </c>
      <c r="DQ30" s="86" t="str">
        <f aca="false">IF(AA30&gt;0,(CC30*(1-thr_gm_go)*(1-R30)-DN30)/(1+DK30)*I30/((1+AH30)*J30),"")</f>
        <v/>
      </c>
      <c r="DR30" s="92" t="n">
        <f aca="false">IF(AND(AY30*INDEX(in_cus_mpf_rate,1,C30)&gt;INDEX(in_cus_mpf_min,1,C30),AY30*INDEX(in_cus_mpf_rate,1,C30)&lt;INDEX(in_cus_mpf_max,1,C30)),INDEX(in_cus_mpf_rate,1,C30),0)</f>
        <v>0</v>
      </c>
      <c r="DS30" s="88" t="n">
        <f aca="false">IF(AZ30&gt;INDEX(in_oce_ins_min,1,C30),INDEX(in_oce_ins_rate,1,C30)*(1+INDEX(in_oce_ins_uplift,1,C30))*AL30,0)</f>
        <v>0</v>
      </c>
      <c r="DT30" s="88" t="n">
        <f aca="false">(AL30+AN30)*(1+BA30+INDEX(in_cus_hmf,1,C30)+DR30)+DS30</f>
        <v>9984.76849244505</v>
      </c>
      <c r="DU30" s="86" t="n">
        <f aca="false">IF(DT30&gt;0,(CD30*(1-thr_gm_go)-(BM30-DT30))/DT30,0)</f>
        <v>1.18572840063671</v>
      </c>
      <c r="DV30" s="86" t="n">
        <f aca="false">IF(DT30&gt;0,(CD30-(BM30-DT30))/DT30,0)</f>
        <v>1.75109383242127</v>
      </c>
      <c r="DW30" s="87" t="n">
        <f aca="false">(1+AH30)*J30*DU30-1</f>
        <v>0.126441980604878</v>
      </c>
      <c r="DX30" s="87" t="n">
        <f aca="false">(1+AH30)*J30*DV30-1</f>
        <v>0.663539140800204</v>
      </c>
      <c r="DY30" s="85" t="n">
        <f aca="false">IF(G30&gt;0,(CD30*(1-thr_gm_go)-(BM30-AT30))/G30,"")</f>
        <v>4754.45508282967</v>
      </c>
      <c r="DZ30" s="90" t="n">
        <f aca="false">IF(AB30&gt;0,(AL30+AN30+BB30+BC30+BD30)/AB30,0)</f>
        <v>0.138102667021986</v>
      </c>
      <c r="EA30" s="88" t="n">
        <f aca="false">BM30-DZ30*AB30</f>
        <v>5061.32527472528</v>
      </c>
      <c r="EB30" s="90" t="n">
        <f aca="false">IF(AB30&gt;0,CD30/AB30,0)</f>
        <v>0.311236</v>
      </c>
      <c r="EC30" s="85" t="n">
        <f aca="false">IF(EB30*(1-thr_gm_go)-DZ30&gt;0,EA30/(EB30*(1-thr_gm_go)-DZ30),"n/a")</f>
        <v>53095.8373020309</v>
      </c>
      <c r="ED30" s="85" t="n">
        <f aca="false">IF(EB30-DZ30&gt;0,EA30/(EB30-DZ30),"n/a")</f>
        <v>29233.6847426601</v>
      </c>
      <c r="EE30" s="93" t="b">
        <f aca="false">INDEX(cfg_fits,D30,C30)</f>
        <v>1</v>
      </c>
      <c r="EF30" s="87" t="n">
        <f aca="false">IF(F30=4,"",INDEX(cfg_lenutil,D30,C30))</f>
        <v>0.958927074601844</v>
      </c>
      <c r="EG30" s="31" t="str">
        <f aca="false">IF(O30&gt;1,"Check fit (units scaled up)","")</f>
        <v/>
      </c>
    </row>
    <row r="31" customFormat="false" ht="15" hidden="false" customHeight="false" outlineLevel="0" collapsed="false">
      <c r="A31" s="78" t="n">
        <v>1062</v>
      </c>
      <c r="B31" s="9" t="s">
        <v>3179</v>
      </c>
      <c r="C31" s="78" t="n">
        <v>1</v>
      </c>
      <c r="D31" s="78" t="n">
        <v>6</v>
      </c>
      <c r="E31" s="78" t="n">
        <v>2</v>
      </c>
      <c r="F31" s="79" t="n">
        <f aca="false">INDEX(cfg_ct,D31)</f>
        <v>3</v>
      </c>
      <c r="G31" s="79" t="n">
        <f aca="false">INDEX(cfg_n,D31)</f>
        <v>1</v>
      </c>
      <c r="H31" s="79" t="n">
        <f aca="false">INDEX(dest_port,E31)</f>
        <v>1</v>
      </c>
      <c r="I31" s="80" t="n">
        <f aca="false">INDEX(in_fx_cbe,1,C31)*(1-INDEX(in_fx_spread,1,C31))</f>
        <v>54.6</v>
      </c>
      <c r="J31" s="81" t="n">
        <f aca="false">1</f>
        <v>1</v>
      </c>
      <c r="K31" s="82" t="n">
        <f aca="false">INDEX(in_sup_vat_mode,1,C31)</f>
        <v>1</v>
      </c>
      <c r="L31" s="83" t="n">
        <f aca="false">INDEX(in_cus_s301,1,C31)</f>
        <v>0</v>
      </c>
      <c r="M31" s="84" t="n">
        <f aca="false">1</f>
        <v>1</v>
      </c>
      <c r="N31" s="81" t="n">
        <f aca="false">1</f>
        <v>1</v>
      </c>
      <c r="O31" s="81" t="n">
        <f aca="false">1</f>
        <v>1</v>
      </c>
      <c r="P31" s="81" t="n">
        <f aca="false">1</f>
        <v>1</v>
      </c>
      <c r="Q31" s="81" t="n">
        <f aca="false">1</f>
        <v>1</v>
      </c>
      <c r="R31" s="83" t="n">
        <f aca="false">INDEX(in_sel_damage,1,C31)</f>
        <v>0.005</v>
      </c>
      <c r="S31" s="83" t="n">
        <f aca="false">INDEX(in_mkt_dist_margin,1,C31)</f>
        <v>0.2</v>
      </c>
      <c r="T31" s="83" t="n">
        <f aca="false">INDEX(in_mkt_eflute_disc,1,C31)</f>
        <v>0.15</v>
      </c>
      <c r="U31" s="82" t="n">
        <f aca="false">INDEX(in_sel_credit_days,1,C31)</f>
        <v>30</v>
      </c>
      <c r="V31" s="81" t="n">
        <f aca="false">1</f>
        <v>1</v>
      </c>
      <c r="W31" s="83" t="n">
        <f aca="false">INDEX(in_sel_commission,1,C31)</f>
        <v>0.03</v>
      </c>
      <c r="X31" s="82" t="n">
        <f aca="false">1</f>
        <v>1</v>
      </c>
      <c r="Y31" s="85" t="n">
        <f aca="false">INDEX(cfg_u_3464,D31,C31)*O31</f>
        <v>0</v>
      </c>
      <c r="Z31" s="85" t="n">
        <f aca="false">INDEX(cfg_u_3463,D31,C31)*O31</f>
        <v>72550</v>
      </c>
      <c r="AA31" s="85" t="n">
        <f aca="false">INDEX(cfg_u_3460,D31,C31)*O31</f>
        <v>0</v>
      </c>
      <c r="AB31" s="85" t="n">
        <f aca="false">Y31+Z31+AA31</f>
        <v>72550</v>
      </c>
      <c r="AC31" s="86" t="n">
        <f aca="false">Y31*INDEX(lg_vpu_3464,C31)</f>
        <v>0</v>
      </c>
      <c r="AD31" s="86" t="n">
        <f aca="false">Z31*INDEX(lg_vpu_3463,C31)</f>
        <v>59.192094</v>
      </c>
      <c r="AE31" s="86" t="n">
        <f aca="false">AA31*INDEX(lg_vpu_3460,C31)</f>
        <v>0</v>
      </c>
      <c r="AF31" s="86" t="n">
        <f aca="false">AC31+AD31+AE31</f>
        <v>59.192094</v>
      </c>
      <c r="AG31" s="85" t="n">
        <f aca="false">Y31*INDEX(lg_kpu_3464,C31)+Z31*INDEX(lg_kpu_3463,C31)+AA31*INDEX(lg_kpu_3460,C31)</f>
        <v>14458.913192</v>
      </c>
      <c r="AH31" s="87" t="n">
        <f aca="false">INDEX(in_sup_requote,1,C31)</f>
        <v>-0.05</v>
      </c>
      <c r="AI31" s="88" t="n">
        <f aca="false">Y31*q_price_3464*(1+AH31)*J31/I31</f>
        <v>0</v>
      </c>
      <c r="AJ31" s="88" t="n">
        <f aca="false">Z31*q_price_3463*(1+AH31)*J31/I31</f>
        <v>9972.30311355311</v>
      </c>
      <c r="AK31" s="88" t="n">
        <f aca="false">AA31*q_price_3460*(1+AH31)*J31/I31</f>
        <v>0</v>
      </c>
      <c r="AL31" s="88" t="n">
        <f aca="false">AI31+AJ31+AK31</f>
        <v>9972.30311355311</v>
      </c>
      <c r="AM31" s="88" t="n">
        <f aca="false">IF(OR(K31=2,K31=3),AL31*INDEX(in_sup_vat_rate,1,C31),0)</f>
        <v>0</v>
      </c>
      <c r="AN31" s="88" t="n">
        <f aca="false">IF(K31=3,AM31,0)</f>
        <v>0</v>
      </c>
      <c r="AO31" s="88" t="n">
        <f aca="false">INDEX(in_sup_tooling_egp,1,C31)/I31</f>
        <v>0</v>
      </c>
      <c r="AP31" s="88" t="n">
        <f aca="false">IF(F31=4,INDEX(in_ori_lcl_truck,1,C31)*V31/I31+INDEX(in_ori_lcl_cfs_o,1,C31),G31*(IF(F31=1,INDEX(in_ori_truck_20,1,C31),INDEX(in_ori_truck_40,1,C31))*V31/I31+INDEX(in_ori_terminal,1,C31)+IF(F31=1,INDEX(in_ori_othc_20,1,C31),INDEX(in_ori_othc_40,1,C31))*(1-INDEX(in_ori_othc_in_freight,1,C31))+INDEX(in_ori_seal,1,C31)+INDEX(in_ori_inspection,1,C31)+INDEX(in_ori_dd_days,1,C31)*IF(F31=1,INDEX(in_ori_dd_20,1,C31),INDEX(in_ori_dd_40,1,C31))+INDEX(in_ori_loading_egp,1,C31)/I31))</f>
        <v>457.465201465201</v>
      </c>
      <c r="AQ31" s="88" t="n">
        <f aca="false">(INDEX(in_ori_clearance,1,C31)+INDEX(in_ori_coo,1,C31))/I31+INDEX(in_ori_bl_fee,1,C31)+INDEX(in_ori_fwd_fee,1,C31)+INDEX(in_ori_qc,1,C31)+INDEX(in_ori_wires,1,C31)*INDEX(in_ori_wire_fee,1,C31)</f>
        <v>298.260073260073</v>
      </c>
      <c r="AR31" s="88" t="n">
        <f aca="false">AP31+AQ31</f>
        <v>755.725274725275</v>
      </c>
      <c r="AS31" s="85" t="n">
        <f aca="false">INDEX(tbl_port_diff,H31,C31)</f>
        <v>0</v>
      </c>
      <c r="AT31" s="88" t="n">
        <f aca="false">IF(F31=4,MAX(AF31*INDEX(in_oce_lcl_factor,1,C31),AG31/1000,1)*INDEX(in_oce_lcl_rate,1,C31)*M31,G31*(INDEX(tbl_ocean_rate,MIN(F31,3),C31)+AS31)*M31)</f>
        <v>2900</v>
      </c>
      <c r="AU31" s="88" t="n">
        <f aca="false">AT31+INDEX(in_oce_ams,1,C31)</f>
        <v>2930</v>
      </c>
      <c r="AV31" s="88" t="n">
        <f aca="false">AI31*(1+IF(K31=3,INDEX(in_sup_vat_rate,1,C31),0))+AO31*Y31/AB31</f>
        <v>0</v>
      </c>
      <c r="AW31" s="88" t="n">
        <f aca="false">AJ31*(1+IF(K31=3,INDEX(in_sup_vat_rate,1,C31),0))+AO31*Z31/AB31</f>
        <v>9972.30311355311</v>
      </c>
      <c r="AX31" s="88" t="n">
        <f aca="false">AK31*(1+IF(K31=3,INDEX(in_sup_vat_rate,1,C31),0))+AO31*AA31/AB31</f>
        <v>0</v>
      </c>
      <c r="AY31" s="88" t="n">
        <f aca="false">AV31+AW31+AX31</f>
        <v>9972.30311355311</v>
      </c>
      <c r="AZ31" s="88" t="n">
        <f aca="false">MAX(INDEX(in_oce_ins_min,1,C31),INDEX(in_oce_ins_rate,1,C31)*(1+INDEX(in_oce_ins_uplift,1,C31))*(AL31+AO31+AR31+AU31))*(1-INDEX(in_oce_ins_in_other,1,C31))</f>
        <v>50</v>
      </c>
      <c r="BA31" s="87" t="n">
        <f aca="false">INDEX(in_cus_mfn,1,C31)+L31</f>
        <v>0</v>
      </c>
      <c r="BB31" s="88" t="n">
        <f aca="false">AY31*BA31</f>
        <v>0</v>
      </c>
      <c r="BC31" s="88" t="n">
        <f aca="false">MIN(MAX(AY31*INDEX(in_cus_mpf_rate,1,C31),INDEX(in_cus_mpf_min,1,C31)),INDEX(in_cus_mpf_max,1,C31))</f>
        <v>34.58</v>
      </c>
      <c r="BD31" s="88" t="n">
        <f aca="false">AY31*INDEX(in_cus_hmf,1,C31)</f>
        <v>12.4653788919414</v>
      </c>
      <c r="BE31" s="88" t="n">
        <f aca="false">MAX(INDEX(in_cus_stb_min,1,C31),INDEX(in_cus_stb_rate,1,C31)/1000*(AY31+BB31+BC31+BD31))</f>
        <v>50</v>
      </c>
      <c r="BF31" s="88" t="n">
        <f aca="false">INDEX(in_cus_broker,1,C31)+INDEX(in_cus_isf,1,C31)+INDEX(in_cus_do_fee,1,C31)+BE31+INDEX(in_cus_isf_bond,1,C31)</f>
        <v>385</v>
      </c>
      <c r="BG31" s="88" t="n">
        <f aca="false">IF(H31=1,INDEX(in_cus_cfc,1,C31)*INDEX(ct_teu,F31)*G31*(1-INDEX(in_cus_cfc_in_freight,1,C31)),0)</f>
        <v>29.6</v>
      </c>
      <c r="BH31" s="88" t="n">
        <f aca="false">IF(F31=4,1,G31)*(INDEX(in_cus_exam,1,C31)+INDEX(in_cus_exam_dray,1,C31))</f>
        <v>0</v>
      </c>
      <c r="BI31" s="88" t="n">
        <f aca="false">IF(F31=4,1,G31)*INDEX(in_cus_dem_days,1,C31)*INDEX(in_cus_dem_rate,1,C31)</f>
        <v>0</v>
      </c>
      <c r="BJ31" s="88" t="n">
        <f aca="false">BG31+BH31+BI31</f>
        <v>29.6</v>
      </c>
      <c r="BK31" s="88" t="n">
        <f aca="false">IF(F31=4,(INDEX(in_dra_lcl_cfs_d,1,C31)+INDEX(in_dra_lcl_deliv,1,C31))*P31,G31*(INDEX(tbl_dest_line,E31,C31)*P31*(1+INDEX(in_dra_fsc,1,C31))+INDEX(tbl_dest_tolls,E31,C31)+INDEX(in_dra_chassis_days,1,C31)*INDEX(tbl_dest_chassis,E31,C31)*(1-INDEX(in_dra_chassis_in_dray,1,C31))+INDEX(in_dra_wait_hours,1,C31)*INDEX(in_dra_wait_rate,1,C31)+INDEX(in_dra_split,1,C31)+INDEX(in_dra_prepull,1,C31)+INDEX(in_dra_dryrun,1,C31)))</f>
        <v>866</v>
      </c>
      <c r="BL31" s="88" t="n">
        <f aca="false">IF(F31=4,0,G31*IF(F31=1,INDEX(in_dra_unload_20,1,C31),INDEX(in_dra_unload_40,1,C31))*Q31*(1-INDEX(in_dra_unload_in_dray,1,C31)))</f>
        <v>250</v>
      </c>
      <c r="BM31" s="88" t="n">
        <f aca="false">AL31+AN31+AO31+AR31+AU31+AZ31+BB31+BC31+BD31+BF31+BJ31+BK31+BL31</f>
        <v>15285.6737671703</v>
      </c>
      <c r="BN31" s="88" t="n">
        <f aca="false">AP31+AU31+BJ31+BK31+BL31</f>
        <v>4533.0652014652</v>
      </c>
      <c r="BO31" s="88" t="n">
        <f aca="false">AQ31+BF31</f>
        <v>683.260073260073</v>
      </c>
      <c r="BP31" s="88" t="n">
        <f aca="false">AI31*(1+IF(K31=3,INDEX(in_sup_vat_rate,1,C31),0))+AO31*Y31/AB31+AV31*BA31+(BC31+BD31)*AV31/AY31+AZ31*AI31/AL31+BN31*AC31/AF31+BO31*Y31/AB31</f>
        <v>0</v>
      </c>
      <c r="BQ31" s="88" t="n">
        <f aca="false">AJ31*(1+IF(K31=3,INDEX(in_sup_vat_rate,1,C31),0))+AO31*Z31/AB31+AW31*BA31+(BC31+BD31)*AW31/AY31+AZ31*AJ31/AL31+BN31*AD31/AF31+BO31*Z31/AB31</f>
        <v>15285.6737671703</v>
      </c>
      <c r="BR31" s="88" t="n">
        <f aca="false">AK31*(1+IF(K31=3,INDEX(in_sup_vat_rate,1,C31),0))+AO31*AA31/AB31+AX31*BA31+(BC31+BD31)*AX31/AY31+AZ31*AK31/AL31+BN31*AE31/AF31+BO31*AA31/AB31</f>
        <v>0</v>
      </c>
      <c r="BS31" s="89" t="n">
        <f aca="false">BP31+BQ31+BR31-BM31</f>
        <v>0</v>
      </c>
      <c r="BT31" s="85" t="n">
        <f aca="false">Y31*(1-R31)</f>
        <v>0</v>
      </c>
      <c r="BU31" s="85" t="n">
        <f aca="false">Z31*(1-R31)</f>
        <v>72187.25</v>
      </c>
      <c r="BV31" s="85" t="n">
        <f aca="false">AA31*(1-R31)</f>
        <v>0</v>
      </c>
      <c r="BW31" s="85" t="n">
        <f aca="false">BT31+BU31+BV31</f>
        <v>72187.25</v>
      </c>
      <c r="BX31" s="90" t="n">
        <f aca="false">IF(BT31&gt;0,BP31/BT31,0)</f>
        <v>0</v>
      </c>
      <c r="BY31" s="90" t="n">
        <f aca="false">IF(BU31&gt;0,BQ31/BU31,0)</f>
        <v>0.211750326645915</v>
      </c>
      <c r="BZ31" s="90" t="n">
        <f aca="false">IF(BV31&gt;0,BR31/BV31,0)</f>
        <v>0</v>
      </c>
      <c r="CA31" s="90" t="n">
        <f aca="false">INDEX(in_mkt_listing_3464,1,C31)*(1-IF(sku_flute_3464="B",T31,0))*(1-S31)*N31</f>
        <v>0.2856</v>
      </c>
      <c r="CB31" s="90" t="n">
        <f aca="false">INDEX(in_mkt_listing_3463,1,C31)*(1-IF(sku_flute_3463="B",T31,0))*(1-S31)*N31</f>
        <v>0.3128</v>
      </c>
      <c r="CC31" s="90" t="n">
        <f aca="false">INDEX(in_mkt_listing_3460,1,C31)*(1-IF(sku_flute_3460="B",T31,0))*(1-S31)*N31</f>
        <v>0.256</v>
      </c>
      <c r="CD31" s="88" t="n">
        <f aca="false">BT31*CA31+BU31*CB31+BV31*CC31</f>
        <v>22580.1718</v>
      </c>
      <c r="CE31" s="88" t="n">
        <f aca="false">CD31-BM31</f>
        <v>7294.49803282967</v>
      </c>
      <c r="CF31" s="87" t="n">
        <f aca="false">IF(CD31&gt;0,CE31/CD31,0)</f>
        <v>0.323048827858328</v>
      </c>
      <c r="CG31" s="87" t="n">
        <f aca="false">W31+INDEX(in_sel_processing,1,C31)+INDEX(in_sel_bad_debt,1,C31)</f>
        <v>0.0325</v>
      </c>
      <c r="CH31" s="88" t="n">
        <f aca="false">CD31*CG31</f>
        <v>733.8555835</v>
      </c>
      <c r="CI31" s="88" t="n">
        <f aca="false">INDEX(in_sel_testing,1,C31)*X31+INDEX(in_sel_admin,1,C31)</f>
        <v>1250</v>
      </c>
      <c r="CJ31" s="79" t="n">
        <f aca="false">INDEX(in_sup_lead_days,1,C31)</f>
        <v>14</v>
      </c>
      <c r="CK31" s="79" t="n">
        <f aca="false">CJ31+INDEX(in_oce_transit,1,C31)+IF(F31=4,INDEX(in_oce_lcl_extra_days,1,C31),0)</f>
        <v>39</v>
      </c>
      <c r="CL31" s="79" t="n">
        <f aca="false">CK31+2+INDEX(in_cus_dem_days,1,C31)</f>
        <v>41</v>
      </c>
      <c r="CM31" s="79" t="n">
        <f aca="false">CL31+U31</f>
        <v>71</v>
      </c>
      <c r="CN31" s="79" t="n">
        <f aca="false">CJ31+INDEX(in_sup_vat_lag,1,C31)</f>
        <v>44</v>
      </c>
      <c r="CO31" s="91" t="n">
        <f aca="false">INDEX(in_sup_advance,1,C31)</f>
        <v>0.5</v>
      </c>
      <c r="CP31" s="88" t="n">
        <f aca="false">CO31*(AL31+AM31)+AO31+INDEX(in_sel_testing,1,C31)*X31</f>
        <v>5986.15155677656</v>
      </c>
      <c r="CQ31" s="88" t="n">
        <f aca="false">(1-CO31)*(AL31+AM31)+AR31+AU31+AZ31</f>
        <v>8721.87683150183</v>
      </c>
      <c r="CR31" s="88" t="n">
        <f aca="false">BB31+BC31+BD31+BF31+BJ31</f>
        <v>461.645378891941</v>
      </c>
      <c r="CS31" s="88" t="n">
        <f aca="false">BK31+BL31</f>
        <v>1116</v>
      </c>
      <c r="CT31" s="88" t="n">
        <f aca="false">IF(K31=2,AM31,0)</f>
        <v>0</v>
      </c>
      <c r="CU31" s="85" t="n">
        <f aca="false">IF(K31=2,CO31*AM31*(CN31-0)+(1-CO31)*AM31*(CN31-CJ31),0)</f>
        <v>0</v>
      </c>
      <c r="CV31" s="85" t="n">
        <f aca="false">(CP31-CO31*CT31)*(CM31-0)+(CQ31-(1-CO31)*CT31)*(CM31-CJ31)+CR31*(CM31-CK31)+CS31*(CM31-CL31)</f>
        <v>970416.392051282</v>
      </c>
      <c r="CW31" s="88" t="n">
        <f aca="false">INDEX(in_sel_fin_rate,1,C31)/365*(CU31+CV31)</f>
        <v>212.694003737267</v>
      </c>
      <c r="CX31" s="85" t="n">
        <f aca="false">CP31-IF(CN31&lt;=0,CT31,0)</f>
        <v>5986.15155677656</v>
      </c>
      <c r="CY31" s="85" t="n">
        <f aca="false">CP31+CQ31-IF(CN31&lt;=CJ31,CT31,0)</f>
        <v>14708.0283882784</v>
      </c>
      <c r="CZ31" s="85" t="n">
        <f aca="false">CP31+CQ31+CR31-IF(CN31&lt;=CK31,CT31,0)</f>
        <v>15169.6737671703</v>
      </c>
      <c r="DA31" s="85" t="n">
        <f aca="false">CP31+CQ31+CR31+CS31-IF(CN31&lt;=CL31,CT31,0)</f>
        <v>16285.6737671703</v>
      </c>
      <c r="DB31" s="88" t="n">
        <f aca="false">MAX(CX31,CY31,CZ31,DA31)</f>
        <v>16285.6737671703</v>
      </c>
      <c r="DC31" s="88" t="n">
        <f aca="false">CP31+CQ31+CR31+CS31</f>
        <v>16285.6737671703</v>
      </c>
      <c r="DD31" s="88" t="n">
        <f aca="false">CE31-CH31-CI31-CW31</f>
        <v>5097.9484455924</v>
      </c>
      <c r="DE31" s="87" t="n">
        <f aca="false">IF(CD31&gt;0,DD31/CD31,0)</f>
        <v>0.225771021174976</v>
      </c>
      <c r="DF31" s="86" t="n">
        <f aca="false">IF(CD31&gt;0,(BM31+CI31+CW31)/(CD31*(1-CG31)),0)</f>
        <v>0.76664493935403</v>
      </c>
      <c r="DG31" s="90" t="n">
        <f aca="false">IF(BW31&gt;0,BM31/BW31,0)</f>
        <v>0.211750326645915</v>
      </c>
      <c r="DH31" s="90" t="n">
        <f aca="false">IF(BW31&gt;0,CD31/BW31,0)</f>
        <v>0.3128</v>
      </c>
      <c r="DI31" s="90" t="n">
        <f aca="false">IF(AI31&gt;0,(AI31*IF(K31=3,INDEX(in_sup_vat_rate,1,C31),0)+AV31*BA31+(BC31+BD31)*AV31/AY31+AZ31*AI31/AL31)/AI31,0)</f>
        <v>0</v>
      </c>
      <c r="DJ31" s="90" t="n">
        <f aca="false">IF(AJ31&gt;0,(AJ31*IF(K31=3,INDEX(in_sup_vat_rate,1,C31),0)+AW31*BA31+(BC31+BD31)*AW31/AY31+AZ31*AJ31/AL31)/AJ31,0)</f>
        <v>0.00973149108956079</v>
      </c>
      <c r="DK31" s="90" t="n">
        <f aca="false">IF(AK31&gt;0,(AK31*IF(K31=3,INDEX(in_sup_vat_rate,1,C31),0)+AX31*BA31+(BC31+BD31)*AX31/AY31+AZ31*AK31/AL31)/AK31,0)</f>
        <v>0</v>
      </c>
      <c r="DL31" s="90" t="n">
        <f aca="false">IF(Y31&gt;0,(BP31-AI31*(1+DI31))/Y31,0)</f>
        <v>0</v>
      </c>
      <c r="DM31" s="90" t="n">
        <f aca="false">IF(Z31&gt;0,(BQ31-AJ31*(1+DJ31))/Z31,0)</f>
        <v>0.0718997281147523</v>
      </c>
      <c r="DN31" s="90" t="n">
        <f aca="false">IF(AA31&gt;0,(BR31-AK31*(1+DK31))/AA31,0)</f>
        <v>0</v>
      </c>
      <c r="DO31" s="86" t="str">
        <f aca="false">IF(Y31&gt;0,(CA31*(1-thr_gm_go)*(1-R31)-DL31)/(1+DI31)*I31/((1+AH31)*J31),"")</f>
        <v/>
      </c>
      <c r="DP31" s="86" t="n">
        <f aca="false">IF(Z31&gt;0,(CB31*(1-thr_gm_go)*(1-R31)-DM31)/(1+DJ31)*I31/((1+AH31)*J31),"")</f>
        <v>9.19409516058871</v>
      </c>
      <c r="DQ31" s="86" t="str">
        <f aca="false">IF(AA31&gt;0,(CC31*(1-thr_gm_go)*(1-R31)-DN31)/(1+DK31)*I31/((1+AH31)*J31),"")</f>
        <v/>
      </c>
      <c r="DR31" s="92" t="n">
        <f aca="false">IF(AND(AY31*INDEX(in_cus_mpf_rate,1,C31)&gt;INDEX(in_cus_mpf_min,1,C31),AY31*INDEX(in_cus_mpf_rate,1,C31)&lt;INDEX(in_cus_mpf_max,1,C31)),INDEX(in_cus_mpf_rate,1,C31),0)</f>
        <v>0</v>
      </c>
      <c r="DS31" s="88" t="n">
        <f aca="false">IF(AZ31&gt;INDEX(in_oce_ins_min,1,C31),INDEX(in_oce_ins_rate,1,C31)*(1+INDEX(in_oce_ins_uplift,1,C31))*AL31,0)</f>
        <v>0</v>
      </c>
      <c r="DT31" s="88" t="n">
        <f aca="false">(AL31+AN31)*(1+BA31+INDEX(in_cus_hmf,1,C31)+DR31)+DS31</f>
        <v>9984.76849244505</v>
      </c>
      <c r="DU31" s="86" t="n">
        <f aca="false">IF(DT31&gt;0,(CD31*(1-thr_gm_go)-(BM31-DT31))/DT31,0)</f>
        <v>1.16519712841392</v>
      </c>
      <c r="DV31" s="86" t="n">
        <f aca="false">IF(DT31&gt;0,(CD31-(BM31-DT31))/DT31,0)</f>
        <v>1.73056256019847</v>
      </c>
      <c r="DW31" s="87" t="n">
        <f aca="false">(1+AH31)*J31*DU31-1</f>
        <v>0.10693727199322</v>
      </c>
      <c r="DX31" s="87" t="n">
        <f aca="false">(1+AH31)*J31*DV31-1</f>
        <v>0.644034432188546</v>
      </c>
      <c r="DY31" s="85" t="n">
        <f aca="false">IF(G31&gt;0,(CD31*(1-thr_gm_go)-(BM31-AT31))/G31,"")</f>
        <v>4549.45508282967</v>
      </c>
      <c r="DZ31" s="90" t="n">
        <f aca="false">IF(AB31&gt;0,(AL31+AN31+BB31+BC31+BD31)/AB31,0)</f>
        <v>0.138102667021986</v>
      </c>
      <c r="EA31" s="88" t="n">
        <f aca="false">BM31-DZ31*AB31</f>
        <v>5266.32527472528</v>
      </c>
      <c r="EB31" s="90" t="n">
        <f aca="false">IF(AB31&gt;0,CD31/AB31,0)</f>
        <v>0.311236</v>
      </c>
      <c r="EC31" s="85" t="n">
        <f aca="false">IF(EB31*(1-thr_gm_go)-DZ31&gt;0,EA31/(EB31*(1-thr_gm_go)-DZ31),"n/a")</f>
        <v>55246.3899846003</v>
      </c>
      <c r="ED31" s="85" t="n">
        <f aca="false">IF(EB31-DZ31&gt;0,EA31/(EB31-DZ31),"n/a")</f>
        <v>30417.7432741622</v>
      </c>
      <c r="EE31" s="93" t="b">
        <f aca="false">INDEX(cfg_fits,D31,C31)</f>
        <v>1</v>
      </c>
      <c r="EF31" s="87" t="n">
        <f aca="false">IF(F31=4,"",INDEX(cfg_lenutil,D31,C31))</f>
        <v>0.958927074601844</v>
      </c>
      <c r="EG31" s="31" t="str">
        <f aca="false">IF(O31&gt;1,"Check fit (units scaled up)","")</f>
        <v/>
      </c>
    </row>
    <row r="32" customFormat="false" ht="15" hidden="false" customHeight="false" outlineLevel="0" collapsed="false">
      <c r="A32" s="78" t="n">
        <v>1063</v>
      </c>
      <c r="B32" s="9" t="s">
        <v>3180</v>
      </c>
      <c r="C32" s="78" t="n">
        <v>1</v>
      </c>
      <c r="D32" s="78" t="n">
        <v>6</v>
      </c>
      <c r="E32" s="78" t="n">
        <v>3</v>
      </c>
      <c r="F32" s="79" t="n">
        <f aca="false">INDEX(cfg_ct,D32)</f>
        <v>3</v>
      </c>
      <c r="G32" s="79" t="n">
        <f aca="false">INDEX(cfg_n,D32)</f>
        <v>1</v>
      </c>
      <c r="H32" s="79" t="n">
        <f aca="false">INDEX(dest_port,E32)</f>
        <v>2</v>
      </c>
      <c r="I32" s="80" t="n">
        <f aca="false">INDEX(in_fx_cbe,1,C32)*(1-INDEX(in_fx_spread,1,C32))</f>
        <v>54.6</v>
      </c>
      <c r="J32" s="81" t="n">
        <f aca="false">1</f>
        <v>1</v>
      </c>
      <c r="K32" s="82" t="n">
        <f aca="false">INDEX(in_sup_vat_mode,1,C32)</f>
        <v>1</v>
      </c>
      <c r="L32" s="83" t="n">
        <f aca="false">INDEX(in_cus_s301,1,C32)</f>
        <v>0</v>
      </c>
      <c r="M32" s="84" t="n">
        <f aca="false">1</f>
        <v>1</v>
      </c>
      <c r="N32" s="81" t="n">
        <f aca="false">1</f>
        <v>1</v>
      </c>
      <c r="O32" s="81" t="n">
        <f aca="false">1</f>
        <v>1</v>
      </c>
      <c r="P32" s="81" t="n">
        <f aca="false">1</f>
        <v>1</v>
      </c>
      <c r="Q32" s="81" t="n">
        <f aca="false">1</f>
        <v>1</v>
      </c>
      <c r="R32" s="83" t="n">
        <f aca="false">INDEX(in_sel_damage,1,C32)</f>
        <v>0.005</v>
      </c>
      <c r="S32" s="83" t="n">
        <f aca="false">INDEX(in_mkt_dist_margin,1,C32)</f>
        <v>0.2</v>
      </c>
      <c r="T32" s="83" t="n">
        <f aca="false">INDEX(in_mkt_eflute_disc,1,C32)</f>
        <v>0.15</v>
      </c>
      <c r="U32" s="82" t="n">
        <f aca="false">INDEX(in_sel_credit_days,1,C32)</f>
        <v>30</v>
      </c>
      <c r="V32" s="81" t="n">
        <f aca="false">1</f>
        <v>1</v>
      </c>
      <c r="W32" s="83" t="n">
        <f aca="false">INDEX(in_sel_commission,1,C32)</f>
        <v>0.03</v>
      </c>
      <c r="X32" s="82" t="n">
        <f aca="false">1</f>
        <v>1</v>
      </c>
      <c r="Y32" s="85" t="n">
        <f aca="false">INDEX(cfg_u_3464,D32,C32)*O32</f>
        <v>0</v>
      </c>
      <c r="Z32" s="85" t="n">
        <f aca="false">INDEX(cfg_u_3463,D32,C32)*O32</f>
        <v>72550</v>
      </c>
      <c r="AA32" s="85" t="n">
        <f aca="false">INDEX(cfg_u_3460,D32,C32)*O32</f>
        <v>0</v>
      </c>
      <c r="AB32" s="85" t="n">
        <f aca="false">Y32+Z32+AA32</f>
        <v>72550</v>
      </c>
      <c r="AC32" s="86" t="n">
        <f aca="false">Y32*INDEX(lg_vpu_3464,C32)</f>
        <v>0</v>
      </c>
      <c r="AD32" s="86" t="n">
        <f aca="false">Z32*INDEX(lg_vpu_3463,C32)</f>
        <v>59.192094</v>
      </c>
      <c r="AE32" s="86" t="n">
        <f aca="false">AA32*INDEX(lg_vpu_3460,C32)</f>
        <v>0</v>
      </c>
      <c r="AF32" s="86" t="n">
        <f aca="false">AC32+AD32+AE32</f>
        <v>59.192094</v>
      </c>
      <c r="AG32" s="85" t="n">
        <f aca="false">Y32*INDEX(lg_kpu_3464,C32)+Z32*INDEX(lg_kpu_3463,C32)+AA32*INDEX(lg_kpu_3460,C32)</f>
        <v>14458.913192</v>
      </c>
      <c r="AH32" s="87" t="n">
        <f aca="false">INDEX(in_sup_requote,1,C32)</f>
        <v>-0.05</v>
      </c>
      <c r="AI32" s="88" t="n">
        <f aca="false">Y32*q_price_3464*(1+AH32)*J32/I32</f>
        <v>0</v>
      </c>
      <c r="AJ32" s="88" t="n">
        <f aca="false">Z32*q_price_3463*(1+AH32)*J32/I32</f>
        <v>9972.30311355311</v>
      </c>
      <c r="AK32" s="88" t="n">
        <f aca="false">AA32*q_price_3460*(1+AH32)*J32/I32</f>
        <v>0</v>
      </c>
      <c r="AL32" s="88" t="n">
        <f aca="false">AI32+AJ32+AK32</f>
        <v>9972.30311355311</v>
      </c>
      <c r="AM32" s="88" t="n">
        <f aca="false">IF(OR(K32=2,K32=3),AL32*INDEX(in_sup_vat_rate,1,C32),0)</f>
        <v>0</v>
      </c>
      <c r="AN32" s="88" t="n">
        <f aca="false">IF(K32=3,AM32,0)</f>
        <v>0</v>
      </c>
      <c r="AO32" s="88" t="n">
        <f aca="false">INDEX(in_sup_tooling_egp,1,C32)/I32</f>
        <v>0</v>
      </c>
      <c r="AP32" s="88" t="n">
        <f aca="false">IF(F32=4,INDEX(in_ori_lcl_truck,1,C32)*V32/I32+INDEX(in_ori_lcl_cfs_o,1,C32),G32*(IF(F32=1,INDEX(in_ori_truck_20,1,C32),INDEX(in_ori_truck_40,1,C32))*V32/I32+INDEX(in_ori_terminal,1,C32)+IF(F32=1,INDEX(in_ori_othc_20,1,C32),INDEX(in_ori_othc_40,1,C32))*(1-INDEX(in_ori_othc_in_freight,1,C32))+INDEX(in_ori_seal,1,C32)+INDEX(in_ori_inspection,1,C32)+INDEX(in_ori_dd_days,1,C32)*IF(F32=1,INDEX(in_ori_dd_20,1,C32),INDEX(in_ori_dd_40,1,C32))+INDEX(in_ori_loading_egp,1,C32)/I32))</f>
        <v>457.465201465201</v>
      </c>
      <c r="AQ32" s="88" t="n">
        <f aca="false">(INDEX(in_ori_clearance,1,C32)+INDEX(in_ori_coo,1,C32))/I32+INDEX(in_ori_bl_fee,1,C32)+INDEX(in_ori_fwd_fee,1,C32)+INDEX(in_ori_qc,1,C32)+INDEX(in_ori_wires,1,C32)*INDEX(in_ori_wire_fee,1,C32)</f>
        <v>298.260073260073</v>
      </c>
      <c r="AR32" s="88" t="n">
        <f aca="false">AP32+AQ32</f>
        <v>755.725274725275</v>
      </c>
      <c r="AS32" s="85" t="n">
        <f aca="false">INDEX(tbl_port_diff,H32,C32)</f>
        <v>0</v>
      </c>
      <c r="AT32" s="88" t="n">
        <f aca="false">IF(F32=4,MAX(AF32*INDEX(in_oce_lcl_factor,1,C32),AG32/1000,1)*INDEX(in_oce_lcl_rate,1,C32)*M32,G32*(INDEX(tbl_ocean_rate,MIN(F32,3),C32)+AS32)*M32)</f>
        <v>2900</v>
      </c>
      <c r="AU32" s="88" t="n">
        <f aca="false">AT32+INDEX(in_oce_ams,1,C32)</f>
        <v>2930</v>
      </c>
      <c r="AV32" s="88" t="n">
        <f aca="false">AI32*(1+IF(K32=3,INDEX(in_sup_vat_rate,1,C32),0))+AO32*Y32/AB32</f>
        <v>0</v>
      </c>
      <c r="AW32" s="88" t="n">
        <f aca="false">AJ32*(1+IF(K32=3,INDEX(in_sup_vat_rate,1,C32),0))+AO32*Z32/AB32</f>
        <v>9972.30311355311</v>
      </c>
      <c r="AX32" s="88" t="n">
        <f aca="false">AK32*(1+IF(K32=3,INDEX(in_sup_vat_rate,1,C32),0))+AO32*AA32/AB32</f>
        <v>0</v>
      </c>
      <c r="AY32" s="88" t="n">
        <f aca="false">AV32+AW32+AX32</f>
        <v>9972.30311355311</v>
      </c>
      <c r="AZ32" s="88" t="n">
        <f aca="false">MAX(INDEX(in_oce_ins_min,1,C32),INDEX(in_oce_ins_rate,1,C32)*(1+INDEX(in_oce_ins_uplift,1,C32))*(AL32+AO32+AR32+AU32))*(1-INDEX(in_oce_ins_in_other,1,C32))</f>
        <v>50</v>
      </c>
      <c r="BA32" s="87" t="n">
        <f aca="false">INDEX(in_cus_mfn,1,C32)+L32</f>
        <v>0</v>
      </c>
      <c r="BB32" s="88" t="n">
        <f aca="false">AY32*BA32</f>
        <v>0</v>
      </c>
      <c r="BC32" s="88" t="n">
        <f aca="false">MIN(MAX(AY32*INDEX(in_cus_mpf_rate,1,C32),INDEX(in_cus_mpf_min,1,C32)),INDEX(in_cus_mpf_max,1,C32))</f>
        <v>34.58</v>
      </c>
      <c r="BD32" s="88" t="n">
        <f aca="false">AY32*INDEX(in_cus_hmf,1,C32)</f>
        <v>12.4653788919414</v>
      </c>
      <c r="BE32" s="88" t="n">
        <f aca="false">MAX(INDEX(in_cus_stb_min,1,C32),INDEX(in_cus_stb_rate,1,C32)/1000*(AY32+BB32+BC32+BD32))</f>
        <v>50</v>
      </c>
      <c r="BF32" s="88" t="n">
        <f aca="false">INDEX(in_cus_broker,1,C32)+INDEX(in_cus_isf,1,C32)+INDEX(in_cus_do_fee,1,C32)+BE32+INDEX(in_cus_isf_bond,1,C32)</f>
        <v>385</v>
      </c>
      <c r="BG32" s="88" t="n">
        <f aca="false">IF(H32=1,INDEX(in_cus_cfc,1,C32)*INDEX(ct_teu,F32)*G32*(1-INDEX(in_cus_cfc_in_freight,1,C32)),0)</f>
        <v>0</v>
      </c>
      <c r="BH32" s="88" t="n">
        <f aca="false">IF(F32=4,1,G32)*(INDEX(in_cus_exam,1,C32)+INDEX(in_cus_exam_dray,1,C32))</f>
        <v>0</v>
      </c>
      <c r="BI32" s="88" t="n">
        <f aca="false">IF(F32=4,1,G32)*INDEX(in_cus_dem_days,1,C32)*INDEX(in_cus_dem_rate,1,C32)</f>
        <v>0</v>
      </c>
      <c r="BJ32" s="88" t="n">
        <f aca="false">BG32+BH32+BI32</f>
        <v>0</v>
      </c>
      <c r="BK32" s="88" t="n">
        <f aca="false">IF(F32=4,(INDEX(in_dra_lcl_cfs_d,1,C32)+INDEX(in_dra_lcl_deliv,1,C32))*P32,G32*(INDEX(tbl_dest_line,E32,C32)*P32*(1+INDEX(in_dra_fsc,1,C32))+INDEX(tbl_dest_tolls,E32,C32)+INDEX(in_dra_chassis_days,1,C32)*INDEX(tbl_dest_chassis,E32,C32)*(1-INDEX(in_dra_chassis_in_dray,1,C32))+INDEX(in_dra_wait_hours,1,C32)*INDEX(in_dra_wait_rate,1,C32)+INDEX(in_dra_split,1,C32)+INDEX(in_dra_prepull,1,C32)+INDEX(in_dra_dryrun,1,C32)))</f>
        <v>567.5</v>
      </c>
      <c r="BL32" s="88" t="n">
        <f aca="false">IF(F32=4,0,G32*IF(F32=1,INDEX(in_dra_unload_20,1,C32),INDEX(in_dra_unload_40,1,C32))*Q32*(1-INDEX(in_dra_unload_in_dray,1,C32)))</f>
        <v>250</v>
      </c>
      <c r="BM32" s="88" t="n">
        <f aca="false">AL32+AN32+AO32+AR32+AU32+AZ32+BB32+BC32+BD32+BF32+BJ32+BK32+BL32</f>
        <v>14957.5737671703</v>
      </c>
      <c r="BN32" s="88" t="n">
        <f aca="false">AP32+AU32+BJ32+BK32+BL32</f>
        <v>4204.9652014652</v>
      </c>
      <c r="BO32" s="88" t="n">
        <f aca="false">AQ32+BF32</f>
        <v>683.260073260073</v>
      </c>
      <c r="BP32" s="88" t="n">
        <f aca="false">AI32*(1+IF(K32=3,INDEX(in_sup_vat_rate,1,C32),0))+AO32*Y32/AB32+AV32*BA32+(BC32+BD32)*AV32/AY32+AZ32*AI32/AL32+BN32*AC32/AF32+BO32*Y32/AB32</f>
        <v>0</v>
      </c>
      <c r="BQ32" s="88" t="n">
        <f aca="false">AJ32*(1+IF(K32=3,INDEX(in_sup_vat_rate,1,C32),0))+AO32*Z32/AB32+AW32*BA32+(BC32+BD32)*AW32/AY32+AZ32*AJ32/AL32+BN32*AD32/AF32+BO32*Z32/AB32</f>
        <v>14957.5737671703</v>
      </c>
      <c r="BR32" s="88" t="n">
        <f aca="false">AK32*(1+IF(K32=3,INDEX(in_sup_vat_rate,1,C32),0))+AO32*AA32/AB32+AX32*BA32+(BC32+BD32)*AX32/AY32+AZ32*AK32/AL32+BN32*AE32/AF32+BO32*AA32/AB32</f>
        <v>0</v>
      </c>
      <c r="BS32" s="89" t="n">
        <f aca="false">BP32+BQ32+BR32-BM32</f>
        <v>0</v>
      </c>
      <c r="BT32" s="85" t="n">
        <f aca="false">Y32*(1-R32)</f>
        <v>0</v>
      </c>
      <c r="BU32" s="85" t="n">
        <f aca="false">Z32*(1-R32)</f>
        <v>72187.25</v>
      </c>
      <c r="BV32" s="85" t="n">
        <f aca="false">AA32*(1-R32)</f>
        <v>0</v>
      </c>
      <c r="BW32" s="85" t="n">
        <f aca="false">BT32+BU32+BV32</f>
        <v>72187.25</v>
      </c>
      <c r="BX32" s="90" t="n">
        <f aca="false">IF(BT32&gt;0,BP32/BT32,0)</f>
        <v>0</v>
      </c>
      <c r="BY32" s="90" t="n">
        <f aca="false">IF(BU32&gt;0,BQ32/BU32,0)</f>
        <v>0.207205202680118</v>
      </c>
      <c r="BZ32" s="90" t="n">
        <f aca="false">IF(BV32&gt;0,BR32/BV32,0)</f>
        <v>0</v>
      </c>
      <c r="CA32" s="90" t="n">
        <f aca="false">INDEX(in_mkt_listing_3464,1,C32)*(1-IF(sku_flute_3464="B",T32,0))*(1-S32)*N32</f>
        <v>0.2856</v>
      </c>
      <c r="CB32" s="90" t="n">
        <f aca="false">INDEX(in_mkt_listing_3463,1,C32)*(1-IF(sku_flute_3463="B",T32,0))*(1-S32)*N32</f>
        <v>0.3128</v>
      </c>
      <c r="CC32" s="90" t="n">
        <f aca="false">INDEX(in_mkt_listing_3460,1,C32)*(1-IF(sku_flute_3460="B",T32,0))*(1-S32)*N32</f>
        <v>0.256</v>
      </c>
      <c r="CD32" s="88" t="n">
        <f aca="false">BT32*CA32+BU32*CB32+BV32*CC32</f>
        <v>22580.1718</v>
      </c>
      <c r="CE32" s="88" t="n">
        <f aca="false">CD32-BM32</f>
        <v>7622.59803282967</v>
      </c>
      <c r="CF32" s="87" t="n">
        <f aca="false">IF(CD32&gt;0,CE32/CD32,0)</f>
        <v>0.337579275319317</v>
      </c>
      <c r="CG32" s="87" t="n">
        <f aca="false">W32+INDEX(in_sel_processing,1,C32)+INDEX(in_sel_bad_debt,1,C32)</f>
        <v>0.0325</v>
      </c>
      <c r="CH32" s="88" t="n">
        <f aca="false">CD32*CG32</f>
        <v>733.8555835</v>
      </c>
      <c r="CI32" s="88" t="n">
        <f aca="false">INDEX(in_sel_testing,1,C32)*X32+INDEX(in_sel_admin,1,C32)</f>
        <v>1250</v>
      </c>
      <c r="CJ32" s="79" t="n">
        <f aca="false">INDEX(in_sup_lead_days,1,C32)</f>
        <v>14</v>
      </c>
      <c r="CK32" s="79" t="n">
        <f aca="false">CJ32+INDEX(in_oce_transit,1,C32)+IF(F32=4,INDEX(in_oce_lcl_extra_days,1,C32),0)</f>
        <v>39</v>
      </c>
      <c r="CL32" s="79" t="n">
        <f aca="false">CK32+2+INDEX(in_cus_dem_days,1,C32)</f>
        <v>41</v>
      </c>
      <c r="CM32" s="79" t="n">
        <f aca="false">CL32+U32</f>
        <v>71</v>
      </c>
      <c r="CN32" s="79" t="n">
        <f aca="false">CJ32+INDEX(in_sup_vat_lag,1,C32)</f>
        <v>44</v>
      </c>
      <c r="CO32" s="91" t="n">
        <f aca="false">INDEX(in_sup_advance,1,C32)</f>
        <v>0.5</v>
      </c>
      <c r="CP32" s="88" t="n">
        <f aca="false">CO32*(AL32+AM32)+AO32+INDEX(in_sel_testing,1,C32)*X32</f>
        <v>5986.15155677656</v>
      </c>
      <c r="CQ32" s="88" t="n">
        <f aca="false">(1-CO32)*(AL32+AM32)+AR32+AU32+AZ32</f>
        <v>8721.87683150183</v>
      </c>
      <c r="CR32" s="88" t="n">
        <f aca="false">BB32+BC32+BD32+BF32+BJ32</f>
        <v>432.045378891941</v>
      </c>
      <c r="CS32" s="88" t="n">
        <f aca="false">BK32+BL32</f>
        <v>817.5</v>
      </c>
      <c r="CT32" s="88" t="n">
        <f aca="false">IF(K32=2,AM32,0)</f>
        <v>0</v>
      </c>
      <c r="CU32" s="85" t="n">
        <f aca="false">IF(K32=2,CO32*AM32*(CN32-0)+(1-CO32)*AM32*(CN32-CJ32),0)</f>
        <v>0</v>
      </c>
      <c r="CV32" s="85" t="n">
        <f aca="false">(CP32-CO32*CT32)*(CM32-0)+(CQ32-(1-CO32)*CT32)*(CM32-CJ32)+CR32*(CM32-CK32)+CS32*(CM32-CL32)</f>
        <v>960514.192051282</v>
      </c>
      <c r="CW32" s="88" t="n">
        <f aca="false">INDEX(in_sel_fin_rate,1,C32)/365*(CU32+CV32)</f>
        <v>210.523658531788</v>
      </c>
      <c r="CX32" s="85" t="n">
        <f aca="false">CP32-IF(CN32&lt;=0,CT32,0)</f>
        <v>5986.15155677656</v>
      </c>
      <c r="CY32" s="85" t="n">
        <f aca="false">CP32+CQ32-IF(CN32&lt;=CJ32,CT32,0)</f>
        <v>14708.0283882784</v>
      </c>
      <c r="CZ32" s="85" t="n">
        <f aca="false">CP32+CQ32+CR32-IF(CN32&lt;=CK32,CT32,0)</f>
        <v>15140.0737671703</v>
      </c>
      <c r="DA32" s="85" t="n">
        <f aca="false">CP32+CQ32+CR32+CS32-IF(CN32&lt;=CL32,CT32,0)</f>
        <v>15957.5737671703</v>
      </c>
      <c r="DB32" s="88" t="n">
        <f aca="false">MAX(CX32,CY32,CZ32,DA32)</f>
        <v>15957.5737671703</v>
      </c>
      <c r="DC32" s="88" t="n">
        <f aca="false">CP32+CQ32+CR32+CS32</f>
        <v>15957.5737671703</v>
      </c>
      <c r="DD32" s="88" t="n">
        <f aca="false">CE32-CH32-CI32-CW32</f>
        <v>5428.21879079788</v>
      </c>
      <c r="DE32" s="87" t="n">
        <f aca="false">IF(CD32&gt;0,DD32/CD32,0)</f>
        <v>0.240397585938557</v>
      </c>
      <c r="DF32" s="86" t="n">
        <f aca="false">IF(CD32&gt;0,(BM32+CI32+CW32)/(CD32*(1-CG32)),0)</f>
        <v>0.751527042957564</v>
      </c>
      <c r="DG32" s="90" t="n">
        <f aca="false">IF(BW32&gt;0,BM32/BW32,0)</f>
        <v>0.207205202680118</v>
      </c>
      <c r="DH32" s="90" t="n">
        <f aca="false">IF(BW32&gt;0,CD32/BW32,0)</f>
        <v>0.3128</v>
      </c>
      <c r="DI32" s="90" t="n">
        <f aca="false">IF(AI32&gt;0,(AI32*IF(K32=3,INDEX(in_sup_vat_rate,1,C32),0)+AV32*BA32+(BC32+BD32)*AV32/AY32+AZ32*AI32/AL32)/AI32,0)</f>
        <v>0</v>
      </c>
      <c r="DJ32" s="90" t="n">
        <f aca="false">IF(AJ32&gt;0,(AJ32*IF(K32=3,INDEX(in_sup_vat_rate,1,C32),0)+AW32*BA32+(BC32+BD32)*AW32/AY32+AZ32*AJ32/AL32)/AJ32,0)</f>
        <v>0.00973149108956079</v>
      </c>
      <c r="DK32" s="90" t="n">
        <f aca="false">IF(AK32&gt;0,(AK32*IF(K32=3,INDEX(in_sup_vat_rate,1,C32),0)+AX32*BA32+(BC32+BD32)*AX32/AY32+AZ32*AK32/AL32)/AK32,0)</f>
        <v>0</v>
      </c>
      <c r="DL32" s="90" t="n">
        <f aca="false">IF(Y32&gt;0,(BP32-AI32*(1+DI32))/Y32,0)</f>
        <v>0</v>
      </c>
      <c r="DM32" s="90" t="n">
        <f aca="false">IF(Z32&gt;0,(BQ32-AJ32*(1+DJ32))/Z32,0)</f>
        <v>0.067377329768784</v>
      </c>
      <c r="DN32" s="90" t="n">
        <f aca="false">IF(AA32&gt;0,(BR32-AK32*(1+DK32))/AA32,0)</f>
        <v>0</v>
      </c>
      <c r="DO32" s="86" t="str">
        <f aca="false">IF(Y32&gt;0,(CA32*(1-thr_gm_go)*(1-R32)-DL32)/(1+DI32)*I32/((1+AH32)*J32),"")</f>
        <v/>
      </c>
      <c r="DP32" s="86" t="n">
        <f aca="false">IF(Z32&gt;0,(CB32*(1-thr_gm_go)*(1-R32)-DM32)/(1+DJ32)*I32/((1+AH32)*J32),"")</f>
        <v>9.4515090341819</v>
      </c>
      <c r="DQ32" s="86" t="str">
        <f aca="false">IF(AA32&gt;0,(CC32*(1-thr_gm_go)*(1-R32)-DN32)/(1+DK32)*I32/((1+AH32)*J32),"")</f>
        <v/>
      </c>
      <c r="DR32" s="92" t="n">
        <f aca="false">IF(AND(AY32*INDEX(in_cus_mpf_rate,1,C32)&gt;INDEX(in_cus_mpf_min,1,C32),AY32*INDEX(in_cus_mpf_rate,1,C32)&lt;INDEX(in_cus_mpf_max,1,C32)),INDEX(in_cus_mpf_rate,1,C32),0)</f>
        <v>0</v>
      </c>
      <c r="DS32" s="88" t="n">
        <f aca="false">IF(AZ32&gt;INDEX(in_oce_ins_min,1,C32),INDEX(in_oce_ins_rate,1,C32)*(1+INDEX(in_oce_ins_uplift,1,C32))*AL32,0)</f>
        <v>0</v>
      </c>
      <c r="DT32" s="88" t="n">
        <f aca="false">(AL32+AN32)*(1+BA32+INDEX(in_cus_hmf,1,C32)+DR32)+DS32</f>
        <v>9984.76849244505</v>
      </c>
      <c r="DU32" s="86" t="n">
        <f aca="false">IF(DT32&gt;0,(CD32*(1-thr_gm_go)-(BM32-DT32))/DT32,0)</f>
        <v>1.19805717922514</v>
      </c>
      <c r="DV32" s="86" t="n">
        <f aca="false">IF(DT32&gt;0,(CD32-(BM32-DT32))/DT32,0)</f>
        <v>1.76342261100969</v>
      </c>
      <c r="DW32" s="87" t="n">
        <f aca="false">(1+AH32)*J32*DU32-1</f>
        <v>0.138154320263878</v>
      </c>
      <c r="DX32" s="87" t="n">
        <f aca="false">(1+AH32)*J32*DV32-1</f>
        <v>0.675251480459204</v>
      </c>
      <c r="DY32" s="85" t="n">
        <f aca="false">IF(G32&gt;0,(CD32*(1-thr_gm_go)-(BM32-AT32))/G32,"")</f>
        <v>4877.55508282967</v>
      </c>
      <c r="DZ32" s="90" t="n">
        <f aca="false">IF(AB32&gt;0,(AL32+AN32+BB32+BC32+BD32)/AB32,0)</f>
        <v>0.138102667021986</v>
      </c>
      <c r="EA32" s="88" t="n">
        <f aca="false">BM32-DZ32*AB32</f>
        <v>4938.22527472528</v>
      </c>
      <c r="EB32" s="90" t="n">
        <f aca="false">IF(AB32&gt;0,CD32/AB32,0)</f>
        <v>0.311236</v>
      </c>
      <c r="EC32" s="85" t="n">
        <f aca="false">IF(EB32*(1-thr_gm_go)-DZ32&gt;0,EA32/(EB32*(1-thr_gm_go)-DZ32),"n/a")</f>
        <v>51804.4566424003</v>
      </c>
      <c r="ED32" s="85" t="n">
        <f aca="false">IF(EB32-DZ32&gt;0,EA32/(EB32-DZ32),"n/a")</f>
        <v>28522.6720342313</v>
      </c>
      <c r="EE32" s="93" t="b">
        <f aca="false">INDEX(cfg_fits,D32,C32)</f>
        <v>1</v>
      </c>
      <c r="EF32" s="87" t="n">
        <f aca="false">IF(F32=4,"",INDEX(cfg_lenutil,D32,C32))</f>
        <v>0.958927074601844</v>
      </c>
      <c r="EG32" s="31" t="str">
        <f aca="false">IF(O32&gt;1,"Check fit (units scaled up)","")</f>
        <v/>
      </c>
    </row>
    <row r="33" customFormat="false" ht="15" hidden="false" customHeight="false" outlineLevel="0" collapsed="false">
      <c r="A33" s="78" t="n">
        <v>1064</v>
      </c>
      <c r="B33" s="9" t="s">
        <v>3181</v>
      </c>
      <c r="C33" s="78" t="n">
        <v>1</v>
      </c>
      <c r="D33" s="78" t="n">
        <v>6</v>
      </c>
      <c r="E33" s="78" t="n">
        <v>4</v>
      </c>
      <c r="F33" s="79" t="n">
        <f aca="false">INDEX(cfg_ct,D33)</f>
        <v>3</v>
      </c>
      <c r="G33" s="79" t="n">
        <f aca="false">INDEX(cfg_n,D33)</f>
        <v>1</v>
      </c>
      <c r="H33" s="79" t="n">
        <f aca="false">INDEX(dest_port,E33)</f>
        <v>3</v>
      </c>
      <c r="I33" s="80" t="n">
        <f aca="false">INDEX(in_fx_cbe,1,C33)*(1-INDEX(in_fx_spread,1,C33))</f>
        <v>54.6</v>
      </c>
      <c r="J33" s="81" t="n">
        <f aca="false">1</f>
        <v>1</v>
      </c>
      <c r="K33" s="82" t="n">
        <f aca="false">INDEX(in_sup_vat_mode,1,C33)</f>
        <v>1</v>
      </c>
      <c r="L33" s="83" t="n">
        <f aca="false">INDEX(in_cus_s301,1,C33)</f>
        <v>0</v>
      </c>
      <c r="M33" s="84" t="n">
        <f aca="false">1</f>
        <v>1</v>
      </c>
      <c r="N33" s="81" t="n">
        <f aca="false">1</f>
        <v>1</v>
      </c>
      <c r="O33" s="81" t="n">
        <f aca="false">1</f>
        <v>1</v>
      </c>
      <c r="P33" s="81" t="n">
        <f aca="false">1</f>
        <v>1</v>
      </c>
      <c r="Q33" s="81" t="n">
        <f aca="false">1</f>
        <v>1</v>
      </c>
      <c r="R33" s="83" t="n">
        <f aca="false">INDEX(in_sel_damage,1,C33)</f>
        <v>0.005</v>
      </c>
      <c r="S33" s="83" t="n">
        <f aca="false">INDEX(in_mkt_dist_margin,1,C33)</f>
        <v>0.2</v>
      </c>
      <c r="T33" s="83" t="n">
        <f aca="false">INDEX(in_mkt_eflute_disc,1,C33)</f>
        <v>0.15</v>
      </c>
      <c r="U33" s="82" t="n">
        <f aca="false">INDEX(in_sel_credit_days,1,C33)</f>
        <v>30</v>
      </c>
      <c r="V33" s="81" t="n">
        <f aca="false">1</f>
        <v>1</v>
      </c>
      <c r="W33" s="83" t="n">
        <f aca="false">INDEX(in_sel_commission,1,C33)</f>
        <v>0.03</v>
      </c>
      <c r="X33" s="82" t="n">
        <f aca="false">1</f>
        <v>1</v>
      </c>
      <c r="Y33" s="85" t="n">
        <f aca="false">INDEX(cfg_u_3464,D33,C33)*O33</f>
        <v>0</v>
      </c>
      <c r="Z33" s="85" t="n">
        <f aca="false">INDEX(cfg_u_3463,D33,C33)*O33</f>
        <v>72550</v>
      </c>
      <c r="AA33" s="85" t="n">
        <f aca="false">INDEX(cfg_u_3460,D33,C33)*O33</f>
        <v>0</v>
      </c>
      <c r="AB33" s="85" t="n">
        <f aca="false">Y33+Z33+AA33</f>
        <v>72550</v>
      </c>
      <c r="AC33" s="86" t="n">
        <f aca="false">Y33*INDEX(lg_vpu_3464,C33)</f>
        <v>0</v>
      </c>
      <c r="AD33" s="86" t="n">
        <f aca="false">Z33*INDEX(lg_vpu_3463,C33)</f>
        <v>59.192094</v>
      </c>
      <c r="AE33" s="86" t="n">
        <f aca="false">AA33*INDEX(lg_vpu_3460,C33)</f>
        <v>0</v>
      </c>
      <c r="AF33" s="86" t="n">
        <f aca="false">AC33+AD33+AE33</f>
        <v>59.192094</v>
      </c>
      <c r="AG33" s="85" t="n">
        <f aca="false">Y33*INDEX(lg_kpu_3464,C33)+Z33*INDEX(lg_kpu_3463,C33)+AA33*INDEX(lg_kpu_3460,C33)</f>
        <v>14458.913192</v>
      </c>
      <c r="AH33" s="87" t="n">
        <f aca="false">INDEX(in_sup_requote,1,C33)</f>
        <v>-0.05</v>
      </c>
      <c r="AI33" s="88" t="n">
        <f aca="false">Y33*q_price_3464*(1+AH33)*J33/I33</f>
        <v>0</v>
      </c>
      <c r="AJ33" s="88" t="n">
        <f aca="false">Z33*q_price_3463*(1+AH33)*J33/I33</f>
        <v>9972.30311355311</v>
      </c>
      <c r="AK33" s="88" t="n">
        <f aca="false">AA33*q_price_3460*(1+AH33)*J33/I33</f>
        <v>0</v>
      </c>
      <c r="AL33" s="88" t="n">
        <f aca="false">AI33+AJ33+AK33</f>
        <v>9972.30311355311</v>
      </c>
      <c r="AM33" s="88" t="n">
        <f aca="false">IF(OR(K33=2,K33=3),AL33*INDEX(in_sup_vat_rate,1,C33),0)</f>
        <v>0</v>
      </c>
      <c r="AN33" s="88" t="n">
        <f aca="false">IF(K33=3,AM33,0)</f>
        <v>0</v>
      </c>
      <c r="AO33" s="88" t="n">
        <f aca="false">INDEX(in_sup_tooling_egp,1,C33)/I33</f>
        <v>0</v>
      </c>
      <c r="AP33" s="88" t="n">
        <f aca="false">IF(F33=4,INDEX(in_ori_lcl_truck,1,C33)*V33/I33+INDEX(in_ori_lcl_cfs_o,1,C33),G33*(IF(F33=1,INDEX(in_ori_truck_20,1,C33),INDEX(in_ori_truck_40,1,C33))*V33/I33+INDEX(in_ori_terminal,1,C33)+IF(F33=1,INDEX(in_ori_othc_20,1,C33),INDEX(in_ori_othc_40,1,C33))*(1-INDEX(in_ori_othc_in_freight,1,C33))+INDEX(in_ori_seal,1,C33)+INDEX(in_ori_inspection,1,C33)+INDEX(in_ori_dd_days,1,C33)*IF(F33=1,INDEX(in_ori_dd_20,1,C33),INDEX(in_ori_dd_40,1,C33))+INDEX(in_ori_loading_egp,1,C33)/I33))</f>
        <v>457.465201465201</v>
      </c>
      <c r="AQ33" s="88" t="n">
        <f aca="false">(INDEX(in_ori_clearance,1,C33)+INDEX(in_ori_coo,1,C33))/I33+INDEX(in_ori_bl_fee,1,C33)+INDEX(in_ori_fwd_fee,1,C33)+INDEX(in_ori_qc,1,C33)+INDEX(in_ori_wires,1,C33)*INDEX(in_ori_wire_fee,1,C33)</f>
        <v>298.260073260073</v>
      </c>
      <c r="AR33" s="88" t="n">
        <f aca="false">AP33+AQ33</f>
        <v>755.725274725275</v>
      </c>
      <c r="AS33" s="85" t="n">
        <f aca="false">INDEX(tbl_port_diff,H33,C33)</f>
        <v>0</v>
      </c>
      <c r="AT33" s="88" t="n">
        <f aca="false">IF(F33=4,MAX(AF33*INDEX(in_oce_lcl_factor,1,C33),AG33/1000,1)*INDEX(in_oce_lcl_rate,1,C33)*M33,G33*(INDEX(tbl_ocean_rate,MIN(F33,3),C33)+AS33)*M33)</f>
        <v>2900</v>
      </c>
      <c r="AU33" s="88" t="n">
        <f aca="false">AT33+INDEX(in_oce_ams,1,C33)</f>
        <v>2930</v>
      </c>
      <c r="AV33" s="88" t="n">
        <f aca="false">AI33*(1+IF(K33=3,INDEX(in_sup_vat_rate,1,C33),0))+AO33*Y33/AB33</f>
        <v>0</v>
      </c>
      <c r="AW33" s="88" t="n">
        <f aca="false">AJ33*(1+IF(K33=3,INDEX(in_sup_vat_rate,1,C33),0))+AO33*Z33/AB33</f>
        <v>9972.30311355311</v>
      </c>
      <c r="AX33" s="88" t="n">
        <f aca="false">AK33*(1+IF(K33=3,INDEX(in_sup_vat_rate,1,C33),0))+AO33*AA33/AB33</f>
        <v>0</v>
      </c>
      <c r="AY33" s="88" t="n">
        <f aca="false">AV33+AW33+AX33</f>
        <v>9972.30311355311</v>
      </c>
      <c r="AZ33" s="88" t="n">
        <f aca="false">MAX(INDEX(in_oce_ins_min,1,C33),INDEX(in_oce_ins_rate,1,C33)*(1+INDEX(in_oce_ins_uplift,1,C33))*(AL33+AO33+AR33+AU33))*(1-INDEX(in_oce_ins_in_other,1,C33))</f>
        <v>50</v>
      </c>
      <c r="BA33" s="87" t="n">
        <f aca="false">INDEX(in_cus_mfn,1,C33)+L33</f>
        <v>0</v>
      </c>
      <c r="BB33" s="88" t="n">
        <f aca="false">AY33*BA33</f>
        <v>0</v>
      </c>
      <c r="BC33" s="88" t="n">
        <f aca="false">MIN(MAX(AY33*INDEX(in_cus_mpf_rate,1,C33),INDEX(in_cus_mpf_min,1,C33)),INDEX(in_cus_mpf_max,1,C33))</f>
        <v>34.58</v>
      </c>
      <c r="BD33" s="88" t="n">
        <f aca="false">AY33*INDEX(in_cus_hmf,1,C33)</f>
        <v>12.4653788919414</v>
      </c>
      <c r="BE33" s="88" t="n">
        <f aca="false">MAX(INDEX(in_cus_stb_min,1,C33),INDEX(in_cus_stb_rate,1,C33)/1000*(AY33+BB33+BC33+BD33))</f>
        <v>50</v>
      </c>
      <c r="BF33" s="88" t="n">
        <f aca="false">INDEX(in_cus_broker,1,C33)+INDEX(in_cus_isf,1,C33)+INDEX(in_cus_do_fee,1,C33)+BE33+INDEX(in_cus_isf_bond,1,C33)</f>
        <v>385</v>
      </c>
      <c r="BG33" s="88" t="n">
        <f aca="false">IF(H33=1,INDEX(in_cus_cfc,1,C33)*INDEX(ct_teu,F33)*G33*(1-INDEX(in_cus_cfc_in_freight,1,C33)),0)</f>
        <v>0</v>
      </c>
      <c r="BH33" s="88" t="n">
        <f aca="false">IF(F33=4,1,G33)*(INDEX(in_cus_exam,1,C33)+INDEX(in_cus_exam_dray,1,C33))</f>
        <v>0</v>
      </c>
      <c r="BI33" s="88" t="n">
        <f aca="false">IF(F33=4,1,G33)*INDEX(in_cus_dem_days,1,C33)*INDEX(in_cus_dem_rate,1,C33)</f>
        <v>0</v>
      </c>
      <c r="BJ33" s="88" t="n">
        <f aca="false">BG33+BH33+BI33</f>
        <v>0</v>
      </c>
      <c r="BK33" s="88" t="n">
        <f aca="false">IF(F33=4,(INDEX(in_dra_lcl_cfs_d,1,C33)+INDEX(in_dra_lcl_deliv,1,C33))*P33,G33*(INDEX(tbl_dest_line,E33,C33)*P33*(1+INDEX(in_dra_fsc,1,C33))+INDEX(tbl_dest_tolls,E33,C33)+INDEX(in_dra_chassis_days,1,C33)*INDEX(tbl_dest_chassis,E33,C33)*(1-INDEX(in_dra_chassis_in_dray,1,C33))+INDEX(in_dra_wait_hours,1,C33)*INDEX(in_dra_wait_rate,1,C33)+INDEX(in_dra_split,1,C33)+INDEX(in_dra_prepull,1,C33)+INDEX(in_dra_dryrun,1,C33)))</f>
        <v>1027.5</v>
      </c>
      <c r="BL33" s="88" t="n">
        <f aca="false">IF(F33=4,0,G33*IF(F33=1,INDEX(in_dra_unload_20,1,C33),INDEX(in_dra_unload_40,1,C33))*Q33*(1-INDEX(in_dra_unload_in_dray,1,C33)))</f>
        <v>250</v>
      </c>
      <c r="BM33" s="88" t="n">
        <f aca="false">AL33+AN33+AO33+AR33+AU33+AZ33+BB33+BC33+BD33+BF33+BJ33+BK33+BL33</f>
        <v>15417.5737671703</v>
      </c>
      <c r="BN33" s="88" t="n">
        <f aca="false">AP33+AU33+BJ33+BK33+BL33</f>
        <v>4664.9652014652</v>
      </c>
      <c r="BO33" s="88" t="n">
        <f aca="false">AQ33+BF33</f>
        <v>683.260073260073</v>
      </c>
      <c r="BP33" s="88" t="n">
        <f aca="false">AI33*(1+IF(K33=3,INDEX(in_sup_vat_rate,1,C33),0))+AO33*Y33/AB33+AV33*BA33+(BC33+BD33)*AV33/AY33+AZ33*AI33/AL33+BN33*AC33/AF33+BO33*Y33/AB33</f>
        <v>0</v>
      </c>
      <c r="BQ33" s="88" t="n">
        <f aca="false">AJ33*(1+IF(K33=3,INDEX(in_sup_vat_rate,1,C33),0))+AO33*Z33/AB33+AW33*BA33+(BC33+BD33)*AW33/AY33+AZ33*AJ33/AL33+BN33*AD33/AF33+BO33*Z33/AB33</f>
        <v>15417.5737671703</v>
      </c>
      <c r="BR33" s="88" t="n">
        <f aca="false">AK33*(1+IF(K33=3,INDEX(in_sup_vat_rate,1,C33),0))+AO33*AA33/AB33+AX33*BA33+(BC33+BD33)*AX33/AY33+AZ33*AK33/AL33+BN33*AE33/AF33+BO33*AA33/AB33</f>
        <v>0</v>
      </c>
      <c r="BS33" s="89" t="n">
        <f aca="false">BP33+BQ33+BR33-BM33</f>
        <v>0</v>
      </c>
      <c r="BT33" s="85" t="n">
        <f aca="false">Y33*(1-R33)</f>
        <v>0</v>
      </c>
      <c r="BU33" s="85" t="n">
        <f aca="false">Z33*(1-R33)</f>
        <v>72187.25</v>
      </c>
      <c r="BV33" s="85" t="n">
        <f aca="false">AA33*(1-R33)</f>
        <v>0</v>
      </c>
      <c r="BW33" s="85" t="n">
        <f aca="false">BT33+BU33+BV33</f>
        <v>72187.25</v>
      </c>
      <c r="BX33" s="90" t="n">
        <f aca="false">IF(BT33&gt;0,BP33/BT33,0)</f>
        <v>0</v>
      </c>
      <c r="BY33" s="90" t="n">
        <f aca="false">IF(BU33&gt;0,BQ33/BU33,0)</f>
        <v>0.21357751912104</v>
      </c>
      <c r="BZ33" s="90" t="n">
        <f aca="false">IF(BV33&gt;0,BR33/BV33,0)</f>
        <v>0</v>
      </c>
      <c r="CA33" s="90" t="n">
        <f aca="false">INDEX(in_mkt_listing_3464,1,C33)*(1-IF(sku_flute_3464="B",T33,0))*(1-S33)*N33</f>
        <v>0.2856</v>
      </c>
      <c r="CB33" s="90" t="n">
        <f aca="false">INDEX(in_mkt_listing_3463,1,C33)*(1-IF(sku_flute_3463="B",T33,0))*(1-S33)*N33</f>
        <v>0.3128</v>
      </c>
      <c r="CC33" s="90" t="n">
        <f aca="false">INDEX(in_mkt_listing_3460,1,C33)*(1-IF(sku_flute_3460="B",T33,0))*(1-S33)*N33</f>
        <v>0.256</v>
      </c>
      <c r="CD33" s="88" t="n">
        <f aca="false">BT33*CA33+BU33*CB33+BV33*CC33</f>
        <v>22580.1718</v>
      </c>
      <c r="CE33" s="88" t="n">
        <f aca="false">CD33-BM33</f>
        <v>7162.59803282967</v>
      </c>
      <c r="CF33" s="87" t="n">
        <f aca="false">IF(CD33&gt;0,CE33/CD33,0)</f>
        <v>0.317207419689768</v>
      </c>
      <c r="CG33" s="87" t="n">
        <f aca="false">W33+INDEX(in_sel_processing,1,C33)+INDEX(in_sel_bad_debt,1,C33)</f>
        <v>0.0325</v>
      </c>
      <c r="CH33" s="88" t="n">
        <f aca="false">CD33*CG33</f>
        <v>733.8555835</v>
      </c>
      <c r="CI33" s="88" t="n">
        <f aca="false">INDEX(in_sel_testing,1,C33)*X33+INDEX(in_sel_admin,1,C33)</f>
        <v>1250</v>
      </c>
      <c r="CJ33" s="79" t="n">
        <f aca="false">INDEX(in_sup_lead_days,1,C33)</f>
        <v>14</v>
      </c>
      <c r="CK33" s="79" t="n">
        <f aca="false">CJ33+INDEX(in_oce_transit,1,C33)+IF(F33=4,INDEX(in_oce_lcl_extra_days,1,C33),0)</f>
        <v>39</v>
      </c>
      <c r="CL33" s="79" t="n">
        <f aca="false">CK33+2+INDEX(in_cus_dem_days,1,C33)</f>
        <v>41</v>
      </c>
      <c r="CM33" s="79" t="n">
        <f aca="false">CL33+U33</f>
        <v>71</v>
      </c>
      <c r="CN33" s="79" t="n">
        <f aca="false">CJ33+INDEX(in_sup_vat_lag,1,C33)</f>
        <v>44</v>
      </c>
      <c r="CO33" s="91" t="n">
        <f aca="false">INDEX(in_sup_advance,1,C33)</f>
        <v>0.5</v>
      </c>
      <c r="CP33" s="88" t="n">
        <f aca="false">CO33*(AL33+AM33)+AO33+INDEX(in_sel_testing,1,C33)*X33</f>
        <v>5986.15155677656</v>
      </c>
      <c r="CQ33" s="88" t="n">
        <f aca="false">(1-CO33)*(AL33+AM33)+AR33+AU33+AZ33</f>
        <v>8721.87683150183</v>
      </c>
      <c r="CR33" s="88" t="n">
        <f aca="false">BB33+BC33+BD33+BF33+BJ33</f>
        <v>432.045378891941</v>
      </c>
      <c r="CS33" s="88" t="n">
        <f aca="false">BK33+BL33</f>
        <v>1277.5</v>
      </c>
      <c r="CT33" s="88" t="n">
        <f aca="false">IF(K33=2,AM33,0)</f>
        <v>0</v>
      </c>
      <c r="CU33" s="85" t="n">
        <f aca="false">IF(K33=2,CO33*AM33*(CN33-0)+(1-CO33)*AM33*(CN33-CJ33),0)</f>
        <v>0</v>
      </c>
      <c r="CV33" s="85" t="n">
        <f aca="false">(CP33-CO33*CT33)*(CM33-0)+(CQ33-(1-CO33)*CT33)*(CM33-CJ33)+CR33*(CM33-CK33)+CS33*(CM33-CL33)</f>
        <v>974314.192051282</v>
      </c>
      <c r="CW33" s="88" t="n">
        <f aca="false">INDEX(in_sel_fin_rate,1,C33)/365*(CU33+CV33)</f>
        <v>213.548316066034</v>
      </c>
      <c r="CX33" s="85" t="n">
        <f aca="false">CP33-IF(CN33&lt;=0,CT33,0)</f>
        <v>5986.15155677656</v>
      </c>
      <c r="CY33" s="85" t="n">
        <f aca="false">CP33+CQ33-IF(CN33&lt;=CJ33,CT33,0)</f>
        <v>14708.0283882784</v>
      </c>
      <c r="CZ33" s="85" t="n">
        <f aca="false">CP33+CQ33+CR33-IF(CN33&lt;=CK33,CT33,0)</f>
        <v>15140.0737671703</v>
      </c>
      <c r="DA33" s="85" t="n">
        <f aca="false">CP33+CQ33+CR33+CS33-IF(CN33&lt;=CL33,CT33,0)</f>
        <v>16417.5737671703</v>
      </c>
      <c r="DB33" s="88" t="n">
        <f aca="false">MAX(CX33,CY33,CZ33,DA33)</f>
        <v>16417.5737671703</v>
      </c>
      <c r="DC33" s="88" t="n">
        <f aca="false">CP33+CQ33+CR33+CS33</f>
        <v>16417.5737671703</v>
      </c>
      <c r="DD33" s="88" t="n">
        <f aca="false">CE33-CH33-CI33-CW33</f>
        <v>4965.19413326364</v>
      </c>
      <c r="DE33" s="87" t="n">
        <f aca="false">IF(CD33&gt;0,DD33/CD33,0)</f>
        <v>0.219891778381582</v>
      </c>
      <c r="DF33" s="86" t="n">
        <f aca="false">IF(CD33&gt;0,(BM33+CI33+CW33)/(CD33*(1-CG33)),0)</f>
        <v>0.772721676091389</v>
      </c>
      <c r="DG33" s="90" t="n">
        <f aca="false">IF(BW33&gt;0,BM33/BW33,0)</f>
        <v>0.21357751912104</v>
      </c>
      <c r="DH33" s="90" t="n">
        <f aca="false">IF(BW33&gt;0,CD33/BW33,0)</f>
        <v>0.3128</v>
      </c>
      <c r="DI33" s="90" t="n">
        <f aca="false">IF(AI33&gt;0,(AI33*IF(K33=3,INDEX(in_sup_vat_rate,1,C33),0)+AV33*BA33+(BC33+BD33)*AV33/AY33+AZ33*AI33/AL33)/AI33,0)</f>
        <v>0</v>
      </c>
      <c r="DJ33" s="90" t="n">
        <f aca="false">IF(AJ33&gt;0,(AJ33*IF(K33=3,INDEX(in_sup_vat_rate,1,C33),0)+AW33*BA33+(BC33+BD33)*AW33/AY33+AZ33*AJ33/AL33)/AJ33,0)</f>
        <v>0.00973149108956079</v>
      </c>
      <c r="DK33" s="90" t="n">
        <f aca="false">IF(AK33&gt;0,(AK33*IF(K33=3,INDEX(in_sup_vat_rate,1,C33),0)+AX33*BA33+(BC33+BD33)*AX33/AY33+AZ33*AK33/AL33)/AK33,0)</f>
        <v>0</v>
      </c>
      <c r="DL33" s="90" t="n">
        <f aca="false">IF(Y33&gt;0,(BP33-AI33*(1+DI33))/Y33,0)</f>
        <v>0</v>
      </c>
      <c r="DM33" s="90" t="n">
        <f aca="false">IF(Z33&gt;0,(BQ33-AJ33*(1+DJ33))/Z33,0)</f>
        <v>0.0737177846275021</v>
      </c>
      <c r="DN33" s="90" t="n">
        <f aca="false">IF(AA33&gt;0,(BR33-AK33*(1+DK33))/AA33,0)</f>
        <v>0</v>
      </c>
      <c r="DO33" s="86" t="str">
        <f aca="false">IF(Y33&gt;0,(CA33*(1-thr_gm_go)*(1-R33)-DL33)/(1+DI33)*I33/((1+AH33)*J33),"")</f>
        <v/>
      </c>
      <c r="DP33" s="86" t="n">
        <f aca="false">IF(Z33&gt;0,(CB33*(1-thr_gm_go)*(1-R33)-DM33)/(1+DJ33)*I33/((1+AH33)*J33),"")</f>
        <v>9.09061180207929</v>
      </c>
      <c r="DQ33" s="86" t="str">
        <f aca="false">IF(AA33&gt;0,(CC33*(1-thr_gm_go)*(1-R33)-DN33)/(1+DK33)*I33/((1+AH33)*J33),"")</f>
        <v/>
      </c>
      <c r="DR33" s="92" t="n">
        <f aca="false">IF(AND(AY33*INDEX(in_cus_mpf_rate,1,C33)&gt;INDEX(in_cus_mpf_min,1,C33),AY33*INDEX(in_cus_mpf_rate,1,C33)&lt;INDEX(in_cus_mpf_max,1,C33)),INDEX(in_cus_mpf_rate,1,C33),0)</f>
        <v>0</v>
      </c>
      <c r="DS33" s="88" t="n">
        <f aca="false">IF(AZ33&gt;INDEX(in_oce_ins_min,1,C33),INDEX(in_oce_ins_rate,1,C33)*(1+INDEX(in_oce_ins_uplift,1,C33))*AL33,0)</f>
        <v>0</v>
      </c>
      <c r="DT33" s="88" t="n">
        <f aca="false">(AL33+AN33)*(1+BA33+INDEX(in_cus_hmf,1,C33)+DR33)+DS33</f>
        <v>9984.76849244505</v>
      </c>
      <c r="DU33" s="86" t="n">
        <f aca="false">IF(DT33&gt;0,(CD33*(1-thr_gm_go)-(BM33-DT33))/DT33,0)</f>
        <v>1.15198700740813</v>
      </c>
      <c r="DV33" s="86" t="n">
        <f aca="false">IF(DT33&gt;0,(CD33-(BM33-DT33))/DT33,0)</f>
        <v>1.71735243919268</v>
      </c>
      <c r="DW33" s="87" t="n">
        <f aca="false">(1+AH33)*J33*DU33-1</f>
        <v>0.0943876570377198</v>
      </c>
      <c r="DX33" s="87" t="n">
        <f aca="false">(1+AH33)*J33*DV33-1</f>
        <v>0.631484817233045</v>
      </c>
      <c r="DY33" s="85" t="n">
        <f aca="false">IF(G33&gt;0,(CD33*(1-thr_gm_go)-(BM33-AT33))/G33,"")</f>
        <v>4417.55508282967</v>
      </c>
      <c r="DZ33" s="90" t="n">
        <f aca="false">IF(AB33&gt;0,(AL33+AN33+BB33+BC33+BD33)/AB33,0)</f>
        <v>0.138102667021986</v>
      </c>
      <c r="EA33" s="88" t="n">
        <f aca="false">BM33-DZ33*AB33</f>
        <v>5398.22527472528</v>
      </c>
      <c r="EB33" s="90" t="n">
        <f aca="false">IF(AB33&gt;0,CD33/AB33,0)</f>
        <v>0.311236</v>
      </c>
      <c r="EC33" s="85" t="n">
        <f aca="false">IF(EB33*(1-thr_gm_go)-DZ33&gt;0,EA33/(EB33*(1-thr_gm_go)-DZ33),"n/a")</f>
        <v>56630.087052068</v>
      </c>
      <c r="ED33" s="85" t="n">
        <f aca="false">IF(EB33-DZ33&gt;0,EA33/(EB33-DZ33),"n/a")</f>
        <v>31179.5838610164</v>
      </c>
      <c r="EE33" s="93" t="b">
        <f aca="false">INDEX(cfg_fits,D33,C33)</f>
        <v>1</v>
      </c>
      <c r="EF33" s="87" t="n">
        <f aca="false">IF(F33=4,"",INDEX(cfg_lenutil,D33,C33))</f>
        <v>0.958927074601844</v>
      </c>
      <c r="EG33" s="31" t="str">
        <f aca="false">IF(O33&gt;1,"Check fit (units scaled up)","")</f>
        <v/>
      </c>
    </row>
    <row r="34" customFormat="false" ht="15" hidden="false" customHeight="false" outlineLevel="0" collapsed="false">
      <c r="A34" s="78" t="n">
        <v>1065</v>
      </c>
      <c r="B34" s="9" t="s">
        <v>3182</v>
      </c>
      <c r="C34" s="78" t="n">
        <v>1</v>
      </c>
      <c r="D34" s="78" t="n">
        <v>6</v>
      </c>
      <c r="E34" s="78" t="n">
        <v>5</v>
      </c>
      <c r="F34" s="79" t="n">
        <f aca="false">INDEX(cfg_ct,D34)</f>
        <v>3</v>
      </c>
      <c r="G34" s="79" t="n">
        <f aca="false">INDEX(cfg_n,D34)</f>
        <v>1</v>
      </c>
      <c r="H34" s="79" t="n">
        <f aca="false">INDEX(dest_port,E34)</f>
        <v>4</v>
      </c>
      <c r="I34" s="80" t="n">
        <f aca="false">INDEX(in_fx_cbe,1,C34)*(1-INDEX(in_fx_spread,1,C34))</f>
        <v>54.6</v>
      </c>
      <c r="J34" s="81" t="n">
        <f aca="false">1</f>
        <v>1</v>
      </c>
      <c r="K34" s="82" t="n">
        <f aca="false">INDEX(in_sup_vat_mode,1,C34)</f>
        <v>1</v>
      </c>
      <c r="L34" s="83" t="n">
        <f aca="false">INDEX(in_cus_s301,1,C34)</f>
        <v>0</v>
      </c>
      <c r="M34" s="84" t="n">
        <f aca="false">1</f>
        <v>1</v>
      </c>
      <c r="N34" s="81" t="n">
        <f aca="false">1</f>
        <v>1</v>
      </c>
      <c r="O34" s="81" t="n">
        <f aca="false">1</f>
        <v>1</v>
      </c>
      <c r="P34" s="81" t="n">
        <f aca="false">1</f>
        <v>1</v>
      </c>
      <c r="Q34" s="81" t="n">
        <f aca="false">1</f>
        <v>1</v>
      </c>
      <c r="R34" s="83" t="n">
        <f aca="false">INDEX(in_sel_damage,1,C34)</f>
        <v>0.005</v>
      </c>
      <c r="S34" s="83" t="n">
        <f aca="false">INDEX(in_mkt_dist_margin,1,C34)</f>
        <v>0.2</v>
      </c>
      <c r="T34" s="83" t="n">
        <f aca="false">INDEX(in_mkt_eflute_disc,1,C34)</f>
        <v>0.15</v>
      </c>
      <c r="U34" s="82" t="n">
        <f aca="false">INDEX(in_sel_credit_days,1,C34)</f>
        <v>30</v>
      </c>
      <c r="V34" s="81" t="n">
        <f aca="false">1</f>
        <v>1</v>
      </c>
      <c r="W34" s="83" t="n">
        <f aca="false">INDEX(in_sel_commission,1,C34)</f>
        <v>0.03</v>
      </c>
      <c r="X34" s="82" t="n">
        <f aca="false">1</f>
        <v>1</v>
      </c>
      <c r="Y34" s="85" t="n">
        <f aca="false">INDEX(cfg_u_3464,D34,C34)*O34</f>
        <v>0</v>
      </c>
      <c r="Z34" s="85" t="n">
        <f aca="false">INDEX(cfg_u_3463,D34,C34)*O34</f>
        <v>72550</v>
      </c>
      <c r="AA34" s="85" t="n">
        <f aca="false">INDEX(cfg_u_3460,D34,C34)*O34</f>
        <v>0</v>
      </c>
      <c r="AB34" s="85" t="n">
        <f aca="false">Y34+Z34+AA34</f>
        <v>72550</v>
      </c>
      <c r="AC34" s="86" t="n">
        <f aca="false">Y34*INDEX(lg_vpu_3464,C34)</f>
        <v>0</v>
      </c>
      <c r="AD34" s="86" t="n">
        <f aca="false">Z34*INDEX(lg_vpu_3463,C34)</f>
        <v>59.192094</v>
      </c>
      <c r="AE34" s="86" t="n">
        <f aca="false">AA34*INDEX(lg_vpu_3460,C34)</f>
        <v>0</v>
      </c>
      <c r="AF34" s="86" t="n">
        <f aca="false">AC34+AD34+AE34</f>
        <v>59.192094</v>
      </c>
      <c r="AG34" s="85" t="n">
        <f aca="false">Y34*INDEX(lg_kpu_3464,C34)+Z34*INDEX(lg_kpu_3463,C34)+AA34*INDEX(lg_kpu_3460,C34)</f>
        <v>14458.913192</v>
      </c>
      <c r="AH34" s="87" t="n">
        <f aca="false">INDEX(in_sup_requote,1,C34)</f>
        <v>-0.05</v>
      </c>
      <c r="AI34" s="88" t="n">
        <f aca="false">Y34*q_price_3464*(1+AH34)*J34/I34</f>
        <v>0</v>
      </c>
      <c r="AJ34" s="88" t="n">
        <f aca="false">Z34*q_price_3463*(1+AH34)*J34/I34</f>
        <v>9972.30311355311</v>
      </c>
      <c r="AK34" s="88" t="n">
        <f aca="false">AA34*q_price_3460*(1+AH34)*J34/I34</f>
        <v>0</v>
      </c>
      <c r="AL34" s="88" t="n">
        <f aca="false">AI34+AJ34+AK34</f>
        <v>9972.30311355311</v>
      </c>
      <c r="AM34" s="88" t="n">
        <f aca="false">IF(OR(K34=2,K34=3),AL34*INDEX(in_sup_vat_rate,1,C34),0)</f>
        <v>0</v>
      </c>
      <c r="AN34" s="88" t="n">
        <f aca="false">IF(K34=3,AM34,0)</f>
        <v>0</v>
      </c>
      <c r="AO34" s="88" t="n">
        <f aca="false">INDEX(in_sup_tooling_egp,1,C34)/I34</f>
        <v>0</v>
      </c>
      <c r="AP34" s="88" t="n">
        <f aca="false">IF(F34=4,INDEX(in_ori_lcl_truck,1,C34)*V34/I34+INDEX(in_ori_lcl_cfs_o,1,C34),G34*(IF(F34=1,INDEX(in_ori_truck_20,1,C34),INDEX(in_ori_truck_40,1,C34))*V34/I34+INDEX(in_ori_terminal,1,C34)+IF(F34=1,INDEX(in_ori_othc_20,1,C34),INDEX(in_ori_othc_40,1,C34))*(1-INDEX(in_ori_othc_in_freight,1,C34))+INDEX(in_ori_seal,1,C34)+INDEX(in_ori_inspection,1,C34)+INDEX(in_ori_dd_days,1,C34)*IF(F34=1,INDEX(in_ori_dd_20,1,C34),INDEX(in_ori_dd_40,1,C34))+INDEX(in_ori_loading_egp,1,C34)/I34))</f>
        <v>457.465201465201</v>
      </c>
      <c r="AQ34" s="88" t="n">
        <f aca="false">(INDEX(in_ori_clearance,1,C34)+INDEX(in_ori_coo,1,C34))/I34+INDEX(in_ori_bl_fee,1,C34)+INDEX(in_ori_fwd_fee,1,C34)+INDEX(in_ori_qc,1,C34)+INDEX(in_ori_wires,1,C34)*INDEX(in_ori_wire_fee,1,C34)</f>
        <v>298.260073260073</v>
      </c>
      <c r="AR34" s="88" t="n">
        <f aca="false">AP34+AQ34</f>
        <v>755.725274725275</v>
      </c>
      <c r="AS34" s="85" t="n">
        <f aca="false">INDEX(tbl_port_diff,H34,C34)</f>
        <v>0</v>
      </c>
      <c r="AT34" s="88" t="n">
        <f aca="false">IF(F34=4,MAX(AF34*INDEX(in_oce_lcl_factor,1,C34),AG34/1000,1)*INDEX(in_oce_lcl_rate,1,C34)*M34,G34*(INDEX(tbl_ocean_rate,MIN(F34,3),C34)+AS34)*M34)</f>
        <v>2900</v>
      </c>
      <c r="AU34" s="88" t="n">
        <f aca="false">AT34+INDEX(in_oce_ams,1,C34)</f>
        <v>2930</v>
      </c>
      <c r="AV34" s="88" t="n">
        <f aca="false">AI34*(1+IF(K34=3,INDEX(in_sup_vat_rate,1,C34),0))+AO34*Y34/AB34</f>
        <v>0</v>
      </c>
      <c r="AW34" s="88" t="n">
        <f aca="false">AJ34*(1+IF(K34=3,INDEX(in_sup_vat_rate,1,C34),0))+AO34*Z34/AB34</f>
        <v>9972.30311355311</v>
      </c>
      <c r="AX34" s="88" t="n">
        <f aca="false">AK34*(1+IF(K34=3,INDEX(in_sup_vat_rate,1,C34),0))+AO34*AA34/AB34</f>
        <v>0</v>
      </c>
      <c r="AY34" s="88" t="n">
        <f aca="false">AV34+AW34+AX34</f>
        <v>9972.30311355311</v>
      </c>
      <c r="AZ34" s="88" t="n">
        <f aca="false">MAX(INDEX(in_oce_ins_min,1,C34),INDEX(in_oce_ins_rate,1,C34)*(1+INDEX(in_oce_ins_uplift,1,C34))*(AL34+AO34+AR34+AU34))*(1-INDEX(in_oce_ins_in_other,1,C34))</f>
        <v>50</v>
      </c>
      <c r="BA34" s="87" t="n">
        <f aca="false">INDEX(in_cus_mfn,1,C34)+L34</f>
        <v>0</v>
      </c>
      <c r="BB34" s="88" t="n">
        <f aca="false">AY34*BA34</f>
        <v>0</v>
      </c>
      <c r="BC34" s="88" t="n">
        <f aca="false">MIN(MAX(AY34*INDEX(in_cus_mpf_rate,1,C34),INDEX(in_cus_mpf_min,1,C34)),INDEX(in_cus_mpf_max,1,C34))</f>
        <v>34.58</v>
      </c>
      <c r="BD34" s="88" t="n">
        <f aca="false">AY34*INDEX(in_cus_hmf,1,C34)</f>
        <v>12.4653788919414</v>
      </c>
      <c r="BE34" s="88" t="n">
        <f aca="false">MAX(INDEX(in_cus_stb_min,1,C34),INDEX(in_cus_stb_rate,1,C34)/1000*(AY34+BB34+BC34+BD34))</f>
        <v>50</v>
      </c>
      <c r="BF34" s="88" t="n">
        <f aca="false">INDEX(in_cus_broker,1,C34)+INDEX(in_cus_isf,1,C34)+INDEX(in_cus_do_fee,1,C34)+BE34+INDEX(in_cus_isf_bond,1,C34)</f>
        <v>385</v>
      </c>
      <c r="BG34" s="88" t="n">
        <f aca="false">IF(H34=1,INDEX(in_cus_cfc,1,C34)*INDEX(ct_teu,F34)*G34*(1-INDEX(in_cus_cfc_in_freight,1,C34)),0)</f>
        <v>0</v>
      </c>
      <c r="BH34" s="88" t="n">
        <f aca="false">IF(F34=4,1,G34)*(INDEX(in_cus_exam,1,C34)+INDEX(in_cus_exam_dray,1,C34))</f>
        <v>0</v>
      </c>
      <c r="BI34" s="88" t="n">
        <f aca="false">IF(F34=4,1,G34)*INDEX(in_cus_dem_days,1,C34)*INDEX(in_cus_dem_rate,1,C34)</f>
        <v>0</v>
      </c>
      <c r="BJ34" s="88" t="n">
        <f aca="false">BG34+BH34+BI34</f>
        <v>0</v>
      </c>
      <c r="BK34" s="88" t="n">
        <f aca="false">IF(F34=4,(INDEX(in_dra_lcl_cfs_d,1,C34)+INDEX(in_dra_lcl_deliv,1,C34))*P34,G34*(INDEX(tbl_dest_line,E34,C34)*P34*(1+INDEX(in_dra_fsc,1,C34))+INDEX(tbl_dest_tolls,E34,C34)+INDEX(in_dra_chassis_days,1,C34)*INDEX(tbl_dest_chassis,E34,C34)*(1-INDEX(in_dra_chassis_in_dray,1,C34))+INDEX(in_dra_wait_hours,1,C34)*INDEX(in_dra_wait_rate,1,C34)+INDEX(in_dra_split,1,C34)+INDEX(in_dra_prepull,1,C34)+INDEX(in_dra_dryrun,1,C34)))</f>
        <v>1424</v>
      </c>
      <c r="BL34" s="88" t="n">
        <f aca="false">IF(F34=4,0,G34*IF(F34=1,INDEX(in_dra_unload_20,1,C34),INDEX(in_dra_unload_40,1,C34))*Q34*(1-INDEX(in_dra_unload_in_dray,1,C34)))</f>
        <v>250</v>
      </c>
      <c r="BM34" s="88" t="n">
        <f aca="false">AL34+AN34+AO34+AR34+AU34+AZ34+BB34+BC34+BD34+BF34+BJ34+BK34+BL34</f>
        <v>15814.0737671703</v>
      </c>
      <c r="BN34" s="88" t="n">
        <f aca="false">AP34+AU34+BJ34+BK34+BL34</f>
        <v>5061.4652014652</v>
      </c>
      <c r="BO34" s="88" t="n">
        <f aca="false">AQ34+BF34</f>
        <v>683.260073260073</v>
      </c>
      <c r="BP34" s="88" t="n">
        <f aca="false">AI34*(1+IF(K34=3,INDEX(in_sup_vat_rate,1,C34),0))+AO34*Y34/AB34+AV34*BA34+(BC34+BD34)*AV34/AY34+AZ34*AI34/AL34+BN34*AC34/AF34+BO34*Y34/AB34</f>
        <v>0</v>
      </c>
      <c r="BQ34" s="88" t="n">
        <f aca="false">AJ34*(1+IF(K34=3,INDEX(in_sup_vat_rate,1,C34),0))+AO34*Z34/AB34+AW34*BA34+(BC34+BD34)*AW34/AY34+AZ34*AJ34/AL34+BN34*AD34/AF34+BO34*Z34/AB34</f>
        <v>15814.0737671703</v>
      </c>
      <c r="BR34" s="88" t="n">
        <f aca="false">AK34*(1+IF(K34=3,INDEX(in_sup_vat_rate,1,C34),0))+AO34*AA34/AB34+AX34*BA34+(BC34+BD34)*AX34/AY34+AZ34*AK34/AL34+BN34*AE34/AF34+BO34*AA34/AB34</f>
        <v>0</v>
      </c>
      <c r="BS34" s="89" t="n">
        <f aca="false">BP34+BQ34+BR34-BM34</f>
        <v>0</v>
      </c>
      <c r="BT34" s="85" t="n">
        <f aca="false">Y34*(1-R34)</f>
        <v>0</v>
      </c>
      <c r="BU34" s="85" t="n">
        <f aca="false">Z34*(1-R34)</f>
        <v>72187.25</v>
      </c>
      <c r="BV34" s="85" t="n">
        <f aca="false">AA34*(1-R34)</f>
        <v>0</v>
      </c>
      <c r="BW34" s="85" t="n">
        <f aca="false">BT34+BU34+BV34</f>
        <v>72187.25</v>
      </c>
      <c r="BX34" s="90" t="n">
        <f aca="false">IF(BT34&gt;0,BP34/BT34,0)</f>
        <v>0</v>
      </c>
      <c r="BY34" s="90" t="n">
        <f aca="false">IF(BU34&gt;0,BQ34/BU34,0)</f>
        <v>0.219070178835879</v>
      </c>
      <c r="BZ34" s="90" t="n">
        <f aca="false">IF(BV34&gt;0,BR34/BV34,0)</f>
        <v>0</v>
      </c>
      <c r="CA34" s="90" t="n">
        <f aca="false">INDEX(in_mkt_listing_3464,1,C34)*(1-IF(sku_flute_3464="B",T34,0))*(1-S34)*N34</f>
        <v>0.2856</v>
      </c>
      <c r="CB34" s="90" t="n">
        <f aca="false">INDEX(in_mkt_listing_3463,1,C34)*(1-IF(sku_flute_3463="B",T34,0))*(1-S34)*N34</f>
        <v>0.3128</v>
      </c>
      <c r="CC34" s="90" t="n">
        <f aca="false">INDEX(in_mkt_listing_3460,1,C34)*(1-IF(sku_flute_3460="B",T34,0))*(1-S34)*N34</f>
        <v>0.256</v>
      </c>
      <c r="CD34" s="88" t="n">
        <f aca="false">BT34*CA34+BU34*CB34+BV34*CC34</f>
        <v>22580.1718</v>
      </c>
      <c r="CE34" s="88" t="n">
        <f aca="false">CD34-BM34</f>
        <v>6766.09803282967</v>
      </c>
      <c r="CF34" s="87" t="n">
        <f aca="false">IF(CD34&gt;0,CE34/CD34,0)</f>
        <v>0.299647765869951</v>
      </c>
      <c r="CG34" s="87" t="n">
        <f aca="false">W34+INDEX(in_sel_processing,1,C34)+INDEX(in_sel_bad_debt,1,C34)</f>
        <v>0.0325</v>
      </c>
      <c r="CH34" s="88" t="n">
        <f aca="false">CD34*CG34</f>
        <v>733.8555835</v>
      </c>
      <c r="CI34" s="88" t="n">
        <f aca="false">INDEX(in_sel_testing,1,C34)*X34+INDEX(in_sel_admin,1,C34)</f>
        <v>1250</v>
      </c>
      <c r="CJ34" s="79" t="n">
        <f aca="false">INDEX(in_sup_lead_days,1,C34)</f>
        <v>14</v>
      </c>
      <c r="CK34" s="79" t="n">
        <f aca="false">CJ34+INDEX(in_oce_transit,1,C34)+IF(F34=4,INDEX(in_oce_lcl_extra_days,1,C34),0)</f>
        <v>39</v>
      </c>
      <c r="CL34" s="79" t="n">
        <f aca="false">CK34+2+INDEX(in_cus_dem_days,1,C34)</f>
        <v>41</v>
      </c>
      <c r="CM34" s="79" t="n">
        <f aca="false">CL34+U34</f>
        <v>71</v>
      </c>
      <c r="CN34" s="79" t="n">
        <f aca="false">CJ34+INDEX(in_sup_vat_lag,1,C34)</f>
        <v>44</v>
      </c>
      <c r="CO34" s="91" t="n">
        <f aca="false">INDEX(in_sup_advance,1,C34)</f>
        <v>0.5</v>
      </c>
      <c r="CP34" s="88" t="n">
        <f aca="false">CO34*(AL34+AM34)+AO34+INDEX(in_sel_testing,1,C34)*X34</f>
        <v>5986.15155677656</v>
      </c>
      <c r="CQ34" s="88" t="n">
        <f aca="false">(1-CO34)*(AL34+AM34)+AR34+AU34+AZ34</f>
        <v>8721.87683150183</v>
      </c>
      <c r="CR34" s="88" t="n">
        <f aca="false">BB34+BC34+BD34+BF34+BJ34</f>
        <v>432.045378891941</v>
      </c>
      <c r="CS34" s="88" t="n">
        <f aca="false">BK34+BL34</f>
        <v>1674</v>
      </c>
      <c r="CT34" s="88" t="n">
        <f aca="false">IF(K34=2,AM34,0)</f>
        <v>0</v>
      </c>
      <c r="CU34" s="85" t="n">
        <f aca="false">IF(K34=2,CO34*AM34*(CN34-0)+(1-CO34)*AM34*(CN34-CJ34),0)</f>
        <v>0</v>
      </c>
      <c r="CV34" s="85" t="n">
        <f aca="false">(CP34-CO34*CT34)*(CM34-0)+(CQ34-(1-CO34)*CT34)*(CM34-CJ34)+CR34*(CM34-CK34)+CS34*(CM34-CL34)</f>
        <v>986209.192051282</v>
      </c>
      <c r="CW34" s="88" t="n">
        <f aca="false">INDEX(in_sel_fin_rate,1,C34)/365*(CU34+CV34)</f>
        <v>216.155439353706</v>
      </c>
      <c r="CX34" s="85" t="n">
        <f aca="false">CP34-IF(CN34&lt;=0,CT34,0)</f>
        <v>5986.15155677656</v>
      </c>
      <c r="CY34" s="85" t="n">
        <f aca="false">CP34+CQ34-IF(CN34&lt;=CJ34,CT34,0)</f>
        <v>14708.0283882784</v>
      </c>
      <c r="CZ34" s="85" t="n">
        <f aca="false">CP34+CQ34+CR34-IF(CN34&lt;=CK34,CT34,0)</f>
        <v>15140.0737671703</v>
      </c>
      <c r="DA34" s="85" t="n">
        <f aca="false">CP34+CQ34+CR34+CS34-IF(CN34&lt;=CL34,CT34,0)</f>
        <v>16814.0737671703</v>
      </c>
      <c r="DB34" s="88" t="n">
        <f aca="false">MAX(CX34,CY34,CZ34,DA34)</f>
        <v>16814.0737671703</v>
      </c>
      <c r="DC34" s="88" t="n">
        <f aca="false">CP34+CQ34+CR34+CS34</f>
        <v>16814.0737671703</v>
      </c>
      <c r="DD34" s="88" t="n">
        <f aca="false">CE34-CH34-CI34-CW34</f>
        <v>4566.08700997597</v>
      </c>
      <c r="DE34" s="87" t="n">
        <f aca="false">IF(CD34&gt;0,DD34/CD34,0)</f>
        <v>0.202216663824319</v>
      </c>
      <c r="DF34" s="86" t="n">
        <f aca="false">IF(CD34&gt;0,(BM34+CI34+CW34)/(CD34*(1-CG34)),0)</f>
        <v>0.790990528346957</v>
      </c>
      <c r="DG34" s="90" t="n">
        <f aca="false">IF(BW34&gt;0,BM34/BW34,0)</f>
        <v>0.219070178835879</v>
      </c>
      <c r="DH34" s="90" t="n">
        <f aca="false">IF(BW34&gt;0,CD34/BW34,0)</f>
        <v>0.3128</v>
      </c>
      <c r="DI34" s="90" t="n">
        <f aca="false">IF(AI34&gt;0,(AI34*IF(K34=3,INDEX(in_sup_vat_rate,1,C34),0)+AV34*BA34+(BC34+BD34)*AV34/AY34+AZ34*AI34/AL34)/AI34,0)</f>
        <v>0</v>
      </c>
      <c r="DJ34" s="90" t="n">
        <f aca="false">IF(AJ34&gt;0,(AJ34*IF(K34=3,INDEX(in_sup_vat_rate,1,C34),0)+AW34*BA34+(BC34+BD34)*AW34/AY34+AZ34*AJ34/AL34)/AJ34,0)</f>
        <v>0.00973149108956079</v>
      </c>
      <c r="DK34" s="90" t="n">
        <f aca="false">IF(AK34&gt;0,(AK34*IF(K34=3,INDEX(in_sup_vat_rate,1,C34),0)+AX34*BA34+(BC34+BD34)*AX34/AY34+AZ34*AK34/AL34)/AK34,0)</f>
        <v>0</v>
      </c>
      <c r="DL34" s="90" t="n">
        <f aca="false">IF(Y34&gt;0,(BP34-AI34*(1+DI34))/Y34,0)</f>
        <v>0</v>
      </c>
      <c r="DM34" s="90" t="n">
        <f aca="false">IF(Z34&gt;0,(BQ34-AJ34*(1+DJ34))/Z34,0)</f>
        <v>0.0791829810437667</v>
      </c>
      <c r="DN34" s="90" t="n">
        <f aca="false">IF(AA34&gt;0,(BR34-AK34*(1+DK34))/AA34,0)</f>
        <v>0</v>
      </c>
      <c r="DO34" s="86" t="str">
        <f aca="false">IF(Y34&gt;0,(CA34*(1-thr_gm_go)*(1-R34)-DL34)/(1+DI34)*I34/((1+AH34)*J34),"")</f>
        <v/>
      </c>
      <c r="DP34" s="86" t="n">
        <f aca="false">IF(Z34&gt;0,(CB34*(1-thr_gm_go)*(1-R34)-DM34)/(1+DJ34)*I34/((1+AH34)*J34),"")</f>
        <v>8.77953407919085</v>
      </c>
      <c r="DQ34" s="86" t="str">
        <f aca="false">IF(AA34&gt;0,(CC34*(1-thr_gm_go)*(1-R34)-DN34)/(1+DK34)*I34/((1+AH34)*J34),"")</f>
        <v/>
      </c>
      <c r="DR34" s="92" t="n">
        <f aca="false">IF(AND(AY34*INDEX(in_cus_mpf_rate,1,C34)&gt;INDEX(in_cus_mpf_min,1,C34),AY34*INDEX(in_cus_mpf_rate,1,C34)&lt;INDEX(in_cus_mpf_max,1,C34)),INDEX(in_cus_mpf_rate,1,C34),0)</f>
        <v>0</v>
      </c>
      <c r="DS34" s="88" t="n">
        <f aca="false">IF(AZ34&gt;INDEX(in_oce_ins_min,1,C34),INDEX(in_oce_ins_rate,1,C34)*(1+INDEX(in_oce_ins_uplift,1,C34))*AL34,0)</f>
        <v>0</v>
      </c>
      <c r="DT34" s="88" t="n">
        <f aca="false">(AL34+AN34)*(1+BA34+INDEX(in_cus_hmf,1,C34)+DR34)+DS34</f>
        <v>9984.76849244505</v>
      </c>
      <c r="DU34" s="86" t="n">
        <f aca="false">IF(DT34&gt;0,(CD34*(1-thr_gm_go)-(BM34-DT34))/DT34,0)</f>
        <v>1.11227652235281</v>
      </c>
      <c r="DV34" s="86" t="n">
        <f aca="false">IF(DT34&gt;0,(CD34-(BM34-DT34))/DT34,0)</f>
        <v>1.67764195413737</v>
      </c>
      <c r="DW34" s="87" t="n">
        <f aca="false">(1+AH34)*J34*DU34-1</f>
        <v>0.0566626962351724</v>
      </c>
      <c r="DX34" s="87" t="n">
        <f aca="false">(1+AH34)*J34*DV34-1</f>
        <v>0.593759856430498</v>
      </c>
      <c r="DY34" s="85" t="n">
        <f aca="false">IF(G34&gt;0,(CD34*(1-thr_gm_go)-(BM34-AT34))/G34,"")</f>
        <v>4021.05508282967</v>
      </c>
      <c r="DZ34" s="90" t="n">
        <f aca="false">IF(AB34&gt;0,(AL34+AN34+BB34+BC34+BD34)/AB34,0)</f>
        <v>0.138102667021986</v>
      </c>
      <c r="EA34" s="88" t="n">
        <f aca="false">BM34-DZ34*AB34</f>
        <v>5794.72527472528</v>
      </c>
      <c r="EB34" s="90" t="n">
        <f aca="false">IF(AB34&gt;0,CD34/AB34,0)</f>
        <v>0.311236</v>
      </c>
      <c r="EC34" s="85" t="n">
        <f aca="false">IF(EB34*(1-thr_gm_go)-DZ34&gt;0,EA34/(EB34*(1-thr_gm_go)-DZ34),"n/a")</f>
        <v>60789.5706551838</v>
      </c>
      <c r="ED34" s="85" t="n">
        <f aca="false">IF(EB34-DZ34&gt;0,EA34/(EB34-DZ34),"n/a")</f>
        <v>33469.7263377996</v>
      </c>
      <c r="EE34" s="93" t="b">
        <f aca="false">INDEX(cfg_fits,D34,C34)</f>
        <v>1</v>
      </c>
      <c r="EF34" s="87" t="n">
        <f aca="false">IF(F34=4,"",INDEX(cfg_lenutil,D34,C34))</f>
        <v>0.958927074601844</v>
      </c>
      <c r="EG34" s="31" t="str">
        <f aca="false">IF(O34&gt;1,"Check fit (units scaled up)","")</f>
        <v/>
      </c>
    </row>
    <row r="35" customFormat="false" ht="15" hidden="false" customHeight="false" outlineLevel="0" collapsed="false">
      <c r="A35" s="78" t="n">
        <v>1071</v>
      </c>
      <c r="B35" s="9" t="s">
        <v>3183</v>
      </c>
      <c r="C35" s="78" t="n">
        <v>1</v>
      </c>
      <c r="D35" s="78" t="n">
        <v>7</v>
      </c>
      <c r="E35" s="78" t="n">
        <v>1</v>
      </c>
      <c r="F35" s="79" t="n">
        <f aca="false">INDEX(cfg_ct,D35)</f>
        <v>3</v>
      </c>
      <c r="G35" s="79" t="n">
        <f aca="false">INDEX(cfg_n,D35)</f>
        <v>1</v>
      </c>
      <c r="H35" s="79" t="n">
        <f aca="false">INDEX(dest_port,E35)</f>
        <v>1</v>
      </c>
      <c r="I35" s="80" t="n">
        <f aca="false">INDEX(in_fx_cbe,1,C35)*(1-INDEX(in_fx_spread,1,C35))</f>
        <v>54.6</v>
      </c>
      <c r="J35" s="81" t="n">
        <f aca="false">1</f>
        <v>1</v>
      </c>
      <c r="K35" s="82" t="n">
        <f aca="false">INDEX(in_sup_vat_mode,1,C35)</f>
        <v>1</v>
      </c>
      <c r="L35" s="83" t="n">
        <f aca="false">INDEX(in_cus_s301,1,C35)</f>
        <v>0</v>
      </c>
      <c r="M35" s="84" t="n">
        <f aca="false">1</f>
        <v>1</v>
      </c>
      <c r="N35" s="81" t="n">
        <f aca="false">1</f>
        <v>1</v>
      </c>
      <c r="O35" s="81" t="n">
        <f aca="false">1</f>
        <v>1</v>
      </c>
      <c r="P35" s="81" t="n">
        <f aca="false">1</f>
        <v>1</v>
      </c>
      <c r="Q35" s="81" t="n">
        <f aca="false">1</f>
        <v>1</v>
      </c>
      <c r="R35" s="83" t="n">
        <f aca="false">INDEX(in_sel_damage,1,C35)</f>
        <v>0.005</v>
      </c>
      <c r="S35" s="83" t="n">
        <f aca="false">INDEX(in_mkt_dist_margin,1,C35)</f>
        <v>0.2</v>
      </c>
      <c r="T35" s="83" t="n">
        <f aca="false">INDEX(in_mkt_eflute_disc,1,C35)</f>
        <v>0.15</v>
      </c>
      <c r="U35" s="82" t="n">
        <f aca="false">INDEX(in_sel_credit_days,1,C35)</f>
        <v>30</v>
      </c>
      <c r="V35" s="81" t="n">
        <f aca="false">1</f>
        <v>1</v>
      </c>
      <c r="W35" s="83" t="n">
        <f aca="false">INDEX(in_sel_commission,1,C35)</f>
        <v>0.03</v>
      </c>
      <c r="X35" s="82" t="n">
        <f aca="false">1</f>
        <v>1</v>
      </c>
      <c r="Y35" s="85" t="n">
        <f aca="false">INDEX(cfg_u_3464,D35,C35)*O35</f>
        <v>0</v>
      </c>
      <c r="Z35" s="85" t="n">
        <f aca="false">INDEX(cfg_u_3463,D35,C35)*O35</f>
        <v>0</v>
      </c>
      <c r="AA35" s="85" t="n">
        <f aca="false">INDEX(cfg_u_3460,D35,C35)*O35</f>
        <v>115400</v>
      </c>
      <c r="AB35" s="85" t="n">
        <f aca="false">Y35+Z35+AA35</f>
        <v>115400</v>
      </c>
      <c r="AC35" s="86" t="n">
        <f aca="false">Y35*INDEX(lg_vpu_3464,C35)</f>
        <v>0</v>
      </c>
      <c r="AD35" s="86" t="n">
        <f aca="false">Z35*INDEX(lg_vpu_3463,C35)</f>
        <v>0</v>
      </c>
      <c r="AE35" s="86" t="n">
        <f aca="false">AA35*INDEX(lg_vpu_3460,C35)</f>
        <v>61.505892</v>
      </c>
      <c r="AF35" s="86" t="n">
        <f aca="false">AC35+AD35+AE35</f>
        <v>61.505892</v>
      </c>
      <c r="AG35" s="85" t="n">
        <f aca="false">Y35*INDEX(lg_kpu_3464,C35)+Z35*INDEX(lg_kpu_3463,C35)+AA35*INDEX(lg_kpu_3460,C35)</f>
        <v>15053.126816</v>
      </c>
      <c r="AH35" s="87" t="n">
        <f aca="false">INDEX(in_sup_requote,1,C35)</f>
        <v>-0.05</v>
      </c>
      <c r="AI35" s="88" t="n">
        <f aca="false">Y35*q_price_3464*(1+AH35)*J35/I35</f>
        <v>0</v>
      </c>
      <c r="AJ35" s="88" t="n">
        <f aca="false">Z35*q_price_3463*(1+AH35)*J35/I35</f>
        <v>0</v>
      </c>
      <c r="AK35" s="88" t="n">
        <f aca="false">AA35*q_price_3460*(1+AH35)*J35/I35</f>
        <v>13854.3406593407</v>
      </c>
      <c r="AL35" s="88" t="n">
        <f aca="false">AI35+AJ35+AK35</f>
        <v>13854.3406593407</v>
      </c>
      <c r="AM35" s="88" t="n">
        <f aca="false">IF(OR(K35=2,K35=3),AL35*INDEX(in_sup_vat_rate,1,C35),0)</f>
        <v>0</v>
      </c>
      <c r="AN35" s="88" t="n">
        <f aca="false">IF(K35=3,AM35,0)</f>
        <v>0</v>
      </c>
      <c r="AO35" s="88" t="n">
        <f aca="false">INDEX(in_sup_tooling_egp,1,C35)/I35</f>
        <v>0</v>
      </c>
      <c r="AP35" s="88" t="n">
        <f aca="false">IF(F35=4,INDEX(in_ori_lcl_truck,1,C35)*V35/I35+INDEX(in_ori_lcl_cfs_o,1,C35),G35*(IF(F35=1,INDEX(in_ori_truck_20,1,C35),INDEX(in_ori_truck_40,1,C35))*V35/I35+INDEX(in_ori_terminal,1,C35)+IF(F35=1,INDEX(in_ori_othc_20,1,C35),INDEX(in_ori_othc_40,1,C35))*(1-INDEX(in_ori_othc_in_freight,1,C35))+INDEX(in_ori_seal,1,C35)+INDEX(in_ori_inspection,1,C35)+INDEX(in_ori_dd_days,1,C35)*IF(F35=1,INDEX(in_ori_dd_20,1,C35),INDEX(in_ori_dd_40,1,C35))+INDEX(in_ori_loading_egp,1,C35)/I35))</f>
        <v>457.465201465201</v>
      </c>
      <c r="AQ35" s="88" t="n">
        <f aca="false">(INDEX(in_ori_clearance,1,C35)+INDEX(in_ori_coo,1,C35))/I35+INDEX(in_ori_bl_fee,1,C35)+INDEX(in_ori_fwd_fee,1,C35)+INDEX(in_ori_qc,1,C35)+INDEX(in_ori_wires,1,C35)*INDEX(in_ori_wire_fee,1,C35)</f>
        <v>298.260073260073</v>
      </c>
      <c r="AR35" s="88" t="n">
        <f aca="false">AP35+AQ35</f>
        <v>755.725274725275</v>
      </c>
      <c r="AS35" s="85" t="n">
        <f aca="false">INDEX(tbl_port_diff,H35,C35)</f>
        <v>0</v>
      </c>
      <c r="AT35" s="88" t="n">
        <f aca="false">IF(F35=4,MAX(AF35*INDEX(in_oce_lcl_factor,1,C35),AG35/1000,1)*INDEX(in_oce_lcl_rate,1,C35)*M35,G35*(INDEX(tbl_ocean_rate,MIN(F35,3),C35)+AS35)*M35)</f>
        <v>2900</v>
      </c>
      <c r="AU35" s="88" t="n">
        <f aca="false">AT35+INDEX(in_oce_ams,1,C35)</f>
        <v>2930</v>
      </c>
      <c r="AV35" s="88" t="n">
        <f aca="false">AI35*(1+IF(K35=3,INDEX(in_sup_vat_rate,1,C35),0))+AO35*Y35/AB35</f>
        <v>0</v>
      </c>
      <c r="AW35" s="88" t="n">
        <f aca="false">AJ35*(1+IF(K35=3,INDEX(in_sup_vat_rate,1,C35),0))+AO35*Z35/AB35</f>
        <v>0</v>
      </c>
      <c r="AX35" s="88" t="n">
        <f aca="false">AK35*(1+IF(K35=3,INDEX(in_sup_vat_rate,1,C35),0))+AO35*AA35/AB35</f>
        <v>13854.3406593407</v>
      </c>
      <c r="AY35" s="88" t="n">
        <f aca="false">AV35+AW35+AX35</f>
        <v>13854.3406593407</v>
      </c>
      <c r="AZ35" s="88" t="n">
        <f aca="false">MAX(INDEX(in_oce_ins_min,1,C35),INDEX(in_oce_ins_rate,1,C35)*(1+INDEX(in_oce_ins_uplift,1,C35))*(AL35+AO35+AR35+AU35))*(1-INDEX(in_oce_ins_in_other,1,C35))</f>
        <v>50</v>
      </c>
      <c r="BA35" s="87" t="n">
        <f aca="false">INDEX(in_cus_mfn,1,C35)+L35</f>
        <v>0</v>
      </c>
      <c r="BB35" s="88" t="n">
        <f aca="false">AY35*BA35</f>
        <v>0</v>
      </c>
      <c r="BC35" s="88" t="n">
        <f aca="false">MIN(MAX(AY35*INDEX(in_cus_mpf_rate,1,C35),INDEX(in_cus_mpf_min,1,C35)),INDEX(in_cus_mpf_max,1,C35))</f>
        <v>47.9914360439561</v>
      </c>
      <c r="BD35" s="88" t="n">
        <f aca="false">AY35*INDEX(in_cus_hmf,1,C35)</f>
        <v>17.3179258241758</v>
      </c>
      <c r="BE35" s="88" t="n">
        <f aca="false">MAX(INDEX(in_cus_stb_min,1,C35),INDEX(in_cus_stb_rate,1,C35)/1000*(AY35+BB35+BC35+BD35))</f>
        <v>55.6786000848352</v>
      </c>
      <c r="BF35" s="88" t="n">
        <f aca="false">INDEX(in_cus_broker,1,C35)+INDEX(in_cus_isf,1,C35)+INDEX(in_cus_do_fee,1,C35)+BE35+INDEX(in_cus_isf_bond,1,C35)</f>
        <v>390.678600084835</v>
      </c>
      <c r="BG35" s="88" t="n">
        <f aca="false">IF(H35=1,INDEX(in_cus_cfc,1,C35)*INDEX(ct_teu,F35)*G35*(1-INDEX(in_cus_cfc_in_freight,1,C35)),0)</f>
        <v>29.6</v>
      </c>
      <c r="BH35" s="88" t="n">
        <f aca="false">IF(F35=4,1,G35)*(INDEX(in_cus_exam,1,C35)+INDEX(in_cus_exam_dray,1,C35))</f>
        <v>0</v>
      </c>
      <c r="BI35" s="88" t="n">
        <f aca="false">IF(F35=4,1,G35)*INDEX(in_cus_dem_days,1,C35)*INDEX(in_cus_dem_rate,1,C35)</f>
        <v>0</v>
      </c>
      <c r="BJ35" s="88" t="n">
        <f aca="false">BG35+BH35+BI35</f>
        <v>29.6</v>
      </c>
      <c r="BK35" s="88" t="n">
        <f aca="false">IF(F35=4,(INDEX(in_dra_lcl_cfs_d,1,C35)+INDEX(in_dra_lcl_deliv,1,C35))*P35,G35*(INDEX(tbl_dest_line,E35,C35)*P35*(1+INDEX(in_dra_fsc,1,C35))+INDEX(tbl_dest_tolls,E35,C35)+INDEX(in_dra_chassis_days,1,C35)*INDEX(tbl_dest_chassis,E35,C35)*(1-INDEX(in_dra_chassis_in_dray,1,C35))+INDEX(in_dra_wait_hours,1,C35)*INDEX(in_dra_wait_rate,1,C35)+INDEX(in_dra_split,1,C35)+INDEX(in_dra_prepull,1,C35)+INDEX(in_dra_dryrun,1,C35)))</f>
        <v>661</v>
      </c>
      <c r="BL35" s="88" t="n">
        <f aca="false">IF(F35=4,0,G35*IF(F35=1,INDEX(in_dra_unload_20,1,C35),INDEX(in_dra_unload_40,1,C35))*Q35*(1-INDEX(in_dra_unload_in_dray,1,C35)))</f>
        <v>250</v>
      </c>
      <c r="BM35" s="88" t="n">
        <f aca="false">AL35+AN35+AO35+AR35+AU35+AZ35+BB35+BC35+BD35+BF35+BJ35+BK35+BL35</f>
        <v>18986.6538960189</v>
      </c>
      <c r="BN35" s="88" t="n">
        <f aca="false">AP35+AU35+BJ35+BK35+BL35</f>
        <v>4328.0652014652</v>
      </c>
      <c r="BO35" s="88" t="n">
        <f aca="false">AQ35+BF35</f>
        <v>688.938673344909</v>
      </c>
      <c r="BP35" s="88" t="n">
        <f aca="false">AI35*(1+IF(K35=3,INDEX(in_sup_vat_rate,1,C35),0))+AO35*Y35/AB35+AV35*BA35+(BC35+BD35)*AV35/AY35+AZ35*AI35/AL35+BN35*AC35/AF35+BO35*Y35/AB35</f>
        <v>0</v>
      </c>
      <c r="BQ35" s="88" t="n">
        <f aca="false">AJ35*(1+IF(K35=3,INDEX(in_sup_vat_rate,1,C35),0))+AO35*Z35/AB35+AW35*BA35+(BC35+BD35)*AW35/AY35+AZ35*AJ35/AL35+BN35*AD35/AF35+BO35*Z35/AB35</f>
        <v>0</v>
      </c>
      <c r="BR35" s="88" t="n">
        <f aca="false">AK35*(1+IF(K35=3,INDEX(in_sup_vat_rate,1,C35),0))+AO35*AA35/AB35+AX35*BA35+(BC35+BD35)*AX35/AY35+AZ35*AK35/AL35+BN35*AE35/AF35+BO35*AA35/AB35</f>
        <v>18986.6538960189</v>
      </c>
      <c r="BS35" s="89" t="n">
        <f aca="false">BP35+BQ35+BR35-BM35</f>
        <v>0</v>
      </c>
      <c r="BT35" s="85" t="n">
        <f aca="false">Y35*(1-R35)</f>
        <v>0</v>
      </c>
      <c r="BU35" s="85" t="n">
        <f aca="false">Z35*(1-R35)</f>
        <v>0</v>
      </c>
      <c r="BV35" s="85" t="n">
        <f aca="false">AA35*(1-R35)</f>
        <v>114823</v>
      </c>
      <c r="BW35" s="85" t="n">
        <f aca="false">BT35+BU35+BV35</f>
        <v>114823</v>
      </c>
      <c r="BX35" s="90" t="n">
        <f aca="false">IF(BT35&gt;0,BP35/BT35,0)</f>
        <v>0</v>
      </c>
      <c r="BY35" s="90" t="n">
        <f aca="false">IF(BU35&gt;0,BQ35/BU35,0)</f>
        <v>0</v>
      </c>
      <c r="BZ35" s="90" t="n">
        <f aca="false">IF(BV35&gt;0,BR35/BV35,0)</f>
        <v>0.165355842435914</v>
      </c>
      <c r="CA35" s="90" t="n">
        <f aca="false">INDEX(in_mkt_listing_3464,1,C35)*(1-IF(sku_flute_3464="B",T35,0))*(1-S35)*N35</f>
        <v>0.2856</v>
      </c>
      <c r="CB35" s="90" t="n">
        <f aca="false">INDEX(in_mkt_listing_3463,1,C35)*(1-IF(sku_flute_3463="B",T35,0))*(1-S35)*N35</f>
        <v>0.3128</v>
      </c>
      <c r="CC35" s="90" t="n">
        <f aca="false">INDEX(in_mkt_listing_3460,1,C35)*(1-IF(sku_flute_3460="B",T35,0))*(1-S35)*N35</f>
        <v>0.256</v>
      </c>
      <c r="CD35" s="88" t="n">
        <f aca="false">BT35*CA35+BU35*CB35+BV35*CC35</f>
        <v>29394.688</v>
      </c>
      <c r="CE35" s="88" t="n">
        <f aca="false">CD35-BM35</f>
        <v>10408.0341039811</v>
      </c>
      <c r="CF35" s="87" t="n">
        <f aca="false">IF(CD35&gt;0,CE35/CD35,0)</f>
        <v>0.354078740484713</v>
      </c>
      <c r="CG35" s="87" t="n">
        <f aca="false">W35+INDEX(in_sel_processing,1,C35)+INDEX(in_sel_bad_debt,1,C35)</f>
        <v>0.0325</v>
      </c>
      <c r="CH35" s="88" t="n">
        <f aca="false">CD35*CG35</f>
        <v>955.32736</v>
      </c>
      <c r="CI35" s="88" t="n">
        <f aca="false">INDEX(in_sel_testing,1,C35)*X35+INDEX(in_sel_admin,1,C35)</f>
        <v>1250</v>
      </c>
      <c r="CJ35" s="79" t="n">
        <f aca="false">INDEX(in_sup_lead_days,1,C35)</f>
        <v>14</v>
      </c>
      <c r="CK35" s="79" t="n">
        <f aca="false">CJ35+INDEX(in_oce_transit,1,C35)+IF(F35=4,INDEX(in_oce_lcl_extra_days,1,C35),0)</f>
        <v>39</v>
      </c>
      <c r="CL35" s="79" t="n">
        <f aca="false">CK35+2+INDEX(in_cus_dem_days,1,C35)</f>
        <v>41</v>
      </c>
      <c r="CM35" s="79" t="n">
        <f aca="false">CL35+U35</f>
        <v>71</v>
      </c>
      <c r="CN35" s="79" t="n">
        <f aca="false">CJ35+INDEX(in_sup_vat_lag,1,C35)</f>
        <v>44</v>
      </c>
      <c r="CO35" s="91" t="n">
        <f aca="false">INDEX(in_sup_advance,1,C35)</f>
        <v>0.5</v>
      </c>
      <c r="CP35" s="88" t="n">
        <f aca="false">CO35*(AL35+AM35)+AO35+INDEX(in_sel_testing,1,C35)*X35</f>
        <v>7927.17032967033</v>
      </c>
      <c r="CQ35" s="88" t="n">
        <f aca="false">(1-CO35)*(AL35+AM35)+AR35+AU35+AZ35</f>
        <v>10662.8956043956</v>
      </c>
      <c r="CR35" s="88" t="n">
        <f aca="false">BB35+BC35+BD35+BF35+BJ35</f>
        <v>485.587961952967</v>
      </c>
      <c r="CS35" s="88" t="n">
        <f aca="false">BK35+BL35</f>
        <v>911</v>
      </c>
      <c r="CT35" s="88" t="n">
        <f aca="false">IF(K35=2,AM35,0)</f>
        <v>0</v>
      </c>
      <c r="CU35" s="85" t="n">
        <f aca="false">IF(K35=2,CO35*AM35*(CN35-0)+(1-CO35)*AM35*(CN35-CJ35),0)</f>
        <v>0</v>
      </c>
      <c r="CV35" s="85" t="n">
        <f aca="false">(CP35-CO35*CT35)*(CM35-0)+(CQ35-(1-CO35)*CT35)*(CM35-CJ35)+CR35*(CM35-CK35)+CS35*(CM35-CL35)</f>
        <v>1213482.95763964</v>
      </c>
      <c r="CW35" s="88" t="n">
        <f aca="false">INDEX(in_sel_fin_rate,1,C35)/365*(CU35+CV35)</f>
        <v>265.968867427866</v>
      </c>
      <c r="CX35" s="85" t="n">
        <f aca="false">CP35-IF(CN35&lt;=0,CT35,0)</f>
        <v>7927.17032967033</v>
      </c>
      <c r="CY35" s="85" t="n">
        <f aca="false">CP35+CQ35-IF(CN35&lt;=CJ35,CT35,0)</f>
        <v>18590.0659340659</v>
      </c>
      <c r="CZ35" s="85" t="n">
        <f aca="false">CP35+CQ35+CR35-IF(CN35&lt;=CK35,CT35,0)</f>
        <v>19075.6538960189</v>
      </c>
      <c r="DA35" s="85" t="n">
        <f aca="false">CP35+CQ35+CR35+CS35-IF(CN35&lt;=CL35,CT35,0)</f>
        <v>19986.6538960189</v>
      </c>
      <c r="DB35" s="88" t="n">
        <f aca="false">MAX(CX35,CY35,CZ35,DA35)</f>
        <v>19986.6538960189</v>
      </c>
      <c r="DC35" s="88" t="n">
        <f aca="false">CP35+CQ35+CR35+CS35</f>
        <v>19986.6538960189</v>
      </c>
      <c r="DD35" s="88" t="n">
        <f aca="false">CE35-CH35-CI35-CW35</f>
        <v>7936.73787655324</v>
      </c>
      <c r="DE35" s="87" t="n">
        <f aca="false">IF(CD35&gt;0,DD35/CD35,0)</f>
        <v>0.27000585536248</v>
      </c>
      <c r="DF35" s="86" t="n">
        <f aca="false">IF(CD35&gt;0,(BM35+CI35+CW35)/(CD35*(1-CG35)),0)</f>
        <v>0.720924180503896</v>
      </c>
      <c r="DG35" s="90" t="n">
        <f aca="false">IF(BW35&gt;0,BM35/BW35,0)</f>
        <v>0.165355842435914</v>
      </c>
      <c r="DH35" s="90" t="n">
        <f aca="false">IF(BW35&gt;0,CD35/BW35,0)</f>
        <v>0.256</v>
      </c>
      <c r="DI35" s="90" t="n">
        <f aca="false">IF(AI35&gt;0,(AI35*IF(K35=3,INDEX(in_sup_vat_rate,1,C35),0)+AV35*BA35+(BC35+BD35)*AV35/AY35+AZ35*AI35/AL35)/AI35,0)</f>
        <v>0</v>
      </c>
      <c r="DJ35" s="90" t="n">
        <f aca="false">IF(AJ35&gt;0,(AJ35*IF(K35=3,INDEX(in_sup_vat_rate,1,C35),0)+AW35*BA35+(BC35+BD35)*AW35/AY35+AZ35*AJ35/AL35)/AJ35,0)</f>
        <v>0</v>
      </c>
      <c r="DK35" s="90" t="n">
        <f aca="false">IF(AK35&gt;0,(AK35*IF(K35=3,INDEX(in_sup_vat_rate,1,C35),0)+AX35*BA35+(BC35+BD35)*AX35/AY35+AZ35*AK35/AL35)/AK35,0)</f>
        <v>0.00832297723171617</v>
      </c>
      <c r="DL35" s="90" t="n">
        <f aca="false">IF(Y35&gt;0,(BP35-AI35*(1+DI35))/Y35,0)</f>
        <v>0</v>
      </c>
      <c r="DM35" s="90" t="n">
        <f aca="false">IF(Z35&gt;0,(BQ35-AJ35*(1+DJ35))/Z35,0)</f>
        <v>0</v>
      </c>
      <c r="DN35" s="90" t="n">
        <f aca="false">IF(AA35&gt;0,(BR35-AK35*(1+DK35))/AA35,0)</f>
        <v>0.0434749035945417</v>
      </c>
      <c r="DO35" s="86" t="str">
        <f aca="false">IF(Y35&gt;0,(CA35*(1-thr_gm_go)*(1-R35)-DL35)/(1+DI35)*I35/((1+AH35)*J35),"")</f>
        <v/>
      </c>
      <c r="DP35" s="86" t="str">
        <f aca="false">IF(Z35&gt;0,(CB35*(1-thr_gm_go)*(1-R35)-DM35)/(1+DJ35)*I35/((1+AH35)*J35),"")</f>
        <v/>
      </c>
      <c r="DQ35" s="86" t="n">
        <f aca="false">IF(AA35&gt;0,(CC35*(1-thr_gm_go)*(1-R35)-DN35)/(1+DK35)*I35/((1+AH35)*J35),"")</f>
        <v>8.41110432154141</v>
      </c>
      <c r="DR35" s="92" t="n">
        <f aca="false">IF(AND(AY35*INDEX(in_cus_mpf_rate,1,C35)&gt;INDEX(in_cus_mpf_min,1,C35),AY35*INDEX(in_cus_mpf_rate,1,C35)&lt;INDEX(in_cus_mpf_max,1,C35)),INDEX(in_cus_mpf_rate,1,C35),0)</f>
        <v>0.003464</v>
      </c>
      <c r="DS35" s="88" t="n">
        <f aca="false">IF(AZ35&gt;INDEX(in_oce_ins_min,1,C35),INDEX(in_oce_ins_rate,1,C35)*(1+INDEX(in_oce_ins_uplift,1,C35))*AL35,0)</f>
        <v>0</v>
      </c>
      <c r="DT35" s="88" t="n">
        <f aca="false">(AL35+AN35)*(1+BA35+INDEX(in_cus_hmf,1,C35)+DR35)+DS35</f>
        <v>13919.6500212088</v>
      </c>
      <c r="DU35" s="86" t="n">
        <f aca="false">IF(DT35&gt;0,(CD35*(1-thr_gm_go)-(BM35-DT35))/DT35,0)</f>
        <v>1.21978728626939</v>
      </c>
      <c r="DV35" s="86" t="n">
        <f aca="false">IF(DT35&gt;0,(CD35-(BM35-DT35))/DT35,0)</f>
        <v>1.74772239877603</v>
      </c>
      <c r="DW35" s="87" t="n">
        <f aca="false">(1+AH35)*J35*DU35-1</f>
        <v>0.158797921955918</v>
      </c>
      <c r="DX35" s="87" t="n">
        <f aca="false">(1+AH35)*J35*DV35-1</f>
        <v>0.660336278837232</v>
      </c>
      <c r="DY35" s="85" t="n">
        <f aca="false">IF(G35&gt;0,(CD35*(1-thr_gm_go)-(BM35-AT35))/G35,"")</f>
        <v>5959.3621039811</v>
      </c>
      <c r="DZ35" s="90" t="n">
        <f aca="false">IF(AB35&gt;0,(AL35+AN35+BB35+BC35+BD35)/AB35,0)</f>
        <v>0.120620884065934</v>
      </c>
      <c r="EA35" s="88" t="n">
        <f aca="false">BM35-DZ35*AB35</f>
        <v>5067.00387481011</v>
      </c>
      <c r="EB35" s="90" t="n">
        <f aca="false">IF(AB35&gt;0,CD35/AB35,0)</f>
        <v>0.25472</v>
      </c>
      <c r="EC35" s="85" t="n">
        <f aca="false">IF(EB35*(1-thr_gm_go)-DZ35&gt;0,EA35/(EB35*(1-thr_gm_go)-DZ35),"n/a")</f>
        <v>71954.9487039058</v>
      </c>
      <c r="ED35" s="85" t="n">
        <f aca="false">IF(EB35-DZ35&gt;0,EA35/(EB35-DZ35),"n/a")</f>
        <v>37785.5128985448</v>
      </c>
      <c r="EE35" s="93" t="b">
        <f aca="false">INDEX(cfg_fits,D35,C35)</f>
        <v>1</v>
      </c>
      <c r="EF35" s="87" t="n">
        <f aca="false">IF(F35=4,"",INDEX(cfg_lenutil,D35,C35))</f>
        <v>0.985750209555742</v>
      </c>
      <c r="EG35" s="31" t="str">
        <f aca="false">IF(O35&gt;1,"Check fit (units scaled up)","")</f>
        <v/>
      </c>
    </row>
    <row r="36" customFormat="false" ht="15" hidden="false" customHeight="false" outlineLevel="0" collapsed="false">
      <c r="A36" s="78" t="n">
        <v>1072</v>
      </c>
      <c r="B36" s="9" t="s">
        <v>3184</v>
      </c>
      <c r="C36" s="78" t="n">
        <v>1</v>
      </c>
      <c r="D36" s="78" t="n">
        <v>7</v>
      </c>
      <c r="E36" s="78" t="n">
        <v>2</v>
      </c>
      <c r="F36" s="79" t="n">
        <f aca="false">INDEX(cfg_ct,D36)</f>
        <v>3</v>
      </c>
      <c r="G36" s="79" t="n">
        <f aca="false">INDEX(cfg_n,D36)</f>
        <v>1</v>
      </c>
      <c r="H36" s="79" t="n">
        <f aca="false">INDEX(dest_port,E36)</f>
        <v>1</v>
      </c>
      <c r="I36" s="80" t="n">
        <f aca="false">INDEX(in_fx_cbe,1,C36)*(1-INDEX(in_fx_spread,1,C36))</f>
        <v>54.6</v>
      </c>
      <c r="J36" s="81" t="n">
        <f aca="false">1</f>
        <v>1</v>
      </c>
      <c r="K36" s="82" t="n">
        <f aca="false">INDEX(in_sup_vat_mode,1,C36)</f>
        <v>1</v>
      </c>
      <c r="L36" s="83" t="n">
        <f aca="false">INDEX(in_cus_s301,1,C36)</f>
        <v>0</v>
      </c>
      <c r="M36" s="84" t="n">
        <f aca="false">1</f>
        <v>1</v>
      </c>
      <c r="N36" s="81" t="n">
        <f aca="false">1</f>
        <v>1</v>
      </c>
      <c r="O36" s="81" t="n">
        <f aca="false">1</f>
        <v>1</v>
      </c>
      <c r="P36" s="81" t="n">
        <f aca="false">1</f>
        <v>1</v>
      </c>
      <c r="Q36" s="81" t="n">
        <f aca="false">1</f>
        <v>1</v>
      </c>
      <c r="R36" s="83" t="n">
        <f aca="false">INDEX(in_sel_damage,1,C36)</f>
        <v>0.005</v>
      </c>
      <c r="S36" s="83" t="n">
        <f aca="false">INDEX(in_mkt_dist_margin,1,C36)</f>
        <v>0.2</v>
      </c>
      <c r="T36" s="83" t="n">
        <f aca="false">INDEX(in_mkt_eflute_disc,1,C36)</f>
        <v>0.15</v>
      </c>
      <c r="U36" s="82" t="n">
        <f aca="false">INDEX(in_sel_credit_days,1,C36)</f>
        <v>30</v>
      </c>
      <c r="V36" s="81" t="n">
        <f aca="false">1</f>
        <v>1</v>
      </c>
      <c r="W36" s="83" t="n">
        <f aca="false">INDEX(in_sel_commission,1,C36)</f>
        <v>0.03</v>
      </c>
      <c r="X36" s="82" t="n">
        <f aca="false">1</f>
        <v>1</v>
      </c>
      <c r="Y36" s="85" t="n">
        <f aca="false">INDEX(cfg_u_3464,D36,C36)*O36</f>
        <v>0</v>
      </c>
      <c r="Z36" s="85" t="n">
        <f aca="false">INDEX(cfg_u_3463,D36,C36)*O36</f>
        <v>0</v>
      </c>
      <c r="AA36" s="85" t="n">
        <f aca="false">INDEX(cfg_u_3460,D36,C36)*O36</f>
        <v>115400</v>
      </c>
      <c r="AB36" s="85" t="n">
        <f aca="false">Y36+Z36+AA36</f>
        <v>115400</v>
      </c>
      <c r="AC36" s="86" t="n">
        <f aca="false">Y36*INDEX(lg_vpu_3464,C36)</f>
        <v>0</v>
      </c>
      <c r="AD36" s="86" t="n">
        <f aca="false">Z36*INDEX(lg_vpu_3463,C36)</f>
        <v>0</v>
      </c>
      <c r="AE36" s="86" t="n">
        <f aca="false">AA36*INDEX(lg_vpu_3460,C36)</f>
        <v>61.505892</v>
      </c>
      <c r="AF36" s="86" t="n">
        <f aca="false">AC36+AD36+AE36</f>
        <v>61.505892</v>
      </c>
      <c r="AG36" s="85" t="n">
        <f aca="false">Y36*INDEX(lg_kpu_3464,C36)+Z36*INDEX(lg_kpu_3463,C36)+AA36*INDEX(lg_kpu_3460,C36)</f>
        <v>15053.126816</v>
      </c>
      <c r="AH36" s="87" t="n">
        <f aca="false">INDEX(in_sup_requote,1,C36)</f>
        <v>-0.05</v>
      </c>
      <c r="AI36" s="88" t="n">
        <f aca="false">Y36*q_price_3464*(1+AH36)*J36/I36</f>
        <v>0</v>
      </c>
      <c r="AJ36" s="88" t="n">
        <f aca="false">Z36*q_price_3463*(1+AH36)*J36/I36</f>
        <v>0</v>
      </c>
      <c r="AK36" s="88" t="n">
        <f aca="false">AA36*q_price_3460*(1+AH36)*J36/I36</f>
        <v>13854.3406593407</v>
      </c>
      <c r="AL36" s="88" t="n">
        <f aca="false">AI36+AJ36+AK36</f>
        <v>13854.3406593407</v>
      </c>
      <c r="AM36" s="88" t="n">
        <f aca="false">IF(OR(K36=2,K36=3),AL36*INDEX(in_sup_vat_rate,1,C36),0)</f>
        <v>0</v>
      </c>
      <c r="AN36" s="88" t="n">
        <f aca="false">IF(K36=3,AM36,0)</f>
        <v>0</v>
      </c>
      <c r="AO36" s="88" t="n">
        <f aca="false">INDEX(in_sup_tooling_egp,1,C36)/I36</f>
        <v>0</v>
      </c>
      <c r="AP36" s="88" t="n">
        <f aca="false">IF(F36=4,INDEX(in_ori_lcl_truck,1,C36)*V36/I36+INDEX(in_ori_lcl_cfs_o,1,C36),G36*(IF(F36=1,INDEX(in_ori_truck_20,1,C36),INDEX(in_ori_truck_40,1,C36))*V36/I36+INDEX(in_ori_terminal,1,C36)+IF(F36=1,INDEX(in_ori_othc_20,1,C36),INDEX(in_ori_othc_40,1,C36))*(1-INDEX(in_ori_othc_in_freight,1,C36))+INDEX(in_ori_seal,1,C36)+INDEX(in_ori_inspection,1,C36)+INDEX(in_ori_dd_days,1,C36)*IF(F36=1,INDEX(in_ori_dd_20,1,C36),INDEX(in_ori_dd_40,1,C36))+INDEX(in_ori_loading_egp,1,C36)/I36))</f>
        <v>457.465201465201</v>
      </c>
      <c r="AQ36" s="88" t="n">
        <f aca="false">(INDEX(in_ori_clearance,1,C36)+INDEX(in_ori_coo,1,C36))/I36+INDEX(in_ori_bl_fee,1,C36)+INDEX(in_ori_fwd_fee,1,C36)+INDEX(in_ori_qc,1,C36)+INDEX(in_ori_wires,1,C36)*INDEX(in_ori_wire_fee,1,C36)</f>
        <v>298.260073260073</v>
      </c>
      <c r="AR36" s="88" t="n">
        <f aca="false">AP36+AQ36</f>
        <v>755.725274725275</v>
      </c>
      <c r="AS36" s="85" t="n">
        <f aca="false">INDEX(tbl_port_diff,H36,C36)</f>
        <v>0</v>
      </c>
      <c r="AT36" s="88" t="n">
        <f aca="false">IF(F36=4,MAX(AF36*INDEX(in_oce_lcl_factor,1,C36),AG36/1000,1)*INDEX(in_oce_lcl_rate,1,C36)*M36,G36*(INDEX(tbl_ocean_rate,MIN(F36,3),C36)+AS36)*M36)</f>
        <v>2900</v>
      </c>
      <c r="AU36" s="88" t="n">
        <f aca="false">AT36+INDEX(in_oce_ams,1,C36)</f>
        <v>2930</v>
      </c>
      <c r="AV36" s="88" t="n">
        <f aca="false">AI36*(1+IF(K36=3,INDEX(in_sup_vat_rate,1,C36),0))+AO36*Y36/AB36</f>
        <v>0</v>
      </c>
      <c r="AW36" s="88" t="n">
        <f aca="false">AJ36*(1+IF(K36=3,INDEX(in_sup_vat_rate,1,C36),0))+AO36*Z36/AB36</f>
        <v>0</v>
      </c>
      <c r="AX36" s="88" t="n">
        <f aca="false">AK36*(1+IF(K36=3,INDEX(in_sup_vat_rate,1,C36),0))+AO36*AA36/AB36</f>
        <v>13854.3406593407</v>
      </c>
      <c r="AY36" s="88" t="n">
        <f aca="false">AV36+AW36+AX36</f>
        <v>13854.3406593407</v>
      </c>
      <c r="AZ36" s="88" t="n">
        <f aca="false">MAX(INDEX(in_oce_ins_min,1,C36),INDEX(in_oce_ins_rate,1,C36)*(1+INDEX(in_oce_ins_uplift,1,C36))*(AL36+AO36+AR36+AU36))*(1-INDEX(in_oce_ins_in_other,1,C36))</f>
        <v>50</v>
      </c>
      <c r="BA36" s="87" t="n">
        <f aca="false">INDEX(in_cus_mfn,1,C36)+L36</f>
        <v>0</v>
      </c>
      <c r="BB36" s="88" t="n">
        <f aca="false">AY36*BA36</f>
        <v>0</v>
      </c>
      <c r="BC36" s="88" t="n">
        <f aca="false">MIN(MAX(AY36*INDEX(in_cus_mpf_rate,1,C36),INDEX(in_cus_mpf_min,1,C36)),INDEX(in_cus_mpf_max,1,C36))</f>
        <v>47.9914360439561</v>
      </c>
      <c r="BD36" s="88" t="n">
        <f aca="false">AY36*INDEX(in_cus_hmf,1,C36)</f>
        <v>17.3179258241758</v>
      </c>
      <c r="BE36" s="88" t="n">
        <f aca="false">MAX(INDEX(in_cus_stb_min,1,C36),INDEX(in_cus_stb_rate,1,C36)/1000*(AY36+BB36+BC36+BD36))</f>
        <v>55.6786000848352</v>
      </c>
      <c r="BF36" s="88" t="n">
        <f aca="false">INDEX(in_cus_broker,1,C36)+INDEX(in_cus_isf,1,C36)+INDEX(in_cus_do_fee,1,C36)+BE36+INDEX(in_cus_isf_bond,1,C36)</f>
        <v>390.678600084835</v>
      </c>
      <c r="BG36" s="88" t="n">
        <f aca="false">IF(H36=1,INDEX(in_cus_cfc,1,C36)*INDEX(ct_teu,F36)*G36*(1-INDEX(in_cus_cfc_in_freight,1,C36)),0)</f>
        <v>29.6</v>
      </c>
      <c r="BH36" s="88" t="n">
        <f aca="false">IF(F36=4,1,G36)*(INDEX(in_cus_exam,1,C36)+INDEX(in_cus_exam_dray,1,C36))</f>
        <v>0</v>
      </c>
      <c r="BI36" s="88" t="n">
        <f aca="false">IF(F36=4,1,G36)*INDEX(in_cus_dem_days,1,C36)*INDEX(in_cus_dem_rate,1,C36)</f>
        <v>0</v>
      </c>
      <c r="BJ36" s="88" t="n">
        <f aca="false">BG36+BH36+BI36</f>
        <v>29.6</v>
      </c>
      <c r="BK36" s="88" t="n">
        <f aca="false">IF(F36=4,(INDEX(in_dra_lcl_cfs_d,1,C36)+INDEX(in_dra_lcl_deliv,1,C36))*P36,G36*(INDEX(tbl_dest_line,E36,C36)*P36*(1+INDEX(in_dra_fsc,1,C36))+INDEX(tbl_dest_tolls,E36,C36)+INDEX(in_dra_chassis_days,1,C36)*INDEX(tbl_dest_chassis,E36,C36)*(1-INDEX(in_dra_chassis_in_dray,1,C36))+INDEX(in_dra_wait_hours,1,C36)*INDEX(in_dra_wait_rate,1,C36)+INDEX(in_dra_split,1,C36)+INDEX(in_dra_prepull,1,C36)+INDEX(in_dra_dryrun,1,C36)))</f>
        <v>866</v>
      </c>
      <c r="BL36" s="88" t="n">
        <f aca="false">IF(F36=4,0,G36*IF(F36=1,INDEX(in_dra_unload_20,1,C36),INDEX(in_dra_unload_40,1,C36))*Q36*(1-INDEX(in_dra_unload_in_dray,1,C36)))</f>
        <v>250</v>
      </c>
      <c r="BM36" s="88" t="n">
        <f aca="false">AL36+AN36+AO36+AR36+AU36+AZ36+BB36+BC36+BD36+BF36+BJ36+BK36+BL36</f>
        <v>19191.6538960189</v>
      </c>
      <c r="BN36" s="88" t="n">
        <f aca="false">AP36+AU36+BJ36+BK36+BL36</f>
        <v>4533.0652014652</v>
      </c>
      <c r="BO36" s="88" t="n">
        <f aca="false">AQ36+BF36</f>
        <v>688.938673344909</v>
      </c>
      <c r="BP36" s="88" t="n">
        <f aca="false">AI36*(1+IF(K36=3,INDEX(in_sup_vat_rate,1,C36),0))+AO36*Y36/AB36+AV36*BA36+(BC36+BD36)*AV36/AY36+AZ36*AI36/AL36+BN36*AC36/AF36+BO36*Y36/AB36</f>
        <v>0</v>
      </c>
      <c r="BQ36" s="88" t="n">
        <f aca="false">AJ36*(1+IF(K36=3,INDEX(in_sup_vat_rate,1,C36),0))+AO36*Z36/AB36+AW36*BA36+(BC36+BD36)*AW36/AY36+AZ36*AJ36/AL36+BN36*AD36/AF36+BO36*Z36/AB36</f>
        <v>0</v>
      </c>
      <c r="BR36" s="88" t="n">
        <f aca="false">AK36*(1+IF(K36=3,INDEX(in_sup_vat_rate,1,C36),0))+AO36*AA36/AB36+AX36*BA36+(BC36+BD36)*AX36/AY36+AZ36*AK36/AL36+BN36*AE36/AF36+BO36*AA36/AB36</f>
        <v>19191.6538960189</v>
      </c>
      <c r="BS36" s="89" t="n">
        <f aca="false">BP36+BQ36+BR36-BM36</f>
        <v>0</v>
      </c>
      <c r="BT36" s="85" t="n">
        <f aca="false">Y36*(1-R36)</f>
        <v>0</v>
      </c>
      <c r="BU36" s="85" t="n">
        <f aca="false">Z36*(1-R36)</f>
        <v>0</v>
      </c>
      <c r="BV36" s="85" t="n">
        <f aca="false">AA36*(1-R36)</f>
        <v>114823</v>
      </c>
      <c r="BW36" s="85" t="n">
        <f aca="false">BT36+BU36+BV36</f>
        <v>114823</v>
      </c>
      <c r="BX36" s="90" t="n">
        <f aca="false">IF(BT36&gt;0,BP36/BT36,0)</f>
        <v>0</v>
      </c>
      <c r="BY36" s="90" t="n">
        <f aca="false">IF(BU36&gt;0,BQ36/BU36,0)</f>
        <v>0</v>
      </c>
      <c r="BZ36" s="90" t="n">
        <f aca="false">IF(BV36&gt;0,BR36/BV36,0)</f>
        <v>0.167141199028234</v>
      </c>
      <c r="CA36" s="90" t="n">
        <f aca="false">INDEX(in_mkt_listing_3464,1,C36)*(1-IF(sku_flute_3464="B",T36,0))*(1-S36)*N36</f>
        <v>0.2856</v>
      </c>
      <c r="CB36" s="90" t="n">
        <f aca="false">INDEX(in_mkt_listing_3463,1,C36)*(1-IF(sku_flute_3463="B",T36,0))*(1-S36)*N36</f>
        <v>0.3128</v>
      </c>
      <c r="CC36" s="90" t="n">
        <f aca="false">INDEX(in_mkt_listing_3460,1,C36)*(1-IF(sku_flute_3460="B",T36,0))*(1-S36)*N36</f>
        <v>0.256</v>
      </c>
      <c r="CD36" s="88" t="n">
        <f aca="false">BT36*CA36+BU36*CB36+BV36*CC36</f>
        <v>29394.688</v>
      </c>
      <c r="CE36" s="88" t="n">
        <f aca="false">CD36-BM36</f>
        <v>10203.0341039811</v>
      </c>
      <c r="CF36" s="87" t="n">
        <f aca="false">IF(CD36&gt;0,CE36/CD36,0)</f>
        <v>0.347104691295961</v>
      </c>
      <c r="CG36" s="87" t="n">
        <f aca="false">W36+INDEX(in_sel_processing,1,C36)+INDEX(in_sel_bad_debt,1,C36)</f>
        <v>0.0325</v>
      </c>
      <c r="CH36" s="88" t="n">
        <f aca="false">CD36*CG36</f>
        <v>955.32736</v>
      </c>
      <c r="CI36" s="88" t="n">
        <f aca="false">INDEX(in_sel_testing,1,C36)*X36+INDEX(in_sel_admin,1,C36)</f>
        <v>1250</v>
      </c>
      <c r="CJ36" s="79" t="n">
        <f aca="false">INDEX(in_sup_lead_days,1,C36)</f>
        <v>14</v>
      </c>
      <c r="CK36" s="79" t="n">
        <f aca="false">CJ36+INDEX(in_oce_transit,1,C36)+IF(F36=4,INDEX(in_oce_lcl_extra_days,1,C36),0)</f>
        <v>39</v>
      </c>
      <c r="CL36" s="79" t="n">
        <f aca="false">CK36+2+INDEX(in_cus_dem_days,1,C36)</f>
        <v>41</v>
      </c>
      <c r="CM36" s="79" t="n">
        <f aca="false">CL36+U36</f>
        <v>71</v>
      </c>
      <c r="CN36" s="79" t="n">
        <f aca="false">CJ36+INDEX(in_sup_vat_lag,1,C36)</f>
        <v>44</v>
      </c>
      <c r="CO36" s="91" t="n">
        <f aca="false">INDEX(in_sup_advance,1,C36)</f>
        <v>0.5</v>
      </c>
      <c r="CP36" s="88" t="n">
        <f aca="false">CO36*(AL36+AM36)+AO36+INDEX(in_sel_testing,1,C36)*X36</f>
        <v>7927.17032967033</v>
      </c>
      <c r="CQ36" s="88" t="n">
        <f aca="false">(1-CO36)*(AL36+AM36)+AR36+AU36+AZ36</f>
        <v>10662.8956043956</v>
      </c>
      <c r="CR36" s="88" t="n">
        <f aca="false">BB36+BC36+BD36+BF36+BJ36</f>
        <v>485.587961952967</v>
      </c>
      <c r="CS36" s="88" t="n">
        <f aca="false">BK36+BL36</f>
        <v>1116</v>
      </c>
      <c r="CT36" s="88" t="n">
        <f aca="false">IF(K36=2,AM36,0)</f>
        <v>0</v>
      </c>
      <c r="CU36" s="85" t="n">
        <f aca="false">IF(K36=2,CO36*AM36*(CN36-0)+(1-CO36)*AM36*(CN36-CJ36),0)</f>
        <v>0</v>
      </c>
      <c r="CV36" s="85" t="n">
        <f aca="false">(CP36-CO36*CT36)*(CM36-0)+(CQ36-(1-CO36)*CT36)*(CM36-CJ36)+CR36*(CM36-CK36)+CS36*(CM36-CL36)</f>
        <v>1219632.95763964</v>
      </c>
      <c r="CW36" s="88" t="n">
        <f aca="false">INDEX(in_sel_fin_rate,1,C36)/365*(CU36+CV36)</f>
        <v>267.316812633345</v>
      </c>
      <c r="CX36" s="85" t="n">
        <f aca="false">CP36-IF(CN36&lt;=0,CT36,0)</f>
        <v>7927.17032967033</v>
      </c>
      <c r="CY36" s="85" t="n">
        <f aca="false">CP36+CQ36-IF(CN36&lt;=CJ36,CT36,0)</f>
        <v>18590.0659340659</v>
      </c>
      <c r="CZ36" s="85" t="n">
        <f aca="false">CP36+CQ36+CR36-IF(CN36&lt;=CK36,CT36,0)</f>
        <v>19075.6538960189</v>
      </c>
      <c r="DA36" s="85" t="n">
        <f aca="false">CP36+CQ36+CR36+CS36-IF(CN36&lt;=CL36,CT36,0)</f>
        <v>20191.6538960189</v>
      </c>
      <c r="DB36" s="88" t="n">
        <f aca="false">MAX(CX36,CY36,CZ36,DA36)</f>
        <v>20191.6538960189</v>
      </c>
      <c r="DC36" s="88" t="n">
        <f aca="false">CP36+CQ36+CR36+CS36</f>
        <v>20191.6538960189</v>
      </c>
      <c r="DD36" s="88" t="n">
        <f aca="false">CE36-CH36-CI36-CW36</f>
        <v>7730.38993134776</v>
      </c>
      <c r="DE36" s="87" t="n">
        <f aca="false">IF(CD36&gt;0,DD36/CD36,0)</f>
        <v>0.26298594941194</v>
      </c>
      <c r="DF36" s="86" t="n">
        <f aca="false">IF(CD36&gt;0,(BM36+CI36+CW36)/(CD36*(1-CG36)),0)</f>
        <v>0.728179897248641</v>
      </c>
      <c r="DG36" s="90" t="n">
        <f aca="false">IF(BW36&gt;0,BM36/BW36,0)</f>
        <v>0.167141199028234</v>
      </c>
      <c r="DH36" s="90" t="n">
        <f aca="false">IF(BW36&gt;0,CD36/BW36,0)</f>
        <v>0.256</v>
      </c>
      <c r="DI36" s="90" t="n">
        <f aca="false">IF(AI36&gt;0,(AI36*IF(K36=3,INDEX(in_sup_vat_rate,1,C36),0)+AV36*BA36+(BC36+BD36)*AV36/AY36+AZ36*AI36/AL36)/AI36,0)</f>
        <v>0</v>
      </c>
      <c r="DJ36" s="90" t="n">
        <f aca="false">IF(AJ36&gt;0,(AJ36*IF(K36=3,INDEX(in_sup_vat_rate,1,C36),0)+AW36*BA36+(BC36+BD36)*AW36/AY36+AZ36*AJ36/AL36)/AJ36,0)</f>
        <v>0</v>
      </c>
      <c r="DK36" s="90" t="n">
        <f aca="false">IF(AK36&gt;0,(AK36*IF(K36=3,INDEX(in_sup_vat_rate,1,C36),0)+AX36*BA36+(BC36+BD36)*AX36/AY36+AZ36*AK36/AL36)/AK36,0)</f>
        <v>0.00832297723171617</v>
      </c>
      <c r="DL36" s="90" t="n">
        <f aca="false">IF(Y36&gt;0,(BP36-AI36*(1+DI36))/Y36,0)</f>
        <v>0</v>
      </c>
      <c r="DM36" s="90" t="n">
        <f aca="false">IF(Z36&gt;0,(BQ36-AJ36*(1+DJ36))/Z36,0)</f>
        <v>0</v>
      </c>
      <c r="DN36" s="90" t="n">
        <f aca="false">IF(AA36&gt;0,(BR36-AK36*(1+DK36))/AA36,0)</f>
        <v>0.0452513334039004</v>
      </c>
      <c r="DO36" s="86" t="str">
        <f aca="false">IF(Y36&gt;0,(CA36*(1-thr_gm_go)*(1-R36)-DL36)/(1+DI36)*I36/((1+AH36)*J36),"")</f>
        <v/>
      </c>
      <c r="DP36" s="86" t="str">
        <f aca="false">IF(Z36&gt;0,(CB36*(1-thr_gm_go)*(1-R36)-DM36)/(1+DJ36)*I36/((1+AH36)*J36),"")</f>
        <v/>
      </c>
      <c r="DQ36" s="86" t="n">
        <f aca="false">IF(AA36&gt;0,(CC36*(1-thr_gm_go)*(1-R36)-DN36)/(1+DK36)*I36/((1+AH36)*J36),"")</f>
        <v>8.30984910055502</v>
      </c>
      <c r="DR36" s="92" t="n">
        <f aca="false">IF(AND(AY36*INDEX(in_cus_mpf_rate,1,C36)&gt;INDEX(in_cus_mpf_min,1,C36),AY36*INDEX(in_cus_mpf_rate,1,C36)&lt;INDEX(in_cus_mpf_max,1,C36)),INDEX(in_cus_mpf_rate,1,C36),0)</f>
        <v>0.003464</v>
      </c>
      <c r="DS36" s="88" t="n">
        <f aca="false">IF(AZ36&gt;INDEX(in_oce_ins_min,1,C36),INDEX(in_oce_ins_rate,1,C36)*(1+INDEX(in_oce_ins_uplift,1,C36))*AL36,0)</f>
        <v>0</v>
      </c>
      <c r="DT36" s="88" t="n">
        <f aca="false">(AL36+AN36)*(1+BA36+INDEX(in_cus_hmf,1,C36)+DR36)+DS36</f>
        <v>13919.6500212088</v>
      </c>
      <c r="DU36" s="86" t="n">
        <f aca="false">IF(DT36&gt;0,(CD36*(1-thr_gm_go)-(BM36-DT36))/DT36,0)</f>
        <v>1.20505990449703</v>
      </c>
      <c r="DV36" s="86" t="n">
        <f aca="false">IF(DT36&gt;0,(CD36-(BM36-DT36))/DT36,0)</f>
        <v>1.73299501700367</v>
      </c>
      <c r="DW36" s="87" t="n">
        <f aca="false">(1+AH36)*J36*DU36-1</f>
        <v>0.144806909272175</v>
      </c>
      <c r="DX36" s="87" t="n">
        <f aca="false">(1+AH36)*J36*DV36-1</f>
        <v>0.646345266153489</v>
      </c>
      <c r="DY36" s="85" t="n">
        <f aca="false">IF(G36&gt;0,(CD36*(1-thr_gm_go)-(BM36-AT36))/G36,"")</f>
        <v>5754.3621039811</v>
      </c>
      <c r="DZ36" s="90" t="n">
        <f aca="false">IF(AB36&gt;0,(AL36+AN36+BB36+BC36+BD36)/AB36,0)</f>
        <v>0.120620884065934</v>
      </c>
      <c r="EA36" s="88" t="n">
        <f aca="false">BM36-DZ36*AB36</f>
        <v>5272.00387481011</v>
      </c>
      <c r="EB36" s="90" t="n">
        <f aca="false">IF(AB36&gt;0,CD36/AB36,0)</f>
        <v>0.25472</v>
      </c>
      <c r="EC36" s="85" t="n">
        <f aca="false">IF(EB36*(1-thr_gm_go)-DZ36&gt;0,EA36/(EB36*(1-thr_gm_go)-DZ36),"n/a")</f>
        <v>74866.090050695</v>
      </c>
      <c r="ED36" s="85" t="n">
        <f aca="false">IF(EB36-DZ36&gt;0,EA36/(EB36-DZ36),"n/a")</f>
        <v>39314.2328947363</v>
      </c>
      <c r="EE36" s="93" t="b">
        <f aca="false">INDEX(cfg_fits,D36,C36)</f>
        <v>1</v>
      </c>
      <c r="EF36" s="87" t="n">
        <f aca="false">IF(F36=4,"",INDEX(cfg_lenutil,D36,C36))</f>
        <v>0.985750209555742</v>
      </c>
      <c r="EG36" s="31" t="str">
        <f aca="false">IF(O36&gt;1,"Check fit (units scaled up)","")</f>
        <v/>
      </c>
    </row>
    <row r="37" customFormat="false" ht="15" hidden="false" customHeight="false" outlineLevel="0" collapsed="false">
      <c r="A37" s="78" t="n">
        <v>1073</v>
      </c>
      <c r="B37" s="9" t="s">
        <v>3185</v>
      </c>
      <c r="C37" s="78" t="n">
        <v>1</v>
      </c>
      <c r="D37" s="78" t="n">
        <v>7</v>
      </c>
      <c r="E37" s="78" t="n">
        <v>3</v>
      </c>
      <c r="F37" s="79" t="n">
        <f aca="false">INDEX(cfg_ct,D37)</f>
        <v>3</v>
      </c>
      <c r="G37" s="79" t="n">
        <f aca="false">INDEX(cfg_n,D37)</f>
        <v>1</v>
      </c>
      <c r="H37" s="79" t="n">
        <f aca="false">INDEX(dest_port,E37)</f>
        <v>2</v>
      </c>
      <c r="I37" s="80" t="n">
        <f aca="false">INDEX(in_fx_cbe,1,C37)*(1-INDEX(in_fx_spread,1,C37))</f>
        <v>54.6</v>
      </c>
      <c r="J37" s="81" t="n">
        <f aca="false">1</f>
        <v>1</v>
      </c>
      <c r="K37" s="82" t="n">
        <f aca="false">INDEX(in_sup_vat_mode,1,C37)</f>
        <v>1</v>
      </c>
      <c r="L37" s="83" t="n">
        <f aca="false">INDEX(in_cus_s301,1,C37)</f>
        <v>0</v>
      </c>
      <c r="M37" s="84" t="n">
        <f aca="false">1</f>
        <v>1</v>
      </c>
      <c r="N37" s="81" t="n">
        <f aca="false">1</f>
        <v>1</v>
      </c>
      <c r="O37" s="81" t="n">
        <f aca="false">1</f>
        <v>1</v>
      </c>
      <c r="P37" s="81" t="n">
        <f aca="false">1</f>
        <v>1</v>
      </c>
      <c r="Q37" s="81" t="n">
        <f aca="false">1</f>
        <v>1</v>
      </c>
      <c r="R37" s="83" t="n">
        <f aca="false">INDEX(in_sel_damage,1,C37)</f>
        <v>0.005</v>
      </c>
      <c r="S37" s="83" t="n">
        <f aca="false">INDEX(in_mkt_dist_margin,1,C37)</f>
        <v>0.2</v>
      </c>
      <c r="T37" s="83" t="n">
        <f aca="false">INDEX(in_mkt_eflute_disc,1,C37)</f>
        <v>0.15</v>
      </c>
      <c r="U37" s="82" t="n">
        <f aca="false">INDEX(in_sel_credit_days,1,C37)</f>
        <v>30</v>
      </c>
      <c r="V37" s="81" t="n">
        <f aca="false">1</f>
        <v>1</v>
      </c>
      <c r="W37" s="83" t="n">
        <f aca="false">INDEX(in_sel_commission,1,C37)</f>
        <v>0.03</v>
      </c>
      <c r="X37" s="82" t="n">
        <f aca="false">1</f>
        <v>1</v>
      </c>
      <c r="Y37" s="85" t="n">
        <f aca="false">INDEX(cfg_u_3464,D37,C37)*O37</f>
        <v>0</v>
      </c>
      <c r="Z37" s="85" t="n">
        <f aca="false">INDEX(cfg_u_3463,D37,C37)*O37</f>
        <v>0</v>
      </c>
      <c r="AA37" s="85" t="n">
        <f aca="false">INDEX(cfg_u_3460,D37,C37)*O37</f>
        <v>115400</v>
      </c>
      <c r="AB37" s="85" t="n">
        <f aca="false">Y37+Z37+AA37</f>
        <v>115400</v>
      </c>
      <c r="AC37" s="86" t="n">
        <f aca="false">Y37*INDEX(lg_vpu_3464,C37)</f>
        <v>0</v>
      </c>
      <c r="AD37" s="86" t="n">
        <f aca="false">Z37*INDEX(lg_vpu_3463,C37)</f>
        <v>0</v>
      </c>
      <c r="AE37" s="86" t="n">
        <f aca="false">AA37*INDEX(lg_vpu_3460,C37)</f>
        <v>61.505892</v>
      </c>
      <c r="AF37" s="86" t="n">
        <f aca="false">AC37+AD37+AE37</f>
        <v>61.505892</v>
      </c>
      <c r="AG37" s="85" t="n">
        <f aca="false">Y37*INDEX(lg_kpu_3464,C37)+Z37*INDEX(lg_kpu_3463,C37)+AA37*INDEX(lg_kpu_3460,C37)</f>
        <v>15053.126816</v>
      </c>
      <c r="AH37" s="87" t="n">
        <f aca="false">INDEX(in_sup_requote,1,C37)</f>
        <v>-0.05</v>
      </c>
      <c r="AI37" s="88" t="n">
        <f aca="false">Y37*q_price_3464*(1+AH37)*J37/I37</f>
        <v>0</v>
      </c>
      <c r="AJ37" s="88" t="n">
        <f aca="false">Z37*q_price_3463*(1+AH37)*J37/I37</f>
        <v>0</v>
      </c>
      <c r="AK37" s="88" t="n">
        <f aca="false">AA37*q_price_3460*(1+AH37)*J37/I37</f>
        <v>13854.3406593407</v>
      </c>
      <c r="AL37" s="88" t="n">
        <f aca="false">AI37+AJ37+AK37</f>
        <v>13854.3406593407</v>
      </c>
      <c r="AM37" s="88" t="n">
        <f aca="false">IF(OR(K37=2,K37=3),AL37*INDEX(in_sup_vat_rate,1,C37),0)</f>
        <v>0</v>
      </c>
      <c r="AN37" s="88" t="n">
        <f aca="false">IF(K37=3,AM37,0)</f>
        <v>0</v>
      </c>
      <c r="AO37" s="88" t="n">
        <f aca="false">INDEX(in_sup_tooling_egp,1,C37)/I37</f>
        <v>0</v>
      </c>
      <c r="AP37" s="88" t="n">
        <f aca="false">IF(F37=4,INDEX(in_ori_lcl_truck,1,C37)*V37/I37+INDEX(in_ori_lcl_cfs_o,1,C37),G37*(IF(F37=1,INDEX(in_ori_truck_20,1,C37),INDEX(in_ori_truck_40,1,C37))*V37/I37+INDEX(in_ori_terminal,1,C37)+IF(F37=1,INDEX(in_ori_othc_20,1,C37),INDEX(in_ori_othc_40,1,C37))*(1-INDEX(in_ori_othc_in_freight,1,C37))+INDEX(in_ori_seal,1,C37)+INDEX(in_ori_inspection,1,C37)+INDEX(in_ori_dd_days,1,C37)*IF(F37=1,INDEX(in_ori_dd_20,1,C37),INDEX(in_ori_dd_40,1,C37))+INDEX(in_ori_loading_egp,1,C37)/I37))</f>
        <v>457.465201465201</v>
      </c>
      <c r="AQ37" s="88" t="n">
        <f aca="false">(INDEX(in_ori_clearance,1,C37)+INDEX(in_ori_coo,1,C37))/I37+INDEX(in_ori_bl_fee,1,C37)+INDEX(in_ori_fwd_fee,1,C37)+INDEX(in_ori_qc,1,C37)+INDEX(in_ori_wires,1,C37)*INDEX(in_ori_wire_fee,1,C37)</f>
        <v>298.260073260073</v>
      </c>
      <c r="AR37" s="88" t="n">
        <f aca="false">AP37+AQ37</f>
        <v>755.725274725275</v>
      </c>
      <c r="AS37" s="85" t="n">
        <f aca="false">INDEX(tbl_port_diff,H37,C37)</f>
        <v>0</v>
      </c>
      <c r="AT37" s="88" t="n">
        <f aca="false">IF(F37=4,MAX(AF37*INDEX(in_oce_lcl_factor,1,C37),AG37/1000,1)*INDEX(in_oce_lcl_rate,1,C37)*M37,G37*(INDEX(tbl_ocean_rate,MIN(F37,3),C37)+AS37)*M37)</f>
        <v>2900</v>
      </c>
      <c r="AU37" s="88" t="n">
        <f aca="false">AT37+INDEX(in_oce_ams,1,C37)</f>
        <v>2930</v>
      </c>
      <c r="AV37" s="88" t="n">
        <f aca="false">AI37*(1+IF(K37=3,INDEX(in_sup_vat_rate,1,C37),0))+AO37*Y37/AB37</f>
        <v>0</v>
      </c>
      <c r="AW37" s="88" t="n">
        <f aca="false">AJ37*(1+IF(K37=3,INDEX(in_sup_vat_rate,1,C37),0))+AO37*Z37/AB37</f>
        <v>0</v>
      </c>
      <c r="AX37" s="88" t="n">
        <f aca="false">AK37*(1+IF(K37=3,INDEX(in_sup_vat_rate,1,C37),0))+AO37*AA37/AB37</f>
        <v>13854.3406593407</v>
      </c>
      <c r="AY37" s="88" t="n">
        <f aca="false">AV37+AW37+AX37</f>
        <v>13854.3406593407</v>
      </c>
      <c r="AZ37" s="88" t="n">
        <f aca="false">MAX(INDEX(in_oce_ins_min,1,C37),INDEX(in_oce_ins_rate,1,C37)*(1+INDEX(in_oce_ins_uplift,1,C37))*(AL37+AO37+AR37+AU37))*(1-INDEX(in_oce_ins_in_other,1,C37))</f>
        <v>50</v>
      </c>
      <c r="BA37" s="87" t="n">
        <f aca="false">INDEX(in_cus_mfn,1,C37)+L37</f>
        <v>0</v>
      </c>
      <c r="BB37" s="88" t="n">
        <f aca="false">AY37*BA37</f>
        <v>0</v>
      </c>
      <c r="BC37" s="88" t="n">
        <f aca="false">MIN(MAX(AY37*INDEX(in_cus_mpf_rate,1,C37),INDEX(in_cus_mpf_min,1,C37)),INDEX(in_cus_mpf_max,1,C37))</f>
        <v>47.9914360439561</v>
      </c>
      <c r="BD37" s="88" t="n">
        <f aca="false">AY37*INDEX(in_cus_hmf,1,C37)</f>
        <v>17.3179258241758</v>
      </c>
      <c r="BE37" s="88" t="n">
        <f aca="false">MAX(INDEX(in_cus_stb_min,1,C37),INDEX(in_cus_stb_rate,1,C37)/1000*(AY37+BB37+BC37+BD37))</f>
        <v>55.6786000848352</v>
      </c>
      <c r="BF37" s="88" t="n">
        <f aca="false">INDEX(in_cus_broker,1,C37)+INDEX(in_cus_isf,1,C37)+INDEX(in_cus_do_fee,1,C37)+BE37+INDEX(in_cus_isf_bond,1,C37)</f>
        <v>390.678600084835</v>
      </c>
      <c r="BG37" s="88" t="n">
        <f aca="false">IF(H37=1,INDEX(in_cus_cfc,1,C37)*INDEX(ct_teu,F37)*G37*(1-INDEX(in_cus_cfc_in_freight,1,C37)),0)</f>
        <v>0</v>
      </c>
      <c r="BH37" s="88" t="n">
        <f aca="false">IF(F37=4,1,G37)*(INDEX(in_cus_exam,1,C37)+INDEX(in_cus_exam_dray,1,C37))</f>
        <v>0</v>
      </c>
      <c r="BI37" s="88" t="n">
        <f aca="false">IF(F37=4,1,G37)*INDEX(in_cus_dem_days,1,C37)*INDEX(in_cus_dem_rate,1,C37)</f>
        <v>0</v>
      </c>
      <c r="BJ37" s="88" t="n">
        <f aca="false">BG37+BH37+BI37</f>
        <v>0</v>
      </c>
      <c r="BK37" s="88" t="n">
        <f aca="false">IF(F37=4,(INDEX(in_dra_lcl_cfs_d,1,C37)+INDEX(in_dra_lcl_deliv,1,C37))*P37,G37*(INDEX(tbl_dest_line,E37,C37)*P37*(1+INDEX(in_dra_fsc,1,C37))+INDEX(tbl_dest_tolls,E37,C37)+INDEX(in_dra_chassis_days,1,C37)*INDEX(tbl_dest_chassis,E37,C37)*(1-INDEX(in_dra_chassis_in_dray,1,C37))+INDEX(in_dra_wait_hours,1,C37)*INDEX(in_dra_wait_rate,1,C37)+INDEX(in_dra_split,1,C37)+INDEX(in_dra_prepull,1,C37)+INDEX(in_dra_dryrun,1,C37)))</f>
        <v>567.5</v>
      </c>
      <c r="BL37" s="88" t="n">
        <f aca="false">IF(F37=4,0,G37*IF(F37=1,INDEX(in_dra_unload_20,1,C37),INDEX(in_dra_unload_40,1,C37))*Q37*(1-INDEX(in_dra_unload_in_dray,1,C37)))</f>
        <v>250</v>
      </c>
      <c r="BM37" s="88" t="n">
        <f aca="false">AL37+AN37+AO37+AR37+AU37+AZ37+BB37+BC37+BD37+BF37+BJ37+BK37+BL37</f>
        <v>18863.5538960189</v>
      </c>
      <c r="BN37" s="88" t="n">
        <f aca="false">AP37+AU37+BJ37+BK37+BL37</f>
        <v>4204.9652014652</v>
      </c>
      <c r="BO37" s="88" t="n">
        <f aca="false">AQ37+BF37</f>
        <v>688.938673344909</v>
      </c>
      <c r="BP37" s="88" t="n">
        <f aca="false">AI37*(1+IF(K37=3,INDEX(in_sup_vat_rate,1,C37),0))+AO37*Y37/AB37+AV37*BA37+(BC37+BD37)*AV37/AY37+AZ37*AI37/AL37+BN37*AC37/AF37+BO37*Y37/AB37</f>
        <v>0</v>
      </c>
      <c r="BQ37" s="88" t="n">
        <f aca="false">AJ37*(1+IF(K37=3,INDEX(in_sup_vat_rate,1,C37),0))+AO37*Z37/AB37+AW37*BA37+(BC37+BD37)*AW37/AY37+AZ37*AJ37/AL37+BN37*AD37/AF37+BO37*Z37/AB37</f>
        <v>0</v>
      </c>
      <c r="BR37" s="88" t="n">
        <f aca="false">AK37*(1+IF(K37=3,INDEX(in_sup_vat_rate,1,C37),0))+AO37*AA37/AB37+AX37*BA37+(BC37+BD37)*AX37/AY37+AZ37*AK37/AL37+BN37*AE37/AF37+BO37*AA37/AB37</f>
        <v>18863.5538960189</v>
      </c>
      <c r="BS37" s="89" t="n">
        <f aca="false">BP37+BQ37+BR37-BM37</f>
        <v>0</v>
      </c>
      <c r="BT37" s="85" t="n">
        <f aca="false">Y37*(1-R37)</f>
        <v>0</v>
      </c>
      <c r="BU37" s="85" t="n">
        <f aca="false">Z37*(1-R37)</f>
        <v>0</v>
      </c>
      <c r="BV37" s="85" t="n">
        <f aca="false">AA37*(1-R37)</f>
        <v>114823</v>
      </c>
      <c r="BW37" s="85" t="n">
        <f aca="false">BT37+BU37+BV37</f>
        <v>114823</v>
      </c>
      <c r="BX37" s="90" t="n">
        <f aca="false">IF(BT37&gt;0,BP37/BT37,0)</f>
        <v>0</v>
      </c>
      <c r="BY37" s="90" t="n">
        <f aca="false">IF(BU37&gt;0,BQ37/BU37,0)</f>
        <v>0</v>
      </c>
      <c r="BZ37" s="90" t="n">
        <f aca="false">IF(BV37&gt;0,BR37/BV37,0)</f>
        <v>0.164283757574867</v>
      </c>
      <c r="CA37" s="90" t="n">
        <f aca="false">INDEX(in_mkt_listing_3464,1,C37)*(1-IF(sku_flute_3464="B",T37,0))*(1-S37)*N37</f>
        <v>0.2856</v>
      </c>
      <c r="CB37" s="90" t="n">
        <f aca="false">INDEX(in_mkt_listing_3463,1,C37)*(1-IF(sku_flute_3463="B",T37,0))*(1-S37)*N37</f>
        <v>0.3128</v>
      </c>
      <c r="CC37" s="90" t="n">
        <f aca="false">INDEX(in_mkt_listing_3460,1,C37)*(1-IF(sku_flute_3460="B",T37,0))*(1-S37)*N37</f>
        <v>0.256</v>
      </c>
      <c r="CD37" s="88" t="n">
        <f aca="false">BT37*CA37+BU37*CB37+BV37*CC37</f>
        <v>29394.688</v>
      </c>
      <c r="CE37" s="88" t="n">
        <f aca="false">CD37-BM37</f>
        <v>10531.1341039811</v>
      </c>
      <c r="CF37" s="87" t="n">
        <f aca="false">IF(CD37&gt;0,CE37/CD37,0)</f>
        <v>0.358266571973178</v>
      </c>
      <c r="CG37" s="87" t="n">
        <f aca="false">W37+INDEX(in_sel_processing,1,C37)+INDEX(in_sel_bad_debt,1,C37)</f>
        <v>0.0325</v>
      </c>
      <c r="CH37" s="88" t="n">
        <f aca="false">CD37*CG37</f>
        <v>955.32736</v>
      </c>
      <c r="CI37" s="88" t="n">
        <f aca="false">INDEX(in_sel_testing,1,C37)*X37+INDEX(in_sel_admin,1,C37)</f>
        <v>1250</v>
      </c>
      <c r="CJ37" s="79" t="n">
        <f aca="false">INDEX(in_sup_lead_days,1,C37)</f>
        <v>14</v>
      </c>
      <c r="CK37" s="79" t="n">
        <f aca="false">CJ37+INDEX(in_oce_transit,1,C37)+IF(F37=4,INDEX(in_oce_lcl_extra_days,1,C37),0)</f>
        <v>39</v>
      </c>
      <c r="CL37" s="79" t="n">
        <f aca="false">CK37+2+INDEX(in_cus_dem_days,1,C37)</f>
        <v>41</v>
      </c>
      <c r="CM37" s="79" t="n">
        <f aca="false">CL37+U37</f>
        <v>71</v>
      </c>
      <c r="CN37" s="79" t="n">
        <f aca="false">CJ37+INDEX(in_sup_vat_lag,1,C37)</f>
        <v>44</v>
      </c>
      <c r="CO37" s="91" t="n">
        <f aca="false">INDEX(in_sup_advance,1,C37)</f>
        <v>0.5</v>
      </c>
      <c r="CP37" s="88" t="n">
        <f aca="false">CO37*(AL37+AM37)+AO37+INDEX(in_sel_testing,1,C37)*X37</f>
        <v>7927.17032967033</v>
      </c>
      <c r="CQ37" s="88" t="n">
        <f aca="false">(1-CO37)*(AL37+AM37)+AR37+AU37+AZ37</f>
        <v>10662.8956043956</v>
      </c>
      <c r="CR37" s="88" t="n">
        <f aca="false">BB37+BC37+BD37+BF37+BJ37</f>
        <v>455.987961952967</v>
      </c>
      <c r="CS37" s="88" t="n">
        <f aca="false">BK37+BL37</f>
        <v>817.5</v>
      </c>
      <c r="CT37" s="88" t="n">
        <f aca="false">IF(K37=2,AM37,0)</f>
        <v>0</v>
      </c>
      <c r="CU37" s="85" t="n">
        <f aca="false">IF(K37=2,CO37*AM37*(CN37-0)+(1-CO37)*AM37*(CN37-CJ37),0)</f>
        <v>0</v>
      </c>
      <c r="CV37" s="85" t="n">
        <f aca="false">(CP37-CO37*CT37)*(CM37-0)+(CQ37-(1-CO37)*CT37)*(CM37-CJ37)+CR37*(CM37-CK37)+CS37*(CM37-CL37)</f>
        <v>1209730.75763964</v>
      </c>
      <c r="CW37" s="88" t="n">
        <f aca="false">INDEX(in_sel_fin_rate,1,C37)/365*(CU37+CV37)</f>
        <v>265.146467427866</v>
      </c>
      <c r="CX37" s="85" t="n">
        <f aca="false">CP37-IF(CN37&lt;=0,CT37,0)</f>
        <v>7927.17032967033</v>
      </c>
      <c r="CY37" s="85" t="n">
        <f aca="false">CP37+CQ37-IF(CN37&lt;=CJ37,CT37,0)</f>
        <v>18590.0659340659</v>
      </c>
      <c r="CZ37" s="85" t="n">
        <f aca="false">CP37+CQ37+CR37-IF(CN37&lt;=CK37,CT37,0)</f>
        <v>19046.0538960189</v>
      </c>
      <c r="DA37" s="85" t="n">
        <f aca="false">CP37+CQ37+CR37+CS37-IF(CN37&lt;=CL37,CT37,0)</f>
        <v>19863.5538960189</v>
      </c>
      <c r="DB37" s="88" t="n">
        <f aca="false">MAX(CX37,CY37,CZ37,DA37)</f>
        <v>19863.5538960189</v>
      </c>
      <c r="DC37" s="88" t="n">
        <f aca="false">CP37+CQ37+CR37+CS37</f>
        <v>19863.5538960189</v>
      </c>
      <c r="DD37" s="88" t="n">
        <f aca="false">CE37-CH37-CI37-CW37</f>
        <v>8060.66027655324</v>
      </c>
      <c r="DE37" s="87" t="n">
        <f aca="false">IF(CD37&gt;0,DD37/CD37,0)</f>
        <v>0.274221664695105</v>
      </c>
      <c r="DF37" s="86" t="n">
        <f aca="false">IF(CD37&gt;0,(BM37+CI37+CW37)/(CD37*(1-CG37)),0)</f>
        <v>0.7165667548371</v>
      </c>
      <c r="DG37" s="90" t="n">
        <f aca="false">IF(BW37&gt;0,BM37/BW37,0)</f>
        <v>0.164283757574867</v>
      </c>
      <c r="DH37" s="90" t="n">
        <f aca="false">IF(BW37&gt;0,CD37/BW37,0)</f>
        <v>0.256</v>
      </c>
      <c r="DI37" s="90" t="n">
        <f aca="false">IF(AI37&gt;0,(AI37*IF(K37=3,INDEX(in_sup_vat_rate,1,C37),0)+AV37*BA37+(BC37+BD37)*AV37/AY37+AZ37*AI37/AL37)/AI37,0)</f>
        <v>0</v>
      </c>
      <c r="DJ37" s="90" t="n">
        <f aca="false">IF(AJ37&gt;0,(AJ37*IF(K37=3,INDEX(in_sup_vat_rate,1,C37),0)+AW37*BA37+(BC37+BD37)*AW37/AY37+AZ37*AJ37/AL37)/AJ37,0)</f>
        <v>0</v>
      </c>
      <c r="DK37" s="90" t="n">
        <f aca="false">IF(AK37&gt;0,(AK37*IF(K37=3,INDEX(in_sup_vat_rate,1,C37),0)+AX37*BA37+(BC37+BD37)*AX37/AY37+AZ37*AK37/AL37)/AK37,0)</f>
        <v>0.00832297723171617</v>
      </c>
      <c r="DL37" s="90" t="n">
        <f aca="false">IF(Y37&gt;0,(BP37-AI37*(1+DI37))/Y37,0)</f>
        <v>0</v>
      </c>
      <c r="DM37" s="90" t="n">
        <f aca="false">IF(Z37&gt;0,(BQ37-AJ37*(1+DJ37))/Z37,0)</f>
        <v>0</v>
      </c>
      <c r="DN37" s="90" t="n">
        <f aca="false">IF(AA37&gt;0,(BR37-AK37*(1+DK37))/AA37,0)</f>
        <v>0.0424081791577999</v>
      </c>
      <c r="DO37" s="86" t="str">
        <f aca="false">IF(Y37&gt;0,(CA37*(1-thr_gm_go)*(1-R37)-DL37)/(1+DI37)*I37/((1+AH37)*J37),"")</f>
        <v/>
      </c>
      <c r="DP37" s="86" t="str">
        <f aca="false">IF(Z37&gt;0,(CB37*(1-thr_gm_go)*(1-R37)-DM37)/(1+DJ37)*I37/((1+AH37)*J37),"")</f>
        <v/>
      </c>
      <c r="DQ37" s="86" t="n">
        <f aca="false">IF(AA37&gt;0,(CC37*(1-thr_gm_go)*(1-R37)-DN37)/(1+DK37)*I37/((1+AH37)*J37),"")</f>
        <v>8.47190684692396</v>
      </c>
      <c r="DR37" s="92" t="n">
        <f aca="false">IF(AND(AY37*INDEX(in_cus_mpf_rate,1,C37)&gt;INDEX(in_cus_mpf_min,1,C37),AY37*INDEX(in_cus_mpf_rate,1,C37)&lt;INDEX(in_cus_mpf_max,1,C37)),INDEX(in_cus_mpf_rate,1,C37),0)</f>
        <v>0.003464</v>
      </c>
      <c r="DS37" s="88" t="n">
        <f aca="false">IF(AZ37&gt;INDEX(in_oce_ins_min,1,C37),INDEX(in_oce_ins_rate,1,C37)*(1+INDEX(in_oce_ins_uplift,1,C37))*AL37,0)</f>
        <v>0</v>
      </c>
      <c r="DT37" s="88" t="n">
        <f aca="false">(AL37+AN37)*(1+BA37+INDEX(in_cus_hmf,1,C37)+DR37)+DS37</f>
        <v>13919.6500212088</v>
      </c>
      <c r="DU37" s="86" t="n">
        <f aca="false">IF(DT37&gt;0,(CD37*(1-thr_gm_go)-(BM37-DT37))/DT37,0)</f>
        <v>1.22863089942147</v>
      </c>
      <c r="DV37" s="86" t="n">
        <f aca="false">IF(DT37&gt;0,(CD37-(BM37-DT37))/DT37,0)</f>
        <v>1.75656601192812</v>
      </c>
      <c r="DW37" s="87" t="n">
        <f aca="false">(1+AH37)*J37*DU37-1</f>
        <v>0.1671993544504</v>
      </c>
      <c r="DX37" s="87" t="n">
        <f aca="false">(1+AH37)*J37*DV37-1</f>
        <v>0.668737711331714</v>
      </c>
      <c r="DY37" s="85" t="n">
        <f aca="false">IF(G37&gt;0,(CD37*(1-thr_gm_go)-(BM37-AT37))/G37,"")</f>
        <v>6082.4621039811</v>
      </c>
      <c r="DZ37" s="90" t="n">
        <f aca="false">IF(AB37&gt;0,(AL37+AN37+BB37+BC37+BD37)/AB37,0)</f>
        <v>0.120620884065934</v>
      </c>
      <c r="EA37" s="88" t="n">
        <f aca="false">BM37-DZ37*AB37</f>
        <v>4943.90387481011</v>
      </c>
      <c r="EB37" s="90" t="n">
        <f aca="false">IF(AB37&gt;0,CD37/AB37,0)</f>
        <v>0.25472</v>
      </c>
      <c r="EC37" s="85" t="n">
        <f aca="false">IF(EB37*(1-thr_gm_go)-DZ37&gt;0,EA37/(EB37*(1-thr_gm_go)-DZ37),"n/a")</f>
        <v>70206.8438268826</v>
      </c>
      <c r="ED37" s="85" t="n">
        <f aca="false">IF(EB37-DZ37&gt;0,EA37/(EB37-DZ37),"n/a")</f>
        <v>36867.5351837587</v>
      </c>
      <c r="EE37" s="93" t="b">
        <f aca="false">INDEX(cfg_fits,D37,C37)</f>
        <v>1</v>
      </c>
      <c r="EF37" s="87" t="n">
        <f aca="false">IF(F37=4,"",INDEX(cfg_lenutil,D37,C37))</f>
        <v>0.985750209555742</v>
      </c>
      <c r="EG37" s="31" t="str">
        <f aca="false">IF(O37&gt;1,"Check fit (units scaled up)","")</f>
        <v/>
      </c>
    </row>
    <row r="38" customFormat="false" ht="15" hidden="false" customHeight="false" outlineLevel="0" collapsed="false">
      <c r="A38" s="78" t="n">
        <v>1074</v>
      </c>
      <c r="B38" s="9" t="s">
        <v>3186</v>
      </c>
      <c r="C38" s="78" t="n">
        <v>1</v>
      </c>
      <c r="D38" s="78" t="n">
        <v>7</v>
      </c>
      <c r="E38" s="78" t="n">
        <v>4</v>
      </c>
      <c r="F38" s="79" t="n">
        <f aca="false">INDEX(cfg_ct,D38)</f>
        <v>3</v>
      </c>
      <c r="G38" s="79" t="n">
        <f aca="false">INDEX(cfg_n,D38)</f>
        <v>1</v>
      </c>
      <c r="H38" s="79" t="n">
        <f aca="false">INDEX(dest_port,E38)</f>
        <v>3</v>
      </c>
      <c r="I38" s="80" t="n">
        <f aca="false">INDEX(in_fx_cbe,1,C38)*(1-INDEX(in_fx_spread,1,C38))</f>
        <v>54.6</v>
      </c>
      <c r="J38" s="81" t="n">
        <f aca="false">1</f>
        <v>1</v>
      </c>
      <c r="K38" s="82" t="n">
        <f aca="false">INDEX(in_sup_vat_mode,1,C38)</f>
        <v>1</v>
      </c>
      <c r="L38" s="83" t="n">
        <f aca="false">INDEX(in_cus_s301,1,C38)</f>
        <v>0</v>
      </c>
      <c r="M38" s="84" t="n">
        <f aca="false">1</f>
        <v>1</v>
      </c>
      <c r="N38" s="81" t="n">
        <f aca="false">1</f>
        <v>1</v>
      </c>
      <c r="O38" s="81" t="n">
        <f aca="false">1</f>
        <v>1</v>
      </c>
      <c r="P38" s="81" t="n">
        <f aca="false">1</f>
        <v>1</v>
      </c>
      <c r="Q38" s="81" t="n">
        <f aca="false">1</f>
        <v>1</v>
      </c>
      <c r="R38" s="83" t="n">
        <f aca="false">INDEX(in_sel_damage,1,C38)</f>
        <v>0.005</v>
      </c>
      <c r="S38" s="83" t="n">
        <f aca="false">INDEX(in_mkt_dist_margin,1,C38)</f>
        <v>0.2</v>
      </c>
      <c r="T38" s="83" t="n">
        <f aca="false">INDEX(in_mkt_eflute_disc,1,C38)</f>
        <v>0.15</v>
      </c>
      <c r="U38" s="82" t="n">
        <f aca="false">INDEX(in_sel_credit_days,1,C38)</f>
        <v>30</v>
      </c>
      <c r="V38" s="81" t="n">
        <f aca="false">1</f>
        <v>1</v>
      </c>
      <c r="W38" s="83" t="n">
        <f aca="false">INDEX(in_sel_commission,1,C38)</f>
        <v>0.03</v>
      </c>
      <c r="X38" s="82" t="n">
        <f aca="false">1</f>
        <v>1</v>
      </c>
      <c r="Y38" s="85" t="n">
        <f aca="false">INDEX(cfg_u_3464,D38,C38)*O38</f>
        <v>0</v>
      </c>
      <c r="Z38" s="85" t="n">
        <f aca="false">INDEX(cfg_u_3463,D38,C38)*O38</f>
        <v>0</v>
      </c>
      <c r="AA38" s="85" t="n">
        <f aca="false">INDEX(cfg_u_3460,D38,C38)*O38</f>
        <v>115400</v>
      </c>
      <c r="AB38" s="85" t="n">
        <f aca="false">Y38+Z38+AA38</f>
        <v>115400</v>
      </c>
      <c r="AC38" s="86" t="n">
        <f aca="false">Y38*INDEX(lg_vpu_3464,C38)</f>
        <v>0</v>
      </c>
      <c r="AD38" s="86" t="n">
        <f aca="false">Z38*INDEX(lg_vpu_3463,C38)</f>
        <v>0</v>
      </c>
      <c r="AE38" s="86" t="n">
        <f aca="false">AA38*INDEX(lg_vpu_3460,C38)</f>
        <v>61.505892</v>
      </c>
      <c r="AF38" s="86" t="n">
        <f aca="false">AC38+AD38+AE38</f>
        <v>61.505892</v>
      </c>
      <c r="AG38" s="85" t="n">
        <f aca="false">Y38*INDEX(lg_kpu_3464,C38)+Z38*INDEX(lg_kpu_3463,C38)+AA38*INDEX(lg_kpu_3460,C38)</f>
        <v>15053.126816</v>
      </c>
      <c r="AH38" s="87" t="n">
        <f aca="false">INDEX(in_sup_requote,1,C38)</f>
        <v>-0.05</v>
      </c>
      <c r="AI38" s="88" t="n">
        <f aca="false">Y38*q_price_3464*(1+AH38)*J38/I38</f>
        <v>0</v>
      </c>
      <c r="AJ38" s="88" t="n">
        <f aca="false">Z38*q_price_3463*(1+AH38)*J38/I38</f>
        <v>0</v>
      </c>
      <c r="AK38" s="88" t="n">
        <f aca="false">AA38*q_price_3460*(1+AH38)*J38/I38</f>
        <v>13854.3406593407</v>
      </c>
      <c r="AL38" s="88" t="n">
        <f aca="false">AI38+AJ38+AK38</f>
        <v>13854.3406593407</v>
      </c>
      <c r="AM38" s="88" t="n">
        <f aca="false">IF(OR(K38=2,K38=3),AL38*INDEX(in_sup_vat_rate,1,C38),0)</f>
        <v>0</v>
      </c>
      <c r="AN38" s="88" t="n">
        <f aca="false">IF(K38=3,AM38,0)</f>
        <v>0</v>
      </c>
      <c r="AO38" s="88" t="n">
        <f aca="false">INDEX(in_sup_tooling_egp,1,C38)/I38</f>
        <v>0</v>
      </c>
      <c r="AP38" s="88" t="n">
        <f aca="false">IF(F38=4,INDEX(in_ori_lcl_truck,1,C38)*V38/I38+INDEX(in_ori_lcl_cfs_o,1,C38),G38*(IF(F38=1,INDEX(in_ori_truck_20,1,C38),INDEX(in_ori_truck_40,1,C38))*V38/I38+INDEX(in_ori_terminal,1,C38)+IF(F38=1,INDEX(in_ori_othc_20,1,C38),INDEX(in_ori_othc_40,1,C38))*(1-INDEX(in_ori_othc_in_freight,1,C38))+INDEX(in_ori_seal,1,C38)+INDEX(in_ori_inspection,1,C38)+INDEX(in_ori_dd_days,1,C38)*IF(F38=1,INDEX(in_ori_dd_20,1,C38),INDEX(in_ori_dd_40,1,C38))+INDEX(in_ori_loading_egp,1,C38)/I38))</f>
        <v>457.465201465201</v>
      </c>
      <c r="AQ38" s="88" t="n">
        <f aca="false">(INDEX(in_ori_clearance,1,C38)+INDEX(in_ori_coo,1,C38))/I38+INDEX(in_ori_bl_fee,1,C38)+INDEX(in_ori_fwd_fee,1,C38)+INDEX(in_ori_qc,1,C38)+INDEX(in_ori_wires,1,C38)*INDEX(in_ori_wire_fee,1,C38)</f>
        <v>298.260073260073</v>
      </c>
      <c r="AR38" s="88" t="n">
        <f aca="false">AP38+AQ38</f>
        <v>755.725274725275</v>
      </c>
      <c r="AS38" s="85" t="n">
        <f aca="false">INDEX(tbl_port_diff,H38,C38)</f>
        <v>0</v>
      </c>
      <c r="AT38" s="88" t="n">
        <f aca="false">IF(F38=4,MAX(AF38*INDEX(in_oce_lcl_factor,1,C38),AG38/1000,1)*INDEX(in_oce_lcl_rate,1,C38)*M38,G38*(INDEX(tbl_ocean_rate,MIN(F38,3),C38)+AS38)*M38)</f>
        <v>2900</v>
      </c>
      <c r="AU38" s="88" t="n">
        <f aca="false">AT38+INDEX(in_oce_ams,1,C38)</f>
        <v>2930</v>
      </c>
      <c r="AV38" s="88" t="n">
        <f aca="false">AI38*(1+IF(K38=3,INDEX(in_sup_vat_rate,1,C38),0))+AO38*Y38/AB38</f>
        <v>0</v>
      </c>
      <c r="AW38" s="88" t="n">
        <f aca="false">AJ38*(1+IF(K38=3,INDEX(in_sup_vat_rate,1,C38),0))+AO38*Z38/AB38</f>
        <v>0</v>
      </c>
      <c r="AX38" s="88" t="n">
        <f aca="false">AK38*(1+IF(K38=3,INDEX(in_sup_vat_rate,1,C38),0))+AO38*AA38/AB38</f>
        <v>13854.3406593407</v>
      </c>
      <c r="AY38" s="88" t="n">
        <f aca="false">AV38+AW38+AX38</f>
        <v>13854.3406593407</v>
      </c>
      <c r="AZ38" s="88" t="n">
        <f aca="false">MAX(INDEX(in_oce_ins_min,1,C38),INDEX(in_oce_ins_rate,1,C38)*(1+INDEX(in_oce_ins_uplift,1,C38))*(AL38+AO38+AR38+AU38))*(1-INDEX(in_oce_ins_in_other,1,C38))</f>
        <v>50</v>
      </c>
      <c r="BA38" s="87" t="n">
        <f aca="false">INDEX(in_cus_mfn,1,C38)+L38</f>
        <v>0</v>
      </c>
      <c r="BB38" s="88" t="n">
        <f aca="false">AY38*BA38</f>
        <v>0</v>
      </c>
      <c r="BC38" s="88" t="n">
        <f aca="false">MIN(MAX(AY38*INDEX(in_cus_mpf_rate,1,C38),INDEX(in_cus_mpf_min,1,C38)),INDEX(in_cus_mpf_max,1,C38))</f>
        <v>47.9914360439561</v>
      </c>
      <c r="BD38" s="88" t="n">
        <f aca="false">AY38*INDEX(in_cus_hmf,1,C38)</f>
        <v>17.3179258241758</v>
      </c>
      <c r="BE38" s="88" t="n">
        <f aca="false">MAX(INDEX(in_cus_stb_min,1,C38),INDEX(in_cus_stb_rate,1,C38)/1000*(AY38+BB38+BC38+BD38))</f>
        <v>55.6786000848352</v>
      </c>
      <c r="BF38" s="88" t="n">
        <f aca="false">INDEX(in_cus_broker,1,C38)+INDEX(in_cus_isf,1,C38)+INDEX(in_cus_do_fee,1,C38)+BE38+INDEX(in_cus_isf_bond,1,C38)</f>
        <v>390.678600084835</v>
      </c>
      <c r="BG38" s="88" t="n">
        <f aca="false">IF(H38=1,INDEX(in_cus_cfc,1,C38)*INDEX(ct_teu,F38)*G38*(1-INDEX(in_cus_cfc_in_freight,1,C38)),0)</f>
        <v>0</v>
      </c>
      <c r="BH38" s="88" t="n">
        <f aca="false">IF(F38=4,1,G38)*(INDEX(in_cus_exam,1,C38)+INDEX(in_cus_exam_dray,1,C38))</f>
        <v>0</v>
      </c>
      <c r="BI38" s="88" t="n">
        <f aca="false">IF(F38=4,1,G38)*INDEX(in_cus_dem_days,1,C38)*INDEX(in_cus_dem_rate,1,C38)</f>
        <v>0</v>
      </c>
      <c r="BJ38" s="88" t="n">
        <f aca="false">BG38+BH38+BI38</f>
        <v>0</v>
      </c>
      <c r="BK38" s="88" t="n">
        <f aca="false">IF(F38=4,(INDEX(in_dra_lcl_cfs_d,1,C38)+INDEX(in_dra_lcl_deliv,1,C38))*P38,G38*(INDEX(tbl_dest_line,E38,C38)*P38*(1+INDEX(in_dra_fsc,1,C38))+INDEX(tbl_dest_tolls,E38,C38)+INDEX(in_dra_chassis_days,1,C38)*INDEX(tbl_dest_chassis,E38,C38)*(1-INDEX(in_dra_chassis_in_dray,1,C38))+INDEX(in_dra_wait_hours,1,C38)*INDEX(in_dra_wait_rate,1,C38)+INDEX(in_dra_split,1,C38)+INDEX(in_dra_prepull,1,C38)+INDEX(in_dra_dryrun,1,C38)))</f>
        <v>1027.5</v>
      </c>
      <c r="BL38" s="88" t="n">
        <f aca="false">IF(F38=4,0,G38*IF(F38=1,INDEX(in_dra_unload_20,1,C38),INDEX(in_dra_unload_40,1,C38))*Q38*(1-INDEX(in_dra_unload_in_dray,1,C38)))</f>
        <v>250</v>
      </c>
      <c r="BM38" s="88" t="n">
        <f aca="false">AL38+AN38+AO38+AR38+AU38+AZ38+BB38+BC38+BD38+BF38+BJ38+BK38+BL38</f>
        <v>19323.5538960189</v>
      </c>
      <c r="BN38" s="88" t="n">
        <f aca="false">AP38+AU38+BJ38+BK38+BL38</f>
        <v>4664.9652014652</v>
      </c>
      <c r="BO38" s="88" t="n">
        <f aca="false">AQ38+BF38</f>
        <v>688.938673344909</v>
      </c>
      <c r="BP38" s="88" t="n">
        <f aca="false">AI38*(1+IF(K38=3,INDEX(in_sup_vat_rate,1,C38),0))+AO38*Y38/AB38+AV38*BA38+(BC38+BD38)*AV38/AY38+AZ38*AI38/AL38+BN38*AC38/AF38+BO38*Y38/AB38</f>
        <v>0</v>
      </c>
      <c r="BQ38" s="88" t="n">
        <f aca="false">AJ38*(1+IF(K38=3,INDEX(in_sup_vat_rate,1,C38),0))+AO38*Z38/AB38+AW38*BA38+(BC38+BD38)*AW38/AY38+AZ38*AJ38/AL38+BN38*AD38/AF38+BO38*Z38/AB38</f>
        <v>0</v>
      </c>
      <c r="BR38" s="88" t="n">
        <f aca="false">AK38*(1+IF(K38=3,INDEX(in_sup_vat_rate,1,C38),0))+AO38*AA38/AB38+AX38*BA38+(BC38+BD38)*AX38/AY38+AZ38*AK38/AL38+BN38*AE38/AF38+BO38*AA38/AB38</f>
        <v>19323.5538960189</v>
      </c>
      <c r="BS38" s="89" t="n">
        <f aca="false">BP38+BQ38+BR38-BM38</f>
        <v>0</v>
      </c>
      <c r="BT38" s="85" t="n">
        <f aca="false">Y38*(1-R38)</f>
        <v>0</v>
      </c>
      <c r="BU38" s="85" t="n">
        <f aca="false">Z38*(1-R38)</f>
        <v>0</v>
      </c>
      <c r="BV38" s="85" t="n">
        <f aca="false">AA38*(1-R38)</f>
        <v>114823</v>
      </c>
      <c r="BW38" s="85" t="n">
        <f aca="false">BT38+BU38+BV38</f>
        <v>114823</v>
      </c>
      <c r="BX38" s="90" t="n">
        <f aca="false">IF(BT38&gt;0,BP38/BT38,0)</f>
        <v>0</v>
      </c>
      <c r="BY38" s="90" t="n">
        <f aca="false">IF(BU38&gt;0,BQ38/BU38,0)</f>
        <v>0</v>
      </c>
      <c r="BZ38" s="90" t="n">
        <f aca="false">IF(BV38&gt;0,BR38/BV38,0)</f>
        <v>0.168289923586902</v>
      </c>
      <c r="CA38" s="90" t="n">
        <f aca="false">INDEX(in_mkt_listing_3464,1,C38)*(1-IF(sku_flute_3464="B",T38,0))*(1-S38)*N38</f>
        <v>0.2856</v>
      </c>
      <c r="CB38" s="90" t="n">
        <f aca="false">INDEX(in_mkt_listing_3463,1,C38)*(1-IF(sku_flute_3463="B",T38,0))*(1-S38)*N38</f>
        <v>0.3128</v>
      </c>
      <c r="CC38" s="90" t="n">
        <f aca="false">INDEX(in_mkt_listing_3460,1,C38)*(1-IF(sku_flute_3460="B",T38,0))*(1-S38)*N38</f>
        <v>0.256</v>
      </c>
      <c r="CD38" s="88" t="n">
        <f aca="false">BT38*CA38+BU38*CB38+BV38*CC38</f>
        <v>29394.688</v>
      </c>
      <c r="CE38" s="88" t="n">
        <f aca="false">CD38-BM38</f>
        <v>10071.1341039811</v>
      </c>
      <c r="CF38" s="87" t="n">
        <f aca="false">IF(CD38&gt;0,CE38/CD38,0)</f>
        <v>0.342617485988662</v>
      </c>
      <c r="CG38" s="87" t="n">
        <f aca="false">W38+INDEX(in_sel_processing,1,C38)+INDEX(in_sel_bad_debt,1,C38)</f>
        <v>0.0325</v>
      </c>
      <c r="CH38" s="88" t="n">
        <f aca="false">CD38*CG38</f>
        <v>955.32736</v>
      </c>
      <c r="CI38" s="88" t="n">
        <f aca="false">INDEX(in_sel_testing,1,C38)*X38+INDEX(in_sel_admin,1,C38)</f>
        <v>1250</v>
      </c>
      <c r="CJ38" s="79" t="n">
        <f aca="false">INDEX(in_sup_lead_days,1,C38)</f>
        <v>14</v>
      </c>
      <c r="CK38" s="79" t="n">
        <f aca="false">CJ38+INDEX(in_oce_transit,1,C38)+IF(F38=4,INDEX(in_oce_lcl_extra_days,1,C38),0)</f>
        <v>39</v>
      </c>
      <c r="CL38" s="79" t="n">
        <f aca="false">CK38+2+INDEX(in_cus_dem_days,1,C38)</f>
        <v>41</v>
      </c>
      <c r="CM38" s="79" t="n">
        <f aca="false">CL38+U38</f>
        <v>71</v>
      </c>
      <c r="CN38" s="79" t="n">
        <f aca="false">CJ38+INDEX(in_sup_vat_lag,1,C38)</f>
        <v>44</v>
      </c>
      <c r="CO38" s="91" t="n">
        <f aca="false">INDEX(in_sup_advance,1,C38)</f>
        <v>0.5</v>
      </c>
      <c r="CP38" s="88" t="n">
        <f aca="false">CO38*(AL38+AM38)+AO38+INDEX(in_sel_testing,1,C38)*X38</f>
        <v>7927.17032967033</v>
      </c>
      <c r="CQ38" s="88" t="n">
        <f aca="false">(1-CO38)*(AL38+AM38)+AR38+AU38+AZ38</f>
        <v>10662.8956043956</v>
      </c>
      <c r="CR38" s="88" t="n">
        <f aca="false">BB38+BC38+BD38+BF38+BJ38</f>
        <v>455.987961952967</v>
      </c>
      <c r="CS38" s="88" t="n">
        <f aca="false">BK38+BL38</f>
        <v>1277.5</v>
      </c>
      <c r="CT38" s="88" t="n">
        <f aca="false">IF(K38=2,AM38,0)</f>
        <v>0</v>
      </c>
      <c r="CU38" s="85" t="n">
        <f aca="false">IF(K38=2,CO38*AM38*(CN38-0)+(1-CO38)*AM38*(CN38-CJ38),0)</f>
        <v>0</v>
      </c>
      <c r="CV38" s="85" t="n">
        <f aca="false">(CP38-CO38*CT38)*(CM38-0)+(CQ38-(1-CO38)*CT38)*(CM38-CJ38)+CR38*(CM38-CK38)+CS38*(CM38-CL38)</f>
        <v>1223530.75763964</v>
      </c>
      <c r="CW38" s="88" t="n">
        <f aca="false">INDEX(in_sel_fin_rate,1,C38)/365*(CU38+CV38)</f>
        <v>268.171124962112</v>
      </c>
      <c r="CX38" s="85" t="n">
        <f aca="false">CP38-IF(CN38&lt;=0,CT38,0)</f>
        <v>7927.17032967033</v>
      </c>
      <c r="CY38" s="85" t="n">
        <f aca="false">CP38+CQ38-IF(CN38&lt;=CJ38,CT38,0)</f>
        <v>18590.0659340659</v>
      </c>
      <c r="CZ38" s="85" t="n">
        <f aca="false">CP38+CQ38+CR38-IF(CN38&lt;=CK38,CT38,0)</f>
        <v>19046.0538960189</v>
      </c>
      <c r="DA38" s="85" t="n">
        <f aca="false">CP38+CQ38+CR38+CS38-IF(CN38&lt;=CL38,CT38,0)</f>
        <v>20323.5538960189</v>
      </c>
      <c r="DB38" s="88" t="n">
        <f aca="false">MAX(CX38,CY38,CZ38,DA38)</f>
        <v>20323.5538960189</v>
      </c>
      <c r="DC38" s="88" t="n">
        <f aca="false">CP38+CQ38+CR38+CS38</f>
        <v>20323.5538960189</v>
      </c>
      <c r="DD38" s="88" t="n">
        <f aca="false">CE38-CH38-CI38-CW38</f>
        <v>7597.63561901899</v>
      </c>
      <c r="DE38" s="87" t="n">
        <f aca="false">IF(CD38&gt;0,DD38/CD38,0)</f>
        <v>0.258469680610966</v>
      </c>
      <c r="DF38" s="86" t="n">
        <f aca="false">IF(CD38&gt;0,(BM38+CI38+CW38)/(CD38*(1-CG38)),0)</f>
        <v>0.732847875337503</v>
      </c>
      <c r="DG38" s="90" t="n">
        <f aca="false">IF(BW38&gt;0,BM38/BW38,0)</f>
        <v>0.168289923586902</v>
      </c>
      <c r="DH38" s="90" t="n">
        <f aca="false">IF(BW38&gt;0,CD38/BW38,0)</f>
        <v>0.256</v>
      </c>
      <c r="DI38" s="90" t="n">
        <f aca="false">IF(AI38&gt;0,(AI38*IF(K38=3,INDEX(in_sup_vat_rate,1,C38),0)+AV38*BA38+(BC38+BD38)*AV38/AY38+AZ38*AI38/AL38)/AI38,0)</f>
        <v>0</v>
      </c>
      <c r="DJ38" s="90" t="n">
        <f aca="false">IF(AJ38&gt;0,(AJ38*IF(K38=3,INDEX(in_sup_vat_rate,1,C38),0)+AW38*BA38+(BC38+BD38)*AW38/AY38+AZ38*AJ38/AL38)/AJ38,0)</f>
        <v>0</v>
      </c>
      <c r="DK38" s="90" t="n">
        <f aca="false">IF(AK38&gt;0,(AK38*IF(K38=3,INDEX(in_sup_vat_rate,1,C38),0)+AX38*BA38+(BC38+BD38)*AX38/AY38+AZ38*AK38/AL38)/AK38,0)</f>
        <v>0.00832297723171617</v>
      </c>
      <c r="DL38" s="90" t="n">
        <f aca="false">IF(Y38&gt;0,(BP38-AI38*(1+DI38))/Y38,0)</f>
        <v>0</v>
      </c>
      <c r="DM38" s="90" t="n">
        <f aca="false">IF(Z38&gt;0,(BQ38-AJ38*(1+DJ38))/Z38,0)</f>
        <v>0</v>
      </c>
      <c r="DN38" s="90" t="n">
        <f aca="false">IF(AA38&gt;0,(BR38-AK38*(1+DK38))/AA38,0)</f>
        <v>0.0463943143397757</v>
      </c>
      <c r="DO38" s="86" t="str">
        <f aca="false">IF(Y38&gt;0,(CA38*(1-thr_gm_go)*(1-R38)-DL38)/(1+DI38)*I38/((1+AH38)*J38),"")</f>
        <v/>
      </c>
      <c r="DP38" s="86" t="str">
        <f aca="false">IF(Z38&gt;0,(CB38*(1-thr_gm_go)*(1-R38)-DM38)/(1+DJ38)*I38/((1+AH38)*J38),"")</f>
        <v/>
      </c>
      <c r="DQ38" s="86" t="n">
        <f aca="false">IF(AA38&gt;0,(CC38*(1-thr_gm_go)*(1-R38)-DN38)/(1+DK38)*I38/((1+AH38)*J38),"")</f>
        <v>8.24470000958865</v>
      </c>
      <c r="DR38" s="92" t="n">
        <f aca="false">IF(AND(AY38*INDEX(in_cus_mpf_rate,1,C38)&gt;INDEX(in_cus_mpf_min,1,C38),AY38*INDEX(in_cus_mpf_rate,1,C38)&lt;INDEX(in_cus_mpf_max,1,C38)),INDEX(in_cus_mpf_rate,1,C38),0)</f>
        <v>0.003464</v>
      </c>
      <c r="DS38" s="88" t="n">
        <f aca="false">IF(AZ38&gt;INDEX(in_oce_ins_min,1,C38),INDEX(in_oce_ins_rate,1,C38)*(1+INDEX(in_oce_ins_uplift,1,C38))*AL38,0)</f>
        <v>0</v>
      </c>
      <c r="DT38" s="88" t="n">
        <f aca="false">(AL38+AN38)*(1+BA38+INDEX(in_cus_hmf,1,C38)+DR38)+DS38</f>
        <v>13919.6500212088</v>
      </c>
      <c r="DU38" s="86" t="n">
        <f aca="false">IF(DT38&gt;0,(CD38*(1-thr_gm_go)-(BM38-DT38))/DT38,0)</f>
        <v>1.19558409154203</v>
      </c>
      <c r="DV38" s="86" t="n">
        <f aca="false">IF(DT38&gt;0,(CD38-(BM38-DT38))/DT38,0)</f>
        <v>1.72351920404867</v>
      </c>
      <c r="DW38" s="87" t="n">
        <f aca="false">(1+AH38)*J38*DU38-1</f>
        <v>0.135804886964927</v>
      </c>
      <c r="DX38" s="87" t="n">
        <f aca="false">(1+AH38)*J38*DV38-1</f>
        <v>0.637343243846241</v>
      </c>
      <c r="DY38" s="85" t="n">
        <f aca="false">IF(G38&gt;0,(CD38*(1-thr_gm_go)-(BM38-AT38))/G38,"")</f>
        <v>5622.4621039811</v>
      </c>
      <c r="DZ38" s="90" t="n">
        <f aca="false">IF(AB38&gt;0,(AL38+AN38+BB38+BC38+BD38)/AB38,0)</f>
        <v>0.120620884065934</v>
      </c>
      <c r="EA38" s="88" t="n">
        <f aca="false">BM38-DZ38*AB38</f>
        <v>5403.90387481011</v>
      </c>
      <c r="EB38" s="90" t="n">
        <f aca="false">IF(AB38&gt;0,CD38/AB38,0)</f>
        <v>0.25472</v>
      </c>
      <c r="EC38" s="85" t="n">
        <f aca="false">IF(EB38*(1-thr_gm_go)-DZ38&gt;0,EA38/(EB38*(1-thr_gm_go)-DZ38),"n/a")</f>
        <v>76739.1609952876</v>
      </c>
      <c r="ED38" s="85" t="n">
        <f aca="false">IF(EB38-DZ38&gt;0,EA38/(EB38-DZ38),"n/a")</f>
        <v>40297.833711798</v>
      </c>
      <c r="EE38" s="93" t="b">
        <f aca="false">INDEX(cfg_fits,D38,C38)</f>
        <v>1</v>
      </c>
      <c r="EF38" s="87" t="n">
        <f aca="false">IF(F38=4,"",INDEX(cfg_lenutil,D38,C38))</f>
        <v>0.985750209555742</v>
      </c>
      <c r="EG38" s="31" t="str">
        <f aca="false">IF(O38&gt;1,"Check fit (units scaled up)","")</f>
        <v/>
      </c>
    </row>
    <row r="39" customFormat="false" ht="15" hidden="false" customHeight="false" outlineLevel="0" collapsed="false">
      <c r="A39" s="78" t="n">
        <v>1075</v>
      </c>
      <c r="B39" s="9" t="s">
        <v>3187</v>
      </c>
      <c r="C39" s="78" t="n">
        <v>1</v>
      </c>
      <c r="D39" s="78" t="n">
        <v>7</v>
      </c>
      <c r="E39" s="78" t="n">
        <v>5</v>
      </c>
      <c r="F39" s="79" t="n">
        <f aca="false">INDEX(cfg_ct,D39)</f>
        <v>3</v>
      </c>
      <c r="G39" s="79" t="n">
        <f aca="false">INDEX(cfg_n,D39)</f>
        <v>1</v>
      </c>
      <c r="H39" s="79" t="n">
        <f aca="false">INDEX(dest_port,E39)</f>
        <v>4</v>
      </c>
      <c r="I39" s="80" t="n">
        <f aca="false">INDEX(in_fx_cbe,1,C39)*(1-INDEX(in_fx_spread,1,C39))</f>
        <v>54.6</v>
      </c>
      <c r="J39" s="81" t="n">
        <f aca="false">1</f>
        <v>1</v>
      </c>
      <c r="K39" s="82" t="n">
        <f aca="false">INDEX(in_sup_vat_mode,1,C39)</f>
        <v>1</v>
      </c>
      <c r="L39" s="83" t="n">
        <f aca="false">INDEX(in_cus_s301,1,C39)</f>
        <v>0</v>
      </c>
      <c r="M39" s="84" t="n">
        <f aca="false">1</f>
        <v>1</v>
      </c>
      <c r="N39" s="81" t="n">
        <f aca="false">1</f>
        <v>1</v>
      </c>
      <c r="O39" s="81" t="n">
        <f aca="false">1</f>
        <v>1</v>
      </c>
      <c r="P39" s="81" t="n">
        <f aca="false">1</f>
        <v>1</v>
      </c>
      <c r="Q39" s="81" t="n">
        <f aca="false">1</f>
        <v>1</v>
      </c>
      <c r="R39" s="83" t="n">
        <f aca="false">INDEX(in_sel_damage,1,C39)</f>
        <v>0.005</v>
      </c>
      <c r="S39" s="83" t="n">
        <f aca="false">INDEX(in_mkt_dist_margin,1,C39)</f>
        <v>0.2</v>
      </c>
      <c r="T39" s="83" t="n">
        <f aca="false">INDEX(in_mkt_eflute_disc,1,C39)</f>
        <v>0.15</v>
      </c>
      <c r="U39" s="82" t="n">
        <f aca="false">INDEX(in_sel_credit_days,1,C39)</f>
        <v>30</v>
      </c>
      <c r="V39" s="81" t="n">
        <f aca="false">1</f>
        <v>1</v>
      </c>
      <c r="W39" s="83" t="n">
        <f aca="false">INDEX(in_sel_commission,1,C39)</f>
        <v>0.03</v>
      </c>
      <c r="X39" s="82" t="n">
        <f aca="false">1</f>
        <v>1</v>
      </c>
      <c r="Y39" s="85" t="n">
        <f aca="false">INDEX(cfg_u_3464,D39,C39)*O39</f>
        <v>0</v>
      </c>
      <c r="Z39" s="85" t="n">
        <f aca="false">INDEX(cfg_u_3463,D39,C39)*O39</f>
        <v>0</v>
      </c>
      <c r="AA39" s="85" t="n">
        <f aca="false">INDEX(cfg_u_3460,D39,C39)*O39</f>
        <v>115400</v>
      </c>
      <c r="AB39" s="85" t="n">
        <f aca="false">Y39+Z39+AA39</f>
        <v>115400</v>
      </c>
      <c r="AC39" s="86" t="n">
        <f aca="false">Y39*INDEX(lg_vpu_3464,C39)</f>
        <v>0</v>
      </c>
      <c r="AD39" s="86" t="n">
        <f aca="false">Z39*INDEX(lg_vpu_3463,C39)</f>
        <v>0</v>
      </c>
      <c r="AE39" s="86" t="n">
        <f aca="false">AA39*INDEX(lg_vpu_3460,C39)</f>
        <v>61.505892</v>
      </c>
      <c r="AF39" s="86" t="n">
        <f aca="false">AC39+AD39+AE39</f>
        <v>61.505892</v>
      </c>
      <c r="AG39" s="85" t="n">
        <f aca="false">Y39*INDEX(lg_kpu_3464,C39)+Z39*INDEX(lg_kpu_3463,C39)+AA39*INDEX(lg_kpu_3460,C39)</f>
        <v>15053.126816</v>
      </c>
      <c r="AH39" s="87" t="n">
        <f aca="false">INDEX(in_sup_requote,1,C39)</f>
        <v>-0.05</v>
      </c>
      <c r="AI39" s="88" t="n">
        <f aca="false">Y39*q_price_3464*(1+AH39)*J39/I39</f>
        <v>0</v>
      </c>
      <c r="AJ39" s="88" t="n">
        <f aca="false">Z39*q_price_3463*(1+AH39)*J39/I39</f>
        <v>0</v>
      </c>
      <c r="AK39" s="88" t="n">
        <f aca="false">AA39*q_price_3460*(1+AH39)*J39/I39</f>
        <v>13854.3406593407</v>
      </c>
      <c r="AL39" s="88" t="n">
        <f aca="false">AI39+AJ39+AK39</f>
        <v>13854.3406593407</v>
      </c>
      <c r="AM39" s="88" t="n">
        <f aca="false">IF(OR(K39=2,K39=3),AL39*INDEX(in_sup_vat_rate,1,C39),0)</f>
        <v>0</v>
      </c>
      <c r="AN39" s="88" t="n">
        <f aca="false">IF(K39=3,AM39,0)</f>
        <v>0</v>
      </c>
      <c r="AO39" s="88" t="n">
        <f aca="false">INDEX(in_sup_tooling_egp,1,C39)/I39</f>
        <v>0</v>
      </c>
      <c r="AP39" s="88" t="n">
        <f aca="false">IF(F39=4,INDEX(in_ori_lcl_truck,1,C39)*V39/I39+INDEX(in_ori_lcl_cfs_o,1,C39),G39*(IF(F39=1,INDEX(in_ori_truck_20,1,C39),INDEX(in_ori_truck_40,1,C39))*V39/I39+INDEX(in_ori_terminal,1,C39)+IF(F39=1,INDEX(in_ori_othc_20,1,C39),INDEX(in_ori_othc_40,1,C39))*(1-INDEX(in_ori_othc_in_freight,1,C39))+INDEX(in_ori_seal,1,C39)+INDEX(in_ori_inspection,1,C39)+INDEX(in_ori_dd_days,1,C39)*IF(F39=1,INDEX(in_ori_dd_20,1,C39),INDEX(in_ori_dd_40,1,C39))+INDEX(in_ori_loading_egp,1,C39)/I39))</f>
        <v>457.465201465201</v>
      </c>
      <c r="AQ39" s="88" t="n">
        <f aca="false">(INDEX(in_ori_clearance,1,C39)+INDEX(in_ori_coo,1,C39))/I39+INDEX(in_ori_bl_fee,1,C39)+INDEX(in_ori_fwd_fee,1,C39)+INDEX(in_ori_qc,1,C39)+INDEX(in_ori_wires,1,C39)*INDEX(in_ori_wire_fee,1,C39)</f>
        <v>298.260073260073</v>
      </c>
      <c r="AR39" s="88" t="n">
        <f aca="false">AP39+AQ39</f>
        <v>755.725274725275</v>
      </c>
      <c r="AS39" s="85" t="n">
        <f aca="false">INDEX(tbl_port_diff,H39,C39)</f>
        <v>0</v>
      </c>
      <c r="AT39" s="88" t="n">
        <f aca="false">IF(F39=4,MAX(AF39*INDEX(in_oce_lcl_factor,1,C39),AG39/1000,1)*INDEX(in_oce_lcl_rate,1,C39)*M39,G39*(INDEX(tbl_ocean_rate,MIN(F39,3),C39)+AS39)*M39)</f>
        <v>2900</v>
      </c>
      <c r="AU39" s="88" t="n">
        <f aca="false">AT39+INDEX(in_oce_ams,1,C39)</f>
        <v>2930</v>
      </c>
      <c r="AV39" s="88" t="n">
        <f aca="false">AI39*(1+IF(K39=3,INDEX(in_sup_vat_rate,1,C39),0))+AO39*Y39/AB39</f>
        <v>0</v>
      </c>
      <c r="AW39" s="88" t="n">
        <f aca="false">AJ39*(1+IF(K39=3,INDEX(in_sup_vat_rate,1,C39),0))+AO39*Z39/AB39</f>
        <v>0</v>
      </c>
      <c r="AX39" s="88" t="n">
        <f aca="false">AK39*(1+IF(K39=3,INDEX(in_sup_vat_rate,1,C39),0))+AO39*AA39/AB39</f>
        <v>13854.3406593407</v>
      </c>
      <c r="AY39" s="88" t="n">
        <f aca="false">AV39+AW39+AX39</f>
        <v>13854.3406593407</v>
      </c>
      <c r="AZ39" s="88" t="n">
        <f aca="false">MAX(INDEX(in_oce_ins_min,1,C39),INDEX(in_oce_ins_rate,1,C39)*(1+INDEX(in_oce_ins_uplift,1,C39))*(AL39+AO39+AR39+AU39))*(1-INDEX(in_oce_ins_in_other,1,C39))</f>
        <v>50</v>
      </c>
      <c r="BA39" s="87" t="n">
        <f aca="false">INDEX(in_cus_mfn,1,C39)+L39</f>
        <v>0</v>
      </c>
      <c r="BB39" s="88" t="n">
        <f aca="false">AY39*BA39</f>
        <v>0</v>
      </c>
      <c r="BC39" s="88" t="n">
        <f aca="false">MIN(MAX(AY39*INDEX(in_cus_mpf_rate,1,C39),INDEX(in_cus_mpf_min,1,C39)),INDEX(in_cus_mpf_max,1,C39))</f>
        <v>47.9914360439561</v>
      </c>
      <c r="BD39" s="88" t="n">
        <f aca="false">AY39*INDEX(in_cus_hmf,1,C39)</f>
        <v>17.3179258241758</v>
      </c>
      <c r="BE39" s="88" t="n">
        <f aca="false">MAX(INDEX(in_cus_stb_min,1,C39),INDEX(in_cus_stb_rate,1,C39)/1000*(AY39+BB39+BC39+BD39))</f>
        <v>55.6786000848352</v>
      </c>
      <c r="BF39" s="88" t="n">
        <f aca="false">INDEX(in_cus_broker,1,C39)+INDEX(in_cus_isf,1,C39)+INDEX(in_cus_do_fee,1,C39)+BE39+INDEX(in_cus_isf_bond,1,C39)</f>
        <v>390.678600084835</v>
      </c>
      <c r="BG39" s="88" t="n">
        <f aca="false">IF(H39=1,INDEX(in_cus_cfc,1,C39)*INDEX(ct_teu,F39)*G39*(1-INDEX(in_cus_cfc_in_freight,1,C39)),0)</f>
        <v>0</v>
      </c>
      <c r="BH39" s="88" t="n">
        <f aca="false">IF(F39=4,1,G39)*(INDEX(in_cus_exam,1,C39)+INDEX(in_cus_exam_dray,1,C39))</f>
        <v>0</v>
      </c>
      <c r="BI39" s="88" t="n">
        <f aca="false">IF(F39=4,1,G39)*INDEX(in_cus_dem_days,1,C39)*INDEX(in_cus_dem_rate,1,C39)</f>
        <v>0</v>
      </c>
      <c r="BJ39" s="88" t="n">
        <f aca="false">BG39+BH39+BI39</f>
        <v>0</v>
      </c>
      <c r="BK39" s="88" t="n">
        <f aca="false">IF(F39=4,(INDEX(in_dra_lcl_cfs_d,1,C39)+INDEX(in_dra_lcl_deliv,1,C39))*P39,G39*(INDEX(tbl_dest_line,E39,C39)*P39*(1+INDEX(in_dra_fsc,1,C39))+INDEX(tbl_dest_tolls,E39,C39)+INDEX(in_dra_chassis_days,1,C39)*INDEX(tbl_dest_chassis,E39,C39)*(1-INDEX(in_dra_chassis_in_dray,1,C39))+INDEX(in_dra_wait_hours,1,C39)*INDEX(in_dra_wait_rate,1,C39)+INDEX(in_dra_split,1,C39)+INDEX(in_dra_prepull,1,C39)+INDEX(in_dra_dryrun,1,C39)))</f>
        <v>1424</v>
      </c>
      <c r="BL39" s="88" t="n">
        <f aca="false">IF(F39=4,0,G39*IF(F39=1,INDEX(in_dra_unload_20,1,C39),INDEX(in_dra_unload_40,1,C39))*Q39*(1-INDEX(in_dra_unload_in_dray,1,C39)))</f>
        <v>250</v>
      </c>
      <c r="BM39" s="88" t="n">
        <f aca="false">AL39+AN39+AO39+AR39+AU39+AZ39+BB39+BC39+BD39+BF39+BJ39+BK39+BL39</f>
        <v>19720.0538960189</v>
      </c>
      <c r="BN39" s="88" t="n">
        <f aca="false">AP39+AU39+BJ39+BK39+BL39</f>
        <v>5061.4652014652</v>
      </c>
      <c r="BO39" s="88" t="n">
        <f aca="false">AQ39+BF39</f>
        <v>688.938673344909</v>
      </c>
      <c r="BP39" s="88" t="n">
        <f aca="false">AI39*(1+IF(K39=3,INDEX(in_sup_vat_rate,1,C39),0))+AO39*Y39/AB39+AV39*BA39+(BC39+BD39)*AV39/AY39+AZ39*AI39/AL39+BN39*AC39/AF39+BO39*Y39/AB39</f>
        <v>0</v>
      </c>
      <c r="BQ39" s="88" t="n">
        <f aca="false">AJ39*(1+IF(K39=3,INDEX(in_sup_vat_rate,1,C39),0))+AO39*Z39/AB39+AW39*BA39+(BC39+BD39)*AW39/AY39+AZ39*AJ39/AL39+BN39*AD39/AF39+BO39*Z39/AB39</f>
        <v>0</v>
      </c>
      <c r="BR39" s="88" t="n">
        <f aca="false">AK39*(1+IF(K39=3,INDEX(in_sup_vat_rate,1,C39),0))+AO39*AA39/AB39+AX39*BA39+(BC39+BD39)*AX39/AY39+AZ39*AK39/AL39+BN39*AE39/AF39+BO39*AA39/AB39</f>
        <v>19720.0538960189</v>
      </c>
      <c r="BS39" s="89" t="n">
        <f aca="false">BP39+BQ39+BR39-BM39</f>
        <v>0</v>
      </c>
      <c r="BT39" s="85" t="n">
        <f aca="false">Y39*(1-R39)</f>
        <v>0</v>
      </c>
      <c r="BU39" s="85" t="n">
        <f aca="false">Z39*(1-R39)</f>
        <v>0</v>
      </c>
      <c r="BV39" s="85" t="n">
        <f aca="false">AA39*(1-R39)</f>
        <v>114823</v>
      </c>
      <c r="BW39" s="85" t="n">
        <f aca="false">BT39+BU39+BV39</f>
        <v>114823</v>
      </c>
      <c r="BX39" s="90" t="n">
        <f aca="false">IF(BT39&gt;0,BP39/BT39,0)</f>
        <v>0</v>
      </c>
      <c r="BY39" s="90" t="n">
        <f aca="false">IF(BU39&gt;0,BQ39/BU39,0)</f>
        <v>0</v>
      </c>
      <c r="BZ39" s="90" t="n">
        <f aca="false">IF(BV39&gt;0,BR39/BV39,0)</f>
        <v>0.171743064508147</v>
      </c>
      <c r="CA39" s="90" t="n">
        <f aca="false">INDEX(in_mkt_listing_3464,1,C39)*(1-IF(sku_flute_3464="B",T39,0))*(1-S39)*N39</f>
        <v>0.2856</v>
      </c>
      <c r="CB39" s="90" t="n">
        <f aca="false">INDEX(in_mkt_listing_3463,1,C39)*(1-IF(sku_flute_3463="B",T39,0))*(1-S39)*N39</f>
        <v>0.3128</v>
      </c>
      <c r="CC39" s="90" t="n">
        <f aca="false">INDEX(in_mkt_listing_3460,1,C39)*(1-IF(sku_flute_3460="B",T39,0))*(1-S39)*N39</f>
        <v>0.256</v>
      </c>
      <c r="CD39" s="88" t="n">
        <f aca="false">BT39*CA39+BU39*CB39+BV39*CC39</f>
        <v>29394.688</v>
      </c>
      <c r="CE39" s="88" t="n">
        <f aca="false">CD39-BM39</f>
        <v>9674.6341039811</v>
      </c>
      <c r="CF39" s="87" t="n">
        <f aca="false">IF(CD39&gt;0,CE39/CD39,0)</f>
        <v>0.329128654265053</v>
      </c>
      <c r="CG39" s="87" t="n">
        <f aca="false">W39+INDEX(in_sel_processing,1,C39)+INDEX(in_sel_bad_debt,1,C39)</f>
        <v>0.0325</v>
      </c>
      <c r="CH39" s="88" t="n">
        <f aca="false">CD39*CG39</f>
        <v>955.32736</v>
      </c>
      <c r="CI39" s="88" t="n">
        <f aca="false">INDEX(in_sel_testing,1,C39)*X39+INDEX(in_sel_admin,1,C39)</f>
        <v>1250</v>
      </c>
      <c r="CJ39" s="79" t="n">
        <f aca="false">INDEX(in_sup_lead_days,1,C39)</f>
        <v>14</v>
      </c>
      <c r="CK39" s="79" t="n">
        <f aca="false">CJ39+INDEX(in_oce_transit,1,C39)+IF(F39=4,INDEX(in_oce_lcl_extra_days,1,C39),0)</f>
        <v>39</v>
      </c>
      <c r="CL39" s="79" t="n">
        <f aca="false">CK39+2+INDEX(in_cus_dem_days,1,C39)</f>
        <v>41</v>
      </c>
      <c r="CM39" s="79" t="n">
        <f aca="false">CL39+U39</f>
        <v>71</v>
      </c>
      <c r="CN39" s="79" t="n">
        <f aca="false">CJ39+INDEX(in_sup_vat_lag,1,C39)</f>
        <v>44</v>
      </c>
      <c r="CO39" s="91" t="n">
        <f aca="false">INDEX(in_sup_advance,1,C39)</f>
        <v>0.5</v>
      </c>
      <c r="CP39" s="88" t="n">
        <f aca="false">CO39*(AL39+AM39)+AO39+INDEX(in_sel_testing,1,C39)*X39</f>
        <v>7927.17032967033</v>
      </c>
      <c r="CQ39" s="88" t="n">
        <f aca="false">(1-CO39)*(AL39+AM39)+AR39+AU39+AZ39</f>
        <v>10662.8956043956</v>
      </c>
      <c r="CR39" s="88" t="n">
        <f aca="false">BB39+BC39+BD39+BF39+BJ39</f>
        <v>455.987961952967</v>
      </c>
      <c r="CS39" s="88" t="n">
        <f aca="false">BK39+BL39</f>
        <v>1674</v>
      </c>
      <c r="CT39" s="88" t="n">
        <f aca="false">IF(K39=2,AM39,0)</f>
        <v>0</v>
      </c>
      <c r="CU39" s="85" t="n">
        <f aca="false">IF(K39=2,CO39*AM39*(CN39-0)+(1-CO39)*AM39*(CN39-CJ39),0)</f>
        <v>0</v>
      </c>
      <c r="CV39" s="85" t="n">
        <f aca="false">(CP39-CO39*CT39)*(CM39-0)+(CQ39-(1-CO39)*CT39)*(CM39-CJ39)+CR39*(CM39-CK39)+CS39*(CM39-CL39)</f>
        <v>1235425.75763964</v>
      </c>
      <c r="CW39" s="88" t="n">
        <f aca="false">INDEX(in_sel_fin_rate,1,C39)/365*(CU39+CV39)</f>
        <v>270.778248249784</v>
      </c>
      <c r="CX39" s="85" t="n">
        <f aca="false">CP39-IF(CN39&lt;=0,CT39,0)</f>
        <v>7927.17032967033</v>
      </c>
      <c r="CY39" s="85" t="n">
        <f aca="false">CP39+CQ39-IF(CN39&lt;=CJ39,CT39,0)</f>
        <v>18590.0659340659</v>
      </c>
      <c r="CZ39" s="85" t="n">
        <f aca="false">CP39+CQ39+CR39-IF(CN39&lt;=CK39,CT39,0)</f>
        <v>19046.0538960189</v>
      </c>
      <c r="DA39" s="85" t="n">
        <f aca="false">CP39+CQ39+CR39+CS39-IF(CN39&lt;=CL39,CT39,0)</f>
        <v>20720.0538960189</v>
      </c>
      <c r="DB39" s="88" t="n">
        <f aca="false">MAX(CX39,CY39,CZ39,DA39)</f>
        <v>20720.0538960189</v>
      </c>
      <c r="DC39" s="88" t="n">
        <f aca="false">CP39+CQ39+CR39+CS39</f>
        <v>20720.0538960189</v>
      </c>
      <c r="DD39" s="88" t="n">
        <f aca="false">CE39-CH39-CI39-CW39</f>
        <v>7198.52849573132</v>
      </c>
      <c r="DE39" s="87" t="n">
        <f aca="false">IF(CD39&gt;0,DD39/CD39,0)</f>
        <v>0.244892155199311</v>
      </c>
      <c r="DF39" s="86" t="n">
        <f aca="false">IF(CD39&gt;0,(BM39+CI39+CW39)/(CD39*(1-CG39)),0)</f>
        <v>0.746881493334046</v>
      </c>
      <c r="DG39" s="90" t="n">
        <f aca="false">IF(BW39&gt;0,BM39/BW39,0)</f>
        <v>0.171743064508146</v>
      </c>
      <c r="DH39" s="90" t="n">
        <f aca="false">IF(BW39&gt;0,CD39/BW39,0)</f>
        <v>0.256</v>
      </c>
      <c r="DI39" s="90" t="n">
        <f aca="false">IF(AI39&gt;0,(AI39*IF(K39=3,INDEX(in_sup_vat_rate,1,C39),0)+AV39*BA39+(BC39+BD39)*AV39/AY39+AZ39*AI39/AL39)/AI39,0)</f>
        <v>0</v>
      </c>
      <c r="DJ39" s="90" t="n">
        <f aca="false">IF(AJ39&gt;0,(AJ39*IF(K39=3,INDEX(in_sup_vat_rate,1,C39),0)+AW39*BA39+(BC39+BD39)*AW39/AY39+AZ39*AJ39/AL39)/AJ39,0)</f>
        <v>0</v>
      </c>
      <c r="DK39" s="90" t="n">
        <f aca="false">IF(AK39&gt;0,(AK39*IF(K39=3,INDEX(in_sup_vat_rate,1,C39),0)+AX39*BA39+(BC39+BD39)*AX39/AY39+AZ39*AK39/AL39)/AK39,0)</f>
        <v>0.00832297723171617</v>
      </c>
      <c r="DL39" s="90" t="n">
        <f aca="false">IF(Y39&gt;0,(BP39-AI39*(1+DI39))/Y39,0)</f>
        <v>0</v>
      </c>
      <c r="DM39" s="90" t="n">
        <f aca="false">IF(Z39&gt;0,(BQ39-AJ39*(1+DJ39))/Z39,0)</f>
        <v>0</v>
      </c>
      <c r="DN39" s="90" t="n">
        <f aca="false">IF(AA39&gt;0,(BR39-AK39*(1+DK39))/AA39,0)</f>
        <v>0.0498301895564135</v>
      </c>
      <c r="DO39" s="86" t="str">
        <f aca="false">IF(Y39&gt;0,(CA39*(1-thr_gm_go)*(1-R39)-DL39)/(1+DI39)*I39/((1+AH39)*J39),"")</f>
        <v/>
      </c>
      <c r="DP39" s="86" t="str">
        <f aca="false">IF(Z39&gt;0,(CB39*(1-thr_gm_go)*(1-R39)-DM39)/(1+DJ39)*I39/((1+AH39)*J39),"")</f>
        <v/>
      </c>
      <c r="DQ39" s="86" t="n">
        <f aca="false">IF(AA39&gt;0,(CC39*(1-thr_gm_go)*(1-R39)-DN39)/(1+DK39)*I39/((1+AH39)*J39),"")</f>
        <v>8.04885759436376</v>
      </c>
      <c r="DR39" s="92" t="n">
        <f aca="false">IF(AND(AY39*INDEX(in_cus_mpf_rate,1,C39)&gt;INDEX(in_cus_mpf_min,1,C39),AY39*INDEX(in_cus_mpf_rate,1,C39)&lt;INDEX(in_cus_mpf_max,1,C39)),INDEX(in_cus_mpf_rate,1,C39),0)</f>
        <v>0.003464</v>
      </c>
      <c r="DS39" s="88" t="n">
        <f aca="false">IF(AZ39&gt;INDEX(in_oce_ins_min,1,C39),INDEX(in_oce_ins_rate,1,C39)*(1+INDEX(in_oce_ins_uplift,1,C39))*AL39,0)</f>
        <v>0</v>
      </c>
      <c r="DT39" s="88" t="n">
        <f aca="false">(AL39+AN39)*(1+BA39+INDEX(in_cus_hmf,1,C39)+DR39)+DS39</f>
        <v>13919.6500212088</v>
      </c>
      <c r="DU39" s="86" t="n">
        <f aca="false">IF(DT39&gt;0,(CD39*(1-thr_gm_go)-(BM39-DT39))/DT39,0)</f>
        <v>1.16709917996768</v>
      </c>
      <c r="DV39" s="86" t="n">
        <f aca="false">IF(DT39&gt;0,(CD39-(BM39-DT39))/DT39,0)</f>
        <v>1.69503429247433</v>
      </c>
      <c r="DW39" s="87" t="n">
        <f aca="false">(1+AH39)*J39*DU39-1</f>
        <v>0.108744220969297</v>
      </c>
      <c r="DX39" s="87" t="n">
        <f aca="false">(1+AH39)*J39*DV39-1</f>
        <v>0.610282577850611</v>
      </c>
      <c r="DY39" s="85" t="n">
        <f aca="false">IF(G39&gt;0,(CD39*(1-thr_gm_go)-(BM39-AT39))/G39,"")</f>
        <v>5225.9621039811</v>
      </c>
      <c r="DZ39" s="90" t="n">
        <f aca="false">IF(AB39&gt;0,(AL39+AN39+BB39+BC39+BD39)/AB39,0)</f>
        <v>0.120620884065934</v>
      </c>
      <c r="EA39" s="88" t="n">
        <f aca="false">BM39-DZ39*AB39</f>
        <v>5800.40387481011</v>
      </c>
      <c r="EB39" s="90" t="n">
        <f aca="false">IF(AB39&gt;0,CD39/AB39,0)</f>
        <v>0.25472</v>
      </c>
      <c r="EC39" s="85" t="n">
        <f aca="false">IF(EB39*(1-thr_gm_go)-DZ39&gt;0,EA39/(EB39*(1-thr_gm_go)-DZ39),"n/a")</f>
        <v>82369.7343806628</v>
      </c>
      <c r="ED39" s="85" t="n">
        <f aca="false">IF(EB39-DZ39&gt;0,EA39/(EB39-DZ39),"n/a")</f>
        <v>43254.6018995536</v>
      </c>
      <c r="EE39" s="93" t="b">
        <f aca="false">INDEX(cfg_fits,D39,C39)</f>
        <v>1</v>
      </c>
      <c r="EF39" s="87" t="n">
        <f aca="false">IF(F39=4,"",INDEX(cfg_lenutil,D39,C39))</f>
        <v>0.985750209555742</v>
      </c>
      <c r="EG39" s="31" t="str">
        <f aca="false">IF(O39&gt;1,"Check fit (units scaled up)","")</f>
        <v/>
      </c>
    </row>
    <row r="40" customFormat="false" ht="15" hidden="false" customHeight="false" outlineLevel="0" collapsed="false">
      <c r="A40" s="78" t="n">
        <v>1081</v>
      </c>
      <c r="B40" s="9" t="s">
        <v>3188</v>
      </c>
      <c r="C40" s="78" t="n">
        <v>1</v>
      </c>
      <c r="D40" s="78" t="n">
        <v>8</v>
      </c>
      <c r="E40" s="78" t="n">
        <v>1</v>
      </c>
      <c r="F40" s="79" t="n">
        <f aca="false">INDEX(cfg_ct,D40)</f>
        <v>2</v>
      </c>
      <c r="G40" s="79" t="n">
        <f aca="false">INDEX(cfg_n,D40)</f>
        <v>1</v>
      </c>
      <c r="H40" s="79" t="n">
        <f aca="false">INDEX(dest_port,E40)</f>
        <v>1</v>
      </c>
      <c r="I40" s="80" t="n">
        <f aca="false">INDEX(in_fx_cbe,1,C40)*(1-INDEX(in_fx_spread,1,C40))</f>
        <v>54.6</v>
      </c>
      <c r="J40" s="81" t="n">
        <f aca="false">1</f>
        <v>1</v>
      </c>
      <c r="K40" s="82" t="n">
        <f aca="false">INDEX(in_sup_vat_mode,1,C40)</f>
        <v>1</v>
      </c>
      <c r="L40" s="83" t="n">
        <f aca="false">INDEX(in_cus_s301,1,C40)</f>
        <v>0</v>
      </c>
      <c r="M40" s="84" t="n">
        <f aca="false">1</f>
        <v>1</v>
      </c>
      <c r="N40" s="81" t="n">
        <f aca="false">1</f>
        <v>1</v>
      </c>
      <c r="O40" s="81" t="n">
        <f aca="false">1</f>
        <v>1</v>
      </c>
      <c r="P40" s="81" t="n">
        <f aca="false">1</f>
        <v>1</v>
      </c>
      <c r="Q40" s="81" t="n">
        <f aca="false">1</f>
        <v>1</v>
      </c>
      <c r="R40" s="83" t="n">
        <f aca="false">INDEX(in_sel_damage,1,C40)</f>
        <v>0.005</v>
      </c>
      <c r="S40" s="83" t="n">
        <f aca="false">INDEX(in_mkt_dist_margin,1,C40)</f>
        <v>0.2</v>
      </c>
      <c r="T40" s="83" t="n">
        <f aca="false">INDEX(in_mkt_eflute_disc,1,C40)</f>
        <v>0.15</v>
      </c>
      <c r="U40" s="82" t="n">
        <f aca="false">INDEX(in_sel_credit_days,1,C40)</f>
        <v>30</v>
      </c>
      <c r="V40" s="81" t="n">
        <f aca="false">1</f>
        <v>1</v>
      </c>
      <c r="W40" s="83" t="n">
        <f aca="false">INDEX(in_sel_commission,1,C40)</f>
        <v>0.03</v>
      </c>
      <c r="X40" s="82" t="n">
        <f aca="false">1</f>
        <v>1</v>
      </c>
      <c r="Y40" s="85" t="n">
        <f aca="false">INDEX(cfg_u_3464,D40,C40)*O40</f>
        <v>24700</v>
      </c>
      <c r="Z40" s="85" t="n">
        <f aca="false">INDEX(cfg_u_3463,D40,C40)*O40</f>
        <v>24700</v>
      </c>
      <c r="AA40" s="85" t="n">
        <f aca="false">INDEX(cfg_u_3460,D40,C40)*O40</f>
        <v>24700</v>
      </c>
      <c r="AB40" s="85" t="n">
        <f aca="false">Y40+Z40+AA40</f>
        <v>74100</v>
      </c>
      <c r="AC40" s="86" t="n">
        <f aca="false">Y40*INDEX(lg_vpu_3464,C40)</f>
        <v>16.473171</v>
      </c>
      <c r="AD40" s="86" t="n">
        <f aca="false">Z40*INDEX(lg_vpu_3463,C40)</f>
        <v>20.152236</v>
      </c>
      <c r="AE40" s="86" t="n">
        <f aca="false">AA40*INDEX(lg_vpu_3460,C40)</f>
        <v>13.164606</v>
      </c>
      <c r="AF40" s="86" t="n">
        <f aca="false">AC40+AD40+AE40</f>
        <v>49.790013</v>
      </c>
      <c r="AG40" s="85" t="n">
        <f aca="false">Y40*INDEX(lg_kpu_3464,C40)+Z40*INDEX(lg_kpu_3463,C40)+AA40*INDEX(lg_kpu_3460,C40)</f>
        <v>12171.377504</v>
      </c>
      <c r="AH40" s="87" t="n">
        <f aca="false">INDEX(in_sup_requote,1,C40)</f>
        <v>-0.05</v>
      </c>
      <c r="AI40" s="88" t="n">
        <f aca="false">Y40*q_price_3464*(1+AH40)*J40/I40</f>
        <v>3594.95833333333</v>
      </c>
      <c r="AJ40" s="88" t="n">
        <f aca="false">Z40*q_price_3463*(1+AH40)*J40/I40</f>
        <v>3395.11904761905</v>
      </c>
      <c r="AK40" s="88" t="n">
        <f aca="false">AA40*q_price_3460*(1+AH40)*J40/I40</f>
        <v>2965.35714285714</v>
      </c>
      <c r="AL40" s="88" t="n">
        <f aca="false">AI40+AJ40+AK40</f>
        <v>9955.43452380952</v>
      </c>
      <c r="AM40" s="88" t="n">
        <f aca="false">IF(OR(K40=2,K40=3),AL40*INDEX(in_sup_vat_rate,1,C40),0)</f>
        <v>0</v>
      </c>
      <c r="AN40" s="88" t="n">
        <f aca="false">IF(K40=3,AM40,0)</f>
        <v>0</v>
      </c>
      <c r="AO40" s="88" t="n">
        <f aca="false">INDEX(in_sup_tooling_egp,1,C40)/I40</f>
        <v>0</v>
      </c>
      <c r="AP40" s="88" t="n">
        <f aca="false">IF(F40=4,INDEX(in_ori_lcl_truck,1,C40)*V40/I40+INDEX(in_ori_lcl_cfs_o,1,C40),G40*(IF(F40=1,INDEX(in_ori_truck_20,1,C40),INDEX(in_ori_truck_40,1,C40))*V40/I40+INDEX(in_ori_terminal,1,C40)+IF(F40=1,INDEX(in_ori_othc_20,1,C40),INDEX(in_ori_othc_40,1,C40))*(1-INDEX(in_ori_othc_in_freight,1,C40))+INDEX(in_ori_seal,1,C40)+INDEX(in_ori_inspection,1,C40)+INDEX(in_ori_dd_days,1,C40)*IF(F40=1,INDEX(in_ori_dd_20,1,C40),INDEX(in_ori_dd_40,1,C40))+INDEX(in_ori_loading_egp,1,C40)/I40))</f>
        <v>457.465201465201</v>
      </c>
      <c r="AQ40" s="88" t="n">
        <f aca="false">(INDEX(in_ori_clearance,1,C40)+INDEX(in_ori_coo,1,C40))/I40+INDEX(in_ori_bl_fee,1,C40)+INDEX(in_ori_fwd_fee,1,C40)+INDEX(in_ori_qc,1,C40)+INDEX(in_ori_wires,1,C40)*INDEX(in_ori_wire_fee,1,C40)</f>
        <v>298.260073260073</v>
      </c>
      <c r="AR40" s="88" t="n">
        <f aca="false">AP40+AQ40</f>
        <v>755.725274725275</v>
      </c>
      <c r="AS40" s="85" t="n">
        <f aca="false">INDEX(tbl_port_diff,H40,C40)</f>
        <v>0</v>
      </c>
      <c r="AT40" s="88" t="n">
        <f aca="false">IF(F40=4,MAX(AF40*INDEX(in_oce_lcl_factor,1,C40),AG40/1000,1)*INDEX(in_oce_lcl_rate,1,C40)*M40,G40*(INDEX(tbl_ocean_rate,MIN(F40,3),C40)+AS40)*M40)</f>
        <v>2800</v>
      </c>
      <c r="AU40" s="88" t="n">
        <f aca="false">AT40+INDEX(in_oce_ams,1,C40)</f>
        <v>2830</v>
      </c>
      <c r="AV40" s="88" t="n">
        <f aca="false">AI40*(1+IF(K40=3,INDEX(in_sup_vat_rate,1,C40),0))+AO40*Y40/AB40</f>
        <v>3594.95833333333</v>
      </c>
      <c r="AW40" s="88" t="n">
        <f aca="false">AJ40*(1+IF(K40=3,INDEX(in_sup_vat_rate,1,C40),0))+AO40*Z40/AB40</f>
        <v>3395.11904761905</v>
      </c>
      <c r="AX40" s="88" t="n">
        <f aca="false">AK40*(1+IF(K40=3,INDEX(in_sup_vat_rate,1,C40),0))+AO40*AA40/AB40</f>
        <v>2965.35714285714</v>
      </c>
      <c r="AY40" s="88" t="n">
        <f aca="false">AV40+AW40+AX40</f>
        <v>9955.43452380952</v>
      </c>
      <c r="AZ40" s="88" t="n">
        <f aca="false">MAX(INDEX(in_oce_ins_min,1,C40),INDEX(in_oce_ins_rate,1,C40)*(1+INDEX(in_oce_ins_uplift,1,C40))*(AL40+AO40+AR40+AU40))*(1-INDEX(in_oce_ins_in_other,1,C40))</f>
        <v>50</v>
      </c>
      <c r="BA40" s="87" t="n">
        <f aca="false">INDEX(in_cus_mfn,1,C40)+L40</f>
        <v>0</v>
      </c>
      <c r="BB40" s="88" t="n">
        <f aca="false">AY40*BA40</f>
        <v>0</v>
      </c>
      <c r="BC40" s="88" t="n">
        <f aca="false">MIN(MAX(AY40*INDEX(in_cus_mpf_rate,1,C40),INDEX(in_cus_mpf_min,1,C40)),INDEX(in_cus_mpf_max,1,C40))</f>
        <v>34.58</v>
      </c>
      <c r="BD40" s="88" t="n">
        <f aca="false">AY40*INDEX(in_cus_hmf,1,C40)</f>
        <v>12.4442931547619</v>
      </c>
      <c r="BE40" s="88" t="n">
        <f aca="false">MAX(INDEX(in_cus_stb_min,1,C40),INDEX(in_cus_stb_rate,1,C40)/1000*(AY40+BB40+BC40+BD40))</f>
        <v>50</v>
      </c>
      <c r="BF40" s="88" t="n">
        <f aca="false">INDEX(in_cus_broker,1,C40)+INDEX(in_cus_isf,1,C40)+INDEX(in_cus_do_fee,1,C40)+BE40+INDEX(in_cus_isf_bond,1,C40)</f>
        <v>385</v>
      </c>
      <c r="BG40" s="88" t="n">
        <f aca="false">IF(H40=1,INDEX(in_cus_cfc,1,C40)*INDEX(ct_teu,F40)*G40*(1-INDEX(in_cus_cfc_in_freight,1,C40)),0)</f>
        <v>29.6</v>
      </c>
      <c r="BH40" s="88" t="n">
        <f aca="false">IF(F40=4,1,G40)*(INDEX(in_cus_exam,1,C40)+INDEX(in_cus_exam_dray,1,C40))</f>
        <v>0</v>
      </c>
      <c r="BI40" s="88" t="n">
        <f aca="false">IF(F40=4,1,G40)*INDEX(in_cus_dem_days,1,C40)*INDEX(in_cus_dem_rate,1,C40)</f>
        <v>0</v>
      </c>
      <c r="BJ40" s="88" t="n">
        <f aca="false">BG40+BH40+BI40</f>
        <v>29.6</v>
      </c>
      <c r="BK40" s="88" t="n">
        <f aca="false">IF(F40=4,(INDEX(in_dra_lcl_cfs_d,1,C40)+INDEX(in_dra_lcl_deliv,1,C40))*P40,G40*(INDEX(tbl_dest_line,E40,C40)*P40*(1+INDEX(in_dra_fsc,1,C40))+INDEX(tbl_dest_tolls,E40,C40)+INDEX(in_dra_chassis_days,1,C40)*INDEX(tbl_dest_chassis,E40,C40)*(1-INDEX(in_dra_chassis_in_dray,1,C40))+INDEX(in_dra_wait_hours,1,C40)*INDEX(in_dra_wait_rate,1,C40)+INDEX(in_dra_split,1,C40)+INDEX(in_dra_prepull,1,C40)+INDEX(in_dra_dryrun,1,C40)))</f>
        <v>661</v>
      </c>
      <c r="BL40" s="88" t="n">
        <f aca="false">IF(F40=4,0,G40*IF(F40=1,INDEX(in_dra_unload_20,1,C40),INDEX(in_dra_unload_40,1,C40))*Q40*(1-INDEX(in_dra_unload_in_dray,1,C40)))</f>
        <v>250</v>
      </c>
      <c r="BM40" s="88" t="n">
        <f aca="false">AL40+AN40+AO40+AR40+AU40+AZ40+BB40+BC40+BD40+BF40+BJ40+BK40+BL40</f>
        <v>14963.7840916896</v>
      </c>
      <c r="BN40" s="88" t="n">
        <f aca="false">AP40+AU40+BJ40+BK40+BL40</f>
        <v>4228.0652014652</v>
      </c>
      <c r="BO40" s="88" t="n">
        <f aca="false">AQ40+BF40</f>
        <v>683.260073260073</v>
      </c>
      <c r="BP40" s="88" t="n">
        <f aca="false">AI40*(1+IF(K40=3,INDEX(in_sup_vat_rate,1,C40),0))+AO40*Y40/AB40+AV40*BA40+(BC40+BD40)*AV40/AY40+AZ40*AI40/AL40+BN40*AC40/AF40+BO40*Y40/AB40</f>
        <v>5256.6153615704</v>
      </c>
      <c r="BQ40" s="88" t="n">
        <f aca="false">AJ40*(1+IF(K40=3,INDEX(in_sup_vat_rate,1,C40),0))+AO40*Z40/AB40+AW40*BA40+(BC40+BD40)*AW40/AY40+AZ40*AJ40/AL40+BN40*AD40/AF40+BO40*Z40/AB40</f>
        <v>5367.2470806582</v>
      </c>
      <c r="BR40" s="88" t="n">
        <f aca="false">AK40*(1+IF(K40=3,INDEX(in_sup_vat_rate,1,C40),0))+AO40*AA40/AB40+AX40*BA40+(BC40+BD40)*AX40/AY40+AZ40*AK40/AL40+BN40*AE40/AF40+BO40*AA40/AB40</f>
        <v>4339.92164946095</v>
      </c>
      <c r="BS40" s="89" t="n">
        <f aca="false">BP40+BQ40+BR40-BM40</f>
        <v>0</v>
      </c>
      <c r="BT40" s="85" t="n">
        <f aca="false">Y40*(1-R40)</f>
        <v>24576.5</v>
      </c>
      <c r="BU40" s="85" t="n">
        <f aca="false">Z40*(1-R40)</f>
        <v>24576.5</v>
      </c>
      <c r="BV40" s="85" t="n">
        <f aca="false">AA40*(1-R40)</f>
        <v>24576.5</v>
      </c>
      <c r="BW40" s="85" t="n">
        <f aca="false">BT40+BU40+BV40</f>
        <v>73729.5</v>
      </c>
      <c r="BX40" s="90" t="n">
        <f aca="false">IF(BT40&gt;0,BP40/BT40,0)</f>
        <v>0.213887875066442</v>
      </c>
      <c r="BY40" s="90" t="n">
        <f aca="false">IF(BU40&gt;0,BQ40/BU40,0)</f>
        <v>0.218389399656509</v>
      </c>
      <c r="BZ40" s="90" t="n">
        <f aca="false">IF(BV40&gt;0,BR40/BV40,0)</f>
        <v>0.176588271294161</v>
      </c>
      <c r="CA40" s="90" t="n">
        <f aca="false">INDEX(in_mkt_listing_3464,1,C40)*(1-IF(sku_flute_3464="B",T40,0))*(1-S40)*N40</f>
        <v>0.2856</v>
      </c>
      <c r="CB40" s="90" t="n">
        <f aca="false">INDEX(in_mkt_listing_3463,1,C40)*(1-IF(sku_flute_3463="B",T40,0))*(1-S40)*N40</f>
        <v>0.3128</v>
      </c>
      <c r="CC40" s="90" t="n">
        <f aca="false">INDEX(in_mkt_listing_3460,1,C40)*(1-IF(sku_flute_3460="B",T40,0))*(1-S40)*N40</f>
        <v>0.256</v>
      </c>
      <c r="CD40" s="88" t="n">
        <f aca="false">BT40*CA40+BU40*CB40+BV40*CC40</f>
        <v>20998.1616</v>
      </c>
      <c r="CE40" s="88" t="n">
        <f aca="false">CD40-BM40</f>
        <v>6034.37750831044</v>
      </c>
      <c r="CF40" s="87" t="n">
        <f aca="false">IF(CD40&gt;0,CE40/CD40,0)</f>
        <v>0.287376467676601</v>
      </c>
      <c r="CG40" s="87" t="n">
        <f aca="false">W40+INDEX(in_sel_processing,1,C40)+INDEX(in_sel_bad_debt,1,C40)</f>
        <v>0.0325</v>
      </c>
      <c r="CH40" s="88" t="n">
        <f aca="false">CD40*CG40</f>
        <v>682.440252</v>
      </c>
      <c r="CI40" s="88" t="n">
        <f aca="false">INDEX(in_sel_testing,1,C40)*X40+INDEX(in_sel_admin,1,C40)</f>
        <v>1250</v>
      </c>
      <c r="CJ40" s="79" t="n">
        <f aca="false">INDEX(in_sup_lead_days,1,C40)</f>
        <v>14</v>
      </c>
      <c r="CK40" s="79" t="n">
        <f aca="false">CJ40+INDEX(in_oce_transit,1,C40)+IF(F40=4,INDEX(in_oce_lcl_extra_days,1,C40),0)</f>
        <v>39</v>
      </c>
      <c r="CL40" s="79" t="n">
        <f aca="false">CK40+2+INDEX(in_cus_dem_days,1,C40)</f>
        <v>41</v>
      </c>
      <c r="CM40" s="79" t="n">
        <f aca="false">CL40+U40</f>
        <v>71</v>
      </c>
      <c r="CN40" s="79" t="n">
        <f aca="false">CJ40+INDEX(in_sup_vat_lag,1,C40)</f>
        <v>44</v>
      </c>
      <c r="CO40" s="91" t="n">
        <f aca="false">INDEX(in_sup_advance,1,C40)</f>
        <v>0.5</v>
      </c>
      <c r="CP40" s="88" t="n">
        <f aca="false">CO40*(AL40+AM40)+AO40+INDEX(in_sel_testing,1,C40)*X40</f>
        <v>5977.71726190476</v>
      </c>
      <c r="CQ40" s="88" t="n">
        <f aca="false">(1-CO40)*(AL40+AM40)+AR40+AU40+AZ40</f>
        <v>8613.44253663004</v>
      </c>
      <c r="CR40" s="88" t="n">
        <f aca="false">BB40+BC40+BD40+BF40+BJ40</f>
        <v>461.624293154762</v>
      </c>
      <c r="CS40" s="88" t="n">
        <f aca="false">BK40+BL40</f>
        <v>911</v>
      </c>
      <c r="CT40" s="88" t="n">
        <f aca="false">IF(K40=2,AM40,0)</f>
        <v>0</v>
      </c>
      <c r="CU40" s="85" t="n">
        <f aca="false">IF(K40=2,CO40*AM40*(CN40-0)+(1-CO40)*AM40*(CN40-CJ40),0)</f>
        <v>0</v>
      </c>
      <c r="CV40" s="85" t="n">
        <f aca="false">(CP40-CO40*CT40)*(CM40-0)+(CQ40-(1-CO40)*CT40)*(CM40-CJ40)+CR40*(CM40-CK40)+CS40*(CM40-CL40)</f>
        <v>957486.127564102</v>
      </c>
      <c r="CW40" s="88" t="n">
        <f aca="false">INDEX(in_sel_fin_rate,1,C40)/365*(CU40+CV40)</f>
        <v>209.859973164735</v>
      </c>
      <c r="CX40" s="85" t="n">
        <f aca="false">CP40-IF(CN40&lt;=0,CT40,0)</f>
        <v>5977.71726190476</v>
      </c>
      <c r="CY40" s="85" t="n">
        <f aca="false">CP40+CQ40-IF(CN40&lt;=CJ40,CT40,0)</f>
        <v>14591.1597985348</v>
      </c>
      <c r="CZ40" s="85" t="n">
        <f aca="false">CP40+CQ40+CR40-IF(CN40&lt;=CK40,CT40,0)</f>
        <v>15052.7840916896</v>
      </c>
      <c r="DA40" s="85" t="n">
        <f aca="false">CP40+CQ40+CR40+CS40-IF(CN40&lt;=CL40,CT40,0)</f>
        <v>15963.7840916896</v>
      </c>
      <c r="DB40" s="88" t="n">
        <f aca="false">MAX(CX40,CY40,CZ40,DA40)</f>
        <v>15963.7840916896</v>
      </c>
      <c r="DC40" s="88" t="n">
        <f aca="false">CP40+CQ40+CR40+CS40</f>
        <v>15963.7840916896</v>
      </c>
      <c r="DD40" s="88" t="n">
        <f aca="false">CE40-CH40-CI40-CW40</f>
        <v>3892.0772831457</v>
      </c>
      <c r="DE40" s="87" t="n">
        <f aca="false">IF(CD40&gt;0,DD40/CD40,0)</f>
        <v>0.185353239835325</v>
      </c>
      <c r="DF40" s="86" t="n">
        <f aca="false">IF(CD40&gt;0,(BM40+CI40+CW40)/(CD40*(1-CG40)),0)</f>
        <v>0.808420423942817</v>
      </c>
      <c r="DG40" s="90" t="n">
        <f aca="false">IF(BW40&gt;0,BM40/BW40,0)</f>
        <v>0.202955182005704</v>
      </c>
      <c r="DH40" s="90" t="n">
        <f aca="false">IF(BW40&gt;0,CD40/BW40,0)</f>
        <v>0.2848</v>
      </c>
      <c r="DI40" s="90" t="n">
        <f aca="false">IF(AI40&gt;0,(AI40*IF(K40=3,INDEX(in_sup_vat_rate,1,C40),0)+AV40*BA40+(BC40+BD40)*AV40/AY40+AZ40*AI40/AL40)/AI40,0)</f>
        <v>0.00974586221452389</v>
      </c>
      <c r="DJ40" s="90" t="n">
        <f aca="false">IF(AJ40&gt;0,(AJ40*IF(K40=3,INDEX(in_sup_vat_rate,1,C40),0)+AW40*BA40+(BC40+BD40)*AW40/AY40+AZ40*AJ40/AL40)/AJ40,0)</f>
        <v>0.00974586221452389</v>
      </c>
      <c r="DK40" s="90" t="n">
        <f aca="false">IF(AK40&gt;0,(AK40*IF(K40=3,INDEX(in_sup_vat_rate,1,C40),0)+AX40*BA40+(BC40+BD40)*AX40/AY40+AZ40*AK40/AL40)/AK40,0)</f>
        <v>0.00974586221452389</v>
      </c>
      <c r="DL40" s="90" t="n">
        <f aca="false">IF(Y40&gt;0,(BP40-AI40*(1+DI40))/Y40,0)</f>
        <v>0.0658551036296943</v>
      </c>
      <c r="DM40" s="90" t="n">
        <f aca="false">IF(Z40&gt;0,(BQ40-AJ40*(1+DJ40))/Z40,0)</f>
        <v>0.0785036303886297</v>
      </c>
      <c r="DN40" s="90" t="n">
        <f aca="false">IF(AA40&gt;0,(BR40-AK40*(1+DK40))/AA40,0)</f>
        <v>0.0544803459300676</v>
      </c>
      <c r="DO40" s="86" t="n">
        <f aca="false">IF(Y40&gt;0,(CA40*(1-thr_gm_go)*(1-R40)-DL40)/(1+DI40)*I40/((1+AH40)*J40),"")</f>
        <v>8.38267699743487</v>
      </c>
      <c r="DP40" s="86" t="n">
        <f aca="false">IF(Z40&gt;0,(CB40*(1-thr_gm_go)*(1-R40)-DM40)/(1+DJ40)*I40/((1+AH40)*J40),"")</f>
        <v>8.81807705787148</v>
      </c>
      <c r="DQ40" s="86" t="n">
        <f aca="false">IF(AA40&gt;0,(CC40*(1-thr_gm_go)*(1-R40)-DN40)/(1+DK40)*I40/((1+AH40)*J40),"")</f>
        <v>7.77283346989993</v>
      </c>
      <c r="DR40" s="92" t="n">
        <f aca="false">IF(AND(AY40*INDEX(in_cus_mpf_rate,1,C40)&gt;INDEX(in_cus_mpf_min,1,C40),AY40*INDEX(in_cus_mpf_rate,1,C40)&lt;INDEX(in_cus_mpf_max,1,C40)),INDEX(in_cus_mpf_rate,1,C40),0)</f>
        <v>0</v>
      </c>
      <c r="DS40" s="88" t="n">
        <f aca="false">IF(AZ40&gt;INDEX(in_oce_ins_min,1,C40),INDEX(in_oce_ins_rate,1,C40)*(1+INDEX(in_oce_ins_uplift,1,C40))*AL40,0)</f>
        <v>0</v>
      </c>
      <c r="DT40" s="88" t="n">
        <f aca="false">(AL40+AN40)*(1+BA40+INDEX(in_cus_hmf,1,C40)+DR40)+DS40</f>
        <v>9967.87881696429</v>
      </c>
      <c r="DU40" s="86" t="n">
        <f aca="false">IF(DT40&gt;0,(CD40*(1-thr_gm_go)-(BM40-DT40))/DT40,0)</f>
        <v>1.0787366221763</v>
      </c>
      <c r="DV40" s="86" t="n">
        <f aca="false">IF(DT40&gt;0,(CD40-(BM40-DT40))/DT40,0)</f>
        <v>1.60538231043104</v>
      </c>
      <c r="DW40" s="87" t="n">
        <f aca="false">(1+AH40)*J40*DU40-1</f>
        <v>0.0247997910674829</v>
      </c>
      <c r="DX40" s="87" t="n">
        <f aca="false">(1+AH40)*J40*DV40-1</f>
        <v>0.525113194909486</v>
      </c>
      <c r="DY40" s="85" t="n">
        <f aca="false">IF(G40&gt;0,(CD40*(1-thr_gm_go)-(BM40-AT40))/G40,"")</f>
        <v>3584.83710831044</v>
      </c>
      <c r="DZ40" s="90" t="n">
        <f aca="false">IF(AB40&gt;0,(AL40+AN40+BB40+BC40+BD40)/AB40,0)</f>
        <v>0.134985948946886</v>
      </c>
      <c r="EA40" s="88" t="n">
        <f aca="false">BM40-DZ40*AB40</f>
        <v>4961.32527472528</v>
      </c>
      <c r="EB40" s="90" t="n">
        <f aca="false">IF(AB40&gt;0,CD40/AB40,0)</f>
        <v>0.283376</v>
      </c>
      <c r="EC40" s="85" t="n">
        <f aca="false">IF(EB40*(1-thr_gm_go)-DZ40&gt;0,EA40/(EB40*(1-thr_gm_go)-DZ40),"n/a")</f>
        <v>63979.08349101</v>
      </c>
      <c r="ED40" s="85" t="n">
        <f aca="false">IF(EB40-DZ40&gt;0,EA40/(EB40-DZ40),"n/a")</f>
        <v>33434.3525021732</v>
      </c>
      <c r="EE40" s="93" t="b">
        <f aca="false">INDEX(cfg_fits,D40,C40)</f>
        <v>1</v>
      </c>
      <c r="EF40" s="87" t="n">
        <f aca="false">IF(F40=4,"",INDEX(cfg_lenutil,D40,C40))</f>
        <v>0.999580888516345</v>
      </c>
      <c r="EG40" s="31" t="str">
        <f aca="false">IF(O40&gt;1,"Check fit (units scaled up)","")</f>
        <v/>
      </c>
    </row>
    <row r="41" customFormat="false" ht="15" hidden="false" customHeight="false" outlineLevel="0" collapsed="false">
      <c r="A41" s="78" t="n">
        <v>1082</v>
      </c>
      <c r="B41" s="9" t="s">
        <v>3189</v>
      </c>
      <c r="C41" s="78" t="n">
        <v>1</v>
      </c>
      <c r="D41" s="78" t="n">
        <v>8</v>
      </c>
      <c r="E41" s="78" t="n">
        <v>2</v>
      </c>
      <c r="F41" s="79" t="n">
        <f aca="false">INDEX(cfg_ct,D41)</f>
        <v>2</v>
      </c>
      <c r="G41" s="79" t="n">
        <f aca="false">INDEX(cfg_n,D41)</f>
        <v>1</v>
      </c>
      <c r="H41" s="79" t="n">
        <f aca="false">INDEX(dest_port,E41)</f>
        <v>1</v>
      </c>
      <c r="I41" s="80" t="n">
        <f aca="false">INDEX(in_fx_cbe,1,C41)*(1-INDEX(in_fx_spread,1,C41))</f>
        <v>54.6</v>
      </c>
      <c r="J41" s="81" t="n">
        <f aca="false">1</f>
        <v>1</v>
      </c>
      <c r="K41" s="82" t="n">
        <f aca="false">INDEX(in_sup_vat_mode,1,C41)</f>
        <v>1</v>
      </c>
      <c r="L41" s="83" t="n">
        <f aca="false">INDEX(in_cus_s301,1,C41)</f>
        <v>0</v>
      </c>
      <c r="M41" s="84" t="n">
        <f aca="false">1</f>
        <v>1</v>
      </c>
      <c r="N41" s="81" t="n">
        <f aca="false">1</f>
        <v>1</v>
      </c>
      <c r="O41" s="81" t="n">
        <f aca="false">1</f>
        <v>1</v>
      </c>
      <c r="P41" s="81" t="n">
        <f aca="false">1</f>
        <v>1</v>
      </c>
      <c r="Q41" s="81" t="n">
        <f aca="false">1</f>
        <v>1</v>
      </c>
      <c r="R41" s="83" t="n">
        <f aca="false">INDEX(in_sel_damage,1,C41)</f>
        <v>0.005</v>
      </c>
      <c r="S41" s="83" t="n">
        <f aca="false">INDEX(in_mkt_dist_margin,1,C41)</f>
        <v>0.2</v>
      </c>
      <c r="T41" s="83" t="n">
        <f aca="false">INDEX(in_mkt_eflute_disc,1,C41)</f>
        <v>0.15</v>
      </c>
      <c r="U41" s="82" t="n">
        <f aca="false">INDEX(in_sel_credit_days,1,C41)</f>
        <v>30</v>
      </c>
      <c r="V41" s="81" t="n">
        <f aca="false">1</f>
        <v>1</v>
      </c>
      <c r="W41" s="83" t="n">
        <f aca="false">INDEX(in_sel_commission,1,C41)</f>
        <v>0.03</v>
      </c>
      <c r="X41" s="82" t="n">
        <f aca="false">1</f>
        <v>1</v>
      </c>
      <c r="Y41" s="85" t="n">
        <f aca="false">INDEX(cfg_u_3464,D41,C41)*O41</f>
        <v>24700</v>
      </c>
      <c r="Z41" s="85" t="n">
        <f aca="false">INDEX(cfg_u_3463,D41,C41)*O41</f>
        <v>24700</v>
      </c>
      <c r="AA41" s="85" t="n">
        <f aca="false">INDEX(cfg_u_3460,D41,C41)*O41</f>
        <v>24700</v>
      </c>
      <c r="AB41" s="85" t="n">
        <f aca="false">Y41+Z41+AA41</f>
        <v>74100</v>
      </c>
      <c r="AC41" s="86" t="n">
        <f aca="false">Y41*INDEX(lg_vpu_3464,C41)</f>
        <v>16.473171</v>
      </c>
      <c r="AD41" s="86" t="n">
        <f aca="false">Z41*INDEX(lg_vpu_3463,C41)</f>
        <v>20.152236</v>
      </c>
      <c r="AE41" s="86" t="n">
        <f aca="false">AA41*INDEX(lg_vpu_3460,C41)</f>
        <v>13.164606</v>
      </c>
      <c r="AF41" s="86" t="n">
        <f aca="false">AC41+AD41+AE41</f>
        <v>49.790013</v>
      </c>
      <c r="AG41" s="85" t="n">
        <f aca="false">Y41*INDEX(lg_kpu_3464,C41)+Z41*INDEX(lg_kpu_3463,C41)+AA41*INDEX(lg_kpu_3460,C41)</f>
        <v>12171.377504</v>
      </c>
      <c r="AH41" s="87" t="n">
        <f aca="false">INDEX(in_sup_requote,1,C41)</f>
        <v>-0.05</v>
      </c>
      <c r="AI41" s="88" t="n">
        <f aca="false">Y41*q_price_3464*(1+AH41)*J41/I41</f>
        <v>3594.95833333333</v>
      </c>
      <c r="AJ41" s="88" t="n">
        <f aca="false">Z41*q_price_3463*(1+AH41)*J41/I41</f>
        <v>3395.11904761905</v>
      </c>
      <c r="AK41" s="88" t="n">
        <f aca="false">AA41*q_price_3460*(1+AH41)*J41/I41</f>
        <v>2965.35714285714</v>
      </c>
      <c r="AL41" s="88" t="n">
        <f aca="false">AI41+AJ41+AK41</f>
        <v>9955.43452380952</v>
      </c>
      <c r="AM41" s="88" t="n">
        <f aca="false">IF(OR(K41=2,K41=3),AL41*INDEX(in_sup_vat_rate,1,C41),0)</f>
        <v>0</v>
      </c>
      <c r="AN41" s="88" t="n">
        <f aca="false">IF(K41=3,AM41,0)</f>
        <v>0</v>
      </c>
      <c r="AO41" s="88" t="n">
        <f aca="false">INDEX(in_sup_tooling_egp,1,C41)/I41</f>
        <v>0</v>
      </c>
      <c r="AP41" s="88" t="n">
        <f aca="false">IF(F41=4,INDEX(in_ori_lcl_truck,1,C41)*V41/I41+INDEX(in_ori_lcl_cfs_o,1,C41),G41*(IF(F41=1,INDEX(in_ori_truck_20,1,C41),INDEX(in_ori_truck_40,1,C41))*V41/I41+INDEX(in_ori_terminal,1,C41)+IF(F41=1,INDEX(in_ori_othc_20,1,C41),INDEX(in_ori_othc_40,1,C41))*(1-INDEX(in_ori_othc_in_freight,1,C41))+INDEX(in_ori_seal,1,C41)+INDEX(in_ori_inspection,1,C41)+INDEX(in_ori_dd_days,1,C41)*IF(F41=1,INDEX(in_ori_dd_20,1,C41),INDEX(in_ori_dd_40,1,C41))+INDEX(in_ori_loading_egp,1,C41)/I41))</f>
        <v>457.465201465201</v>
      </c>
      <c r="AQ41" s="88" t="n">
        <f aca="false">(INDEX(in_ori_clearance,1,C41)+INDEX(in_ori_coo,1,C41))/I41+INDEX(in_ori_bl_fee,1,C41)+INDEX(in_ori_fwd_fee,1,C41)+INDEX(in_ori_qc,1,C41)+INDEX(in_ori_wires,1,C41)*INDEX(in_ori_wire_fee,1,C41)</f>
        <v>298.260073260073</v>
      </c>
      <c r="AR41" s="88" t="n">
        <f aca="false">AP41+AQ41</f>
        <v>755.725274725275</v>
      </c>
      <c r="AS41" s="85" t="n">
        <f aca="false">INDEX(tbl_port_diff,H41,C41)</f>
        <v>0</v>
      </c>
      <c r="AT41" s="88" t="n">
        <f aca="false">IF(F41=4,MAX(AF41*INDEX(in_oce_lcl_factor,1,C41),AG41/1000,1)*INDEX(in_oce_lcl_rate,1,C41)*M41,G41*(INDEX(tbl_ocean_rate,MIN(F41,3),C41)+AS41)*M41)</f>
        <v>2800</v>
      </c>
      <c r="AU41" s="88" t="n">
        <f aca="false">AT41+INDEX(in_oce_ams,1,C41)</f>
        <v>2830</v>
      </c>
      <c r="AV41" s="88" t="n">
        <f aca="false">AI41*(1+IF(K41=3,INDEX(in_sup_vat_rate,1,C41),0))+AO41*Y41/AB41</f>
        <v>3594.95833333333</v>
      </c>
      <c r="AW41" s="88" t="n">
        <f aca="false">AJ41*(1+IF(K41=3,INDEX(in_sup_vat_rate,1,C41),0))+AO41*Z41/AB41</f>
        <v>3395.11904761905</v>
      </c>
      <c r="AX41" s="88" t="n">
        <f aca="false">AK41*(1+IF(K41=3,INDEX(in_sup_vat_rate,1,C41),0))+AO41*AA41/AB41</f>
        <v>2965.35714285714</v>
      </c>
      <c r="AY41" s="88" t="n">
        <f aca="false">AV41+AW41+AX41</f>
        <v>9955.43452380952</v>
      </c>
      <c r="AZ41" s="88" t="n">
        <f aca="false">MAX(INDEX(in_oce_ins_min,1,C41),INDEX(in_oce_ins_rate,1,C41)*(1+INDEX(in_oce_ins_uplift,1,C41))*(AL41+AO41+AR41+AU41))*(1-INDEX(in_oce_ins_in_other,1,C41))</f>
        <v>50</v>
      </c>
      <c r="BA41" s="87" t="n">
        <f aca="false">INDEX(in_cus_mfn,1,C41)+L41</f>
        <v>0</v>
      </c>
      <c r="BB41" s="88" t="n">
        <f aca="false">AY41*BA41</f>
        <v>0</v>
      </c>
      <c r="BC41" s="88" t="n">
        <f aca="false">MIN(MAX(AY41*INDEX(in_cus_mpf_rate,1,C41),INDEX(in_cus_mpf_min,1,C41)),INDEX(in_cus_mpf_max,1,C41))</f>
        <v>34.58</v>
      </c>
      <c r="BD41" s="88" t="n">
        <f aca="false">AY41*INDEX(in_cus_hmf,1,C41)</f>
        <v>12.4442931547619</v>
      </c>
      <c r="BE41" s="88" t="n">
        <f aca="false">MAX(INDEX(in_cus_stb_min,1,C41),INDEX(in_cus_stb_rate,1,C41)/1000*(AY41+BB41+BC41+BD41))</f>
        <v>50</v>
      </c>
      <c r="BF41" s="88" t="n">
        <f aca="false">INDEX(in_cus_broker,1,C41)+INDEX(in_cus_isf,1,C41)+INDEX(in_cus_do_fee,1,C41)+BE41+INDEX(in_cus_isf_bond,1,C41)</f>
        <v>385</v>
      </c>
      <c r="BG41" s="88" t="n">
        <f aca="false">IF(H41=1,INDEX(in_cus_cfc,1,C41)*INDEX(ct_teu,F41)*G41*(1-INDEX(in_cus_cfc_in_freight,1,C41)),0)</f>
        <v>29.6</v>
      </c>
      <c r="BH41" s="88" t="n">
        <f aca="false">IF(F41=4,1,G41)*(INDEX(in_cus_exam,1,C41)+INDEX(in_cus_exam_dray,1,C41))</f>
        <v>0</v>
      </c>
      <c r="BI41" s="88" t="n">
        <f aca="false">IF(F41=4,1,G41)*INDEX(in_cus_dem_days,1,C41)*INDEX(in_cus_dem_rate,1,C41)</f>
        <v>0</v>
      </c>
      <c r="BJ41" s="88" t="n">
        <f aca="false">BG41+BH41+BI41</f>
        <v>29.6</v>
      </c>
      <c r="BK41" s="88" t="n">
        <f aca="false">IF(F41=4,(INDEX(in_dra_lcl_cfs_d,1,C41)+INDEX(in_dra_lcl_deliv,1,C41))*P41,G41*(INDEX(tbl_dest_line,E41,C41)*P41*(1+INDEX(in_dra_fsc,1,C41))+INDEX(tbl_dest_tolls,E41,C41)+INDEX(in_dra_chassis_days,1,C41)*INDEX(tbl_dest_chassis,E41,C41)*(1-INDEX(in_dra_chassis_in_dray,1,C41))+INDEX(in_dra_wait_hours,1,C41)*INDEX(in_dra_wait_rate,1,C41)+INDEX(in_dra_split,1,C41)+INDEX(in_dra_prepull,1,C41)+INDEX(in_dra_dryrun,1,C41)))</f>
        <v>866</v>
      </c>
      <c r="BL41" s="88" t="n">
        <f aca="false">IF(F41=4,0,G41*IF(F41=1,INDEX(in_dra_unload_20,1,C41),INDEX(in_dra_unload_40,1,C41))*Q41*(1-INDEX(in_dra_unload_in_dray,1,C41)))</f>
        <v>250</v>
      </c>
      <c r="BM41" s="88" t="n">
        <f aca="false">AL41+AN41+AO41+AR41+AU41+AZ41+BB41+BC41+BD41+BF41+BJ41+BK41+BL41</f>
        <v>15168.7840916896</v>
      </c>
      <c r="BN41" s="88" t="n">
        <f aca="false">AP41+AU41+BJ41+BK41+BL41</f>
        <v>4433.0652014652</v>
      </c>
      <c r="BO41" s="88" t="n">
        <f aca="false">AQ41+BF41</f>
        <v>683.260073260073</v>
      </c>
      <c r="BP41" s="88" t="n">
        <f aca="false">AI41*(1+IF(K41=3,INDEX(in_sup_vat_rate,1,C41),0))+AO41*Y41/AB41+AV41*BA41+(BC41+BD41)*AV41/AY41+AZ41*AI41/AL41+BN41*AC41/AF41+BO41*Y41/AB41</f>
        <v>5324.44020939682</v>
      </c>
      <c r="BQ41" s="88" t="n">
        <f aca="false">AJ41*(1+IF(K41=3,INDEX(in_sup_vat_rate,1,C41),0))+AO41*Z41/AB41+AW41*BA41+(BC41+BD41)*AW41/AY41+AZ41*AJ41/AL41+BN41*AD41/AF41+BO41*Z41/AB41</f>
        <v>5450.21971173585</v>
      </c>
      <c r="BR41" s="88" t="n">
        <f aca="false">AK41*(1+IF(K41=3,INDEX(in_sup_vat_rate,1,C41),0))+AO41*AA41/AB41+AX41*BA41+(BC41+BD41)*AX41/AY41+AZ41*AK41/AL41+BN41*AE41/AF41+BO41*AA41/AB41</f>
        <v>4394.1241705569</v>
      </c>
      <c r="BS41" s="89" t="n">
        <f aca="false">BP41+BQ41+BR41-BM41</f>
        <v>0</v>
      </c>
      <c r="BT41" s="85" t="n">
        <f aca="false">Y41*(1-R41)</f>
        <v>24576.5</v>
      </c>
      <c r="BU41" s="85" t="n">
        <f aca="false">Z41*(1-R41)</f>
        <v>24576.5</v>
      </c>
      <c r="BV41" s="85" t="n">
        <f aca="false">AA41*(1-R41)</f>
        <v>24576.5</v>
      </c>
      <c r="BW41" s="85" t="n">
        <f aca="false">BT41+BU41+BV41</f>
        <v>73729.5</v>
      </c>
      <c r="BX41" s="90" t="n">
        <f aca="false">IF(BT41&gt;0,BP41/BT41,0)</f>
        <v>0.216647619042452</v>
      </c>
      <c r="BY41" s="90" t="n">
        <f aca="false">IF(BU41&gt;0,BQ41/BU41,0)</f>
        <v>0.221765495971186</v>
      </c>
      <c r="BZ41" s="90" t="n">
        <f aca="false">IF(BV41&gt;0,BR41/BV41,0)</f>
        <v>0.178793732653425</v>
      </c>
      <c r="CA41" s="90" t="n">
        <f aca="false">INDEX(in_mkt_listing_3464,1,C41)*(1-IF(sku_flute_3464="B",T41,0))*(1-S41)*N41</f>
        <v>0.2856</v>
      </c>
      <c r="CB41" s="90" t="n">
        <f aca="false">INDEX(in_mkt_listing_3463,1,C41)*(1-IF(sku_flute_3463="B",T41,0))*(1-S41)*N41</f>
        <v>0.3128</v>
      </c>
      <c r="CC41" s="90" t="n">
        <f aca="false">INDEX(in_mkt_listing_3460,1,C41)*(1-IF(sku_flute_3460="B",T41,0))*(1-S41)*N41</f>
        <v>0.256</v>
      </c>
      <c r="CD41" s="88" t="n">
        <f aca="false">BT41*CA41+BU41*CB41+BV41*CC41</f>
        <v>20998.1616</v>
      </c>
      <c r="CE41" s="88" t="n">
        <f aca="false">CD41-BM41</f>
        <v>5829.37750831044</v>
      </c>
      <c r="CF41" s="87" t="n">
        <f aca="false">IF(CD41&gt;0,CE41/CD41,0)</f>
        <v>0.277613708254843</v>
      </c>
      <c r="CG41" s="87" t="n">
        <f aca="false">W41+INDEX(in_sel_processing,1,C41)+INDEX(in_sel_bad_debt,1,C41)</f>
        <v>0.0325</v>
      </c>
      <c r="CH41" s="88" t="n">
        <f aca="false">CD41*CG41</f>
        <v>682.440252</v>
      </c>
      <c r="CI41" s="88" t="n">
        <f aca="false">INDEX(in_sel_testing,1,C41)*X41+INDEX(in_sel_admin,1,C41)</f>
        <v>1250</v>
      </c>
      <c r="CJ41" s="79" t="n">
        <f aca="false">INDEX(in_sup_lead_days,1,C41)</f>
        <v>14</v>
      </c>
      <c r="CK41" s="79" t="n">
        <f aca="false">CJ41+INDEX(in_oce_transit,1,C41)+IF(F41=4,INDEX(in_oce_lcl_extra_days,1,C41),0)</f>
        <v>39</v>
      </c>
      <c r="CL41" s="79" t="n">
        <f aca="false">CK41+2+INDEX(in_cus_dem_days,1,C41)</f>
        <v>41</v>
      </c>
      <c r="CM41" s="79" t="n">
        <f aca="false">CL41+U41</f>
        <v>71</v>
      </c>
      <c r="CN41" s="79" t="n">
        <f aca="false">CJ41+INDEX(in_sup_vat_lag,1,C41)</f>
        <v>44</v>
      </c>
      <c r="CO41" s="91" t="n">
        <f aca="false">INDEX(in_sup_advance,1,C41)</f>
        <v>0.5</v>
      </c>
      <c r="CP41" s="88" t="n">
        <f aca="false">CO41*(AL41+AM41)+AO41+INDEX(in_sel_testing,1,C41)*X41</f>
        <v>5977.71726190476</v>
      </c>
      <c r="CQ41" s="88" t="n">
        <f aca="false">(1-CO41)*(AL41+AM41)+AR41+AU41+AZ41</f>
        <v>8613.44253663004</v>
      </c>
      <c r="CR41" s="88" t="n">
        <f aca="false">BB41+BC41+BD41+BF41+BJ41</f>
        <v>461.624293154762</v>
      </c>
      <c r="CS41" s="88" t="n">
        <f aca="false">BK41+BL41</f>
        <v>1116</v>
      </c>
      <c r="CT41" s="88" t="n">
        <f aca="false">IF(K41=2,AM41,0)</f>
        <v>0</v>
      </c>
      <c r="CU41" s="85" t="n">
        <f aca="false">IF(K41=2,CO41*AM41*(CN41-0)+(1-CO41)*AM41*(CN41-CJ41),0)</f>
        <v>0</v>
      </c>
      <c r="CV41" s="85" t="n">
        <f aca="false">(CP41-CO41*CT41)*(CM41-0)+(CQ41-(1-CO41)*CT41)*(CM41-CJ41)+CR41*(CM41-CK41)+CS41*(CM41-CL41)</f>
        <v>963636.127564102</v>
      </c>
      <c r="CW41" s="88" t="n">
        <f aca="false">INDEX(in_sel_fin_rate,1,C41)/365*(CU41+CV41)</f>
        <v>211.207918370214</v>
      </c>
      <c r="CX41" s="85" t="n">
        <f aca="false">CP41-IF(CN41&lt;=0,CT41,0)</f>
        <v>5977.71726190476</v>
      </c>
      <c r="CY41" s="85" t="n">
        <f aca="false">CP41+CQ41-IF(CN41&lt;=CJ41,CT41,0)</f>
        <v>14591.1597985348</v>
      </c>
      <c r="CZ41" s="85" t="n">
        <f aca="false">CP41+CQ41+CR41-IF(CN41&lt;=CK41,CT41,0)</f>
        <v>15052.7840916896</v>
      </c>
      <c r="DA41" s="85" t="n">
        <f aca="false">CP41+CQ41+CR41+CS41-IF(CN41&lt;=CL41,CT41,0)</f>
        <v>16168.7840916896</v>
      </c>
      <c r="DB41" s="88" t="n">
        <f aca="false">MAX(CX41,CY41,CZ41,DA41)</f>
        <v>16168.7840916896</v>
      </c>
      <c r="DC41" s="88" t="n">
        <f aca="false">CP41+CQ41+CR41+CS41</f>
        <v>16168.7840916896</v>
      </c>
      <c r="DD41" s="88" t="n">
        <f aca="false">CE41-CH41-CI41-CW41</f>
        <v>3685.72933794022</v>
      </c>
      <c r="DE41" s="87" t="n">
        <f aca="false">IF(CD41&gt;0,DD41/CD41,0)</f>
        <v>0.175526286926958</v>
      </c>
      <c r="DF41" s="86" t="n">
        <f aca="false">IF(CD41&gt;0,(BM41+CI41+CW41)/(CD41*(1-CG41)),0)</f>
        <v>0.818577481212447</v>
      </c>
      <c r="DG41" s="90" t="n">
        <f aca="false">IF(BW41&gt;0,BM41/BW41,0)</f>
        <v>0.205735615889021</v>
      </c>
      <c r="DH41" s="90" t="n">
        <f aca="false">IF(BW41&gt;0,CD41/BW41,0)</f>
        <v>0.2848</v>
      </c>
      <c r="DI41" s="90" t="n">
        <f aca="false">IF(AI41&gt;0,(AI41*IF(K41=3,INDEX(in_sup_vat_rate,1,C41),0)+AV41*BA41+(BC41+BD41)*AV41/AY41+AZ41*AI41/AL41)/AI41,0)</f>
        <v>0.00974586221452389</v>
      </c>
      <c r="DJ41" s="90" t="n">
        <f aca="false">IF(AJ41&gt;0,(AJ41*IF(K41=3,INDEX(in_sup_vat_rate,1,C41),0)+AW41*BA41+(BC41+BD41)*AW41/AY41+AZ41*AJ41/AL41)/AJ41,0)</f>
        <v>0.00974586221452389</v>
      </c>
      <c r="DK41" s="90" t="n">
        <f aca="false">IF(AK41&gt;0,(AK41*IF(K41=3,INDEX(in_sup_vat_rate,1,C41),0)+AX41*BA41+(BC41+BD41)*AX41/AY41+AZ41*AK41/AL41)/AK41,0)</f>
        <v>0.00974586221452389</v>
      </c>
      <c r="DL41" s="90" t="n">
        <f aca="false">IF(Y41&gt;0,(BP41-AI41*(1+DI41))/Y41,0)</f>
        <v>0.0686010488858243</v>
      </c>
      <c r="DM41" s="90" t="n">
        <f aca="false">IF(Z41&gt;0,(BQ41-AJ41*(1+DJ41))/Z41,0)</f>
        <v>0.0818628462217326</v>
      </c>
      <c r="DN41" s="90" t="n">
        <f aca="false">IF(AA41&gt;0,(BR41-AK41*(1+DK41))/AA41,0)</f>
        <v>0.0566747799825352</v>
      </c>
      <c r="DO41" s="86" t="n">
        <f aca="false">IF(Y41&gt;0,(CA41*(1-thr_gm_go)*(1-R41)-DL41)/(1+DI41)*I41/((1+AH41)*J41),"")</f>
        <v>8.22638064959534</v>
      </c>
      <c r="DP41" s="86" t="n">
        <f aca="false">IF(Z41&gt;0,(CB41*(1-thr_gm_go)*(1-R41)-DM41)/(1+DJ41)*I41/((1+AH41)*J41),"")</f>
        <v>8.62687398667163</v>
      </c>
      <c r="DQ41" s="86" t="n">
        <f aca="false">IF(AA41&gt;0,(CC41*(1-thr_gm_go)*(1-R41)-DN41)/(1+DK41)*I41/((1+AH41)*J41),"")</f>
        <v>7.64792856612965</v>
      </c>
      <c r="DR41" s="92" t="n">
        <f aca="false">IF(AND(AY41*INDEX(in_cus_mpf_rate,1,C41)&gt;INDEX(in_cus_mpf_min,1,C41),AY41*INDEX(in_cus_mpf_rate,1,C41)&lt;INDEX(in_cus_mpf_max,1,C41)),INDEX(in_cus_mpf_rate,1,C41),0)</f>
        <v>0</v>
      </c>
      <c r="DS41" s="88" t="n">
        <f aca="false">IF(AZ41&gt;INDEX(in_oce_ins_min,1,C41),INDEX(in_oce_ins_rate,1,C41)*(1+INDEX(in_oce_ins_uplift,1,C41))*AL41,0)</f>
        <v>0</v>
      </c>
      <c r="DT41" s="88" t="n">
        <f aca="false">(AL41+AN41)*(1+BA41+INDEX(in_cus_hmf,1,C41)+DR41)+DS41</f>
        <v>9967.87881696429</v>
      </c>
      <c r="DU41" s="86" t="n">
        <f aca="false">IF(DT41&gt;0,(CD41*(1-thr_gm_go)-(BM41-DT41))/DT41,0)</f>
        <v>1.05817056155655</v>
      </c>
      <c r="DV41" s="86" t="n">
        <f aca="false">IF(DT41&gt;0,(CD41-(BM41-DT41))/DT41,0)</f>
        <v>1.58481624981129</v>
      </c>
      <c r="DW41" s="87" t="n">
        <f aca="false">(1+AH41)*J41*DU41-1</f>
        <v>0.00526203347872123</v>
      </c>
      <c r="DX41" s="87" t="n">
        <f aca="false">(1+AH41)*J41*DV41-1</f>
        <v>0.505575437320724</v>
      </c>
      <c r="DY41" s="85" t="n">
        <f aca="false">IF(G41&gt;0,(CD41*(1-thr_gm_go)-(BM41-AT41))/G41,"")</f>
        <v>3379.83710831044</v>
      </c>
      <c r="DZ41" s="90" t="n">
        <f aca="false">IF(AB41&gt;0,(AL41+AN41+BB41+BC41+BD41)/AB41,0)</f>
        <v>0.134985948946886</v>
      </c>
      <c r="EA41" s="88" t="n">
        <f aca="false">BM41-DZ41*AB41</f>
        <v>5166.32527472528</v>
      </c>
      <c r="EB41" s="90" t="n">
        <f aca="false">IF(AB41&gt;0,CD41/AB41,0)</f>
        <v>0.283376</v>
      </c>
      <c r="EC41" s="85" t="n">
        <f aca="false">IF(EB41*(1-thr_gm_go)-DZ41&gt;0,EA41/(EB41*(1-thr_gm_go)-DZ41),"n/a")</f>
        <v>66622.67394102</v>
      </c>
      <c r="ED41" s="85" t="n">
        <f aca="false">IF(EB41-DZ41&gt;0,EA41/(EB41-DZ41),"n/a")</f>
        <v>34815.8467367606</v>
      </c>
      <c r="EE41" s="93" t="b">
        <f aca="false">INDEX(cfg_fits,D41,C41)</f>
        <v>1</v>
      </c>
      <c r="EF41" s="87" t="n">
        <f aca="false">IF(F41=4,"",INDEX(cfg_lenutil,D41,C41))</f>
        <v>0.999580888516345</v>
      </c>
      <c r="EG41" s="31" t="str">
        <f aca="false">IF(O41&gt;1,"Check fit (units scaled up)","")</f>
        <v/>
      </c>
    </row>
    <row r="42" customFormat="false" ht="15" hidden="false" customHeight="false" outlineLevel="0" collapsed="false">
      <c r="A42" s="78" t="n">
        <v>1083</v>
      </c>
      <c r="B42" s="9" t="s">
        <v>3190</v>
      </c>
      <c r="C42" s="78" t="n">
        <v>1</v>
      </c>
      <c r="D42" s="78" t="n">
        <v>8</v>
      </c>
      <c r="E42" s="78" t="n">
        <v>3</v>
      </c>
      <c r="F42" s="79" t="n">
        <f aca="false">INDEX(cfg_ct,D42)</f>
        <v>2</v>
      </c>
      <c r="G42" s="79" t="n">
        <f aca="false">INDEX(cfg_n,D42)</f>
        <v>1</v>
      </c>
      <c r="H42" s="79" t="n">
        <f aca="false">INDEX(dest_port,E42)</f>
        <v>2</v>
      </c>
      <c r="I42" s="80" t="n">
        <f aca="false">INDEX(in_fx_cbe,1,C42)*(1-INDEX(in_fx_spread,1,C42))</f>
        <v>54.6</v>
      </c>
      <c r="J42" s="81" t="n">
        <f aca="false">1</f>
        <v>1</v>
      </c>
      <c r="K42" s="82" t="n">
        <f aca="false">INDEX(in_sup_vat_mode,1,C42)</f>
        <v>1</v>
      </c>
      <c r="L42" s="83" t="n">
        <f aca="false">INDEX(in_cus_s301,1,C42)</f>
        <v>0</v>
      </c>
      <c r="M42" s="84" t="n">
        <f aca="false">1</f>
        <v>1</v>
      </c>
      <c r="N42" s="81" t="n">
        <f aca="false">1</f>
        <v>1</v>
      </c>
      <c r="O42" s="81" t="n">
        <f aca="false">1</f>
        <v>1</v>
      </c>
      <c r="P42" s="81" t="n">
        <f aca="false">1</f>
        <v>1</v>
      </c>
      <c r="Q42" s="81" t="n">
        <f aca="false">1</f>
        <v>1</v>
      </c>
      <c r="R42" s="83" t="n">
        <f aca="false">INDEX(in_sel_damage,1,C42)</f>
        <v>0.005</v>
      </c>
      <c r="S42" s="83" t="n">
        <f aca="false">INDEX(in_mkt_dist_margin,1,C42)</f>
        <v>0.2</v>
      </c>
      <c r="T42" s="83" t="n">
        <f aca="false">INDEX(in_mkt_eflute_disc,1,C42)</f>
        <v>0.15</v>
      </c>
      <c r="U42" s="82" t="n">
        <f aca="false">INDEX(in_sel_credit_days,1,C42)</f>
        <v>30</v>
      </c>
      <c r="V42" s="81" t="n">
        <f aca="false">1</f>
        <v>1</v>
      </c>
      <c r="W42" s="83" t="n">
        <f aca="false">INDEX(in_sel_commission,1,C42)</f>
        <v>0.03</v>
      </c>
      <c r="X42" s="82" t="n">
        <f aca="false">1</f>
        <v>1</v>
      </c>
      <c r="Y42" s="85" t="n">
        <f aca="false">INDEX(cfg_u_3464,D42,C42)*O42</f>
        <v>24700</v>
      </c>
      <c r="Z42" s="85" t="n">
        <f aca="false">INDEX(cfg_u_3463,D42,C42)*O42</f>
        <v>24700</v>
      </c>
      <c r="AA42" s="85" t="n">
        <f aca="false">INDEX(cfg_u_3460,D42,C42)*O42</f>
        <v>24700</v>
      </c>
      <c r="AB42" s="85" t="n">
        <f aca="false">Y42+Z42+AA42</f>
        <v>74100</v>
      </c>
      <c r="AC42" s="86" t="n">
        <f aca="false">Y42*INDEX(lg_vpu_3464,C42)</f>
        <v>16.473171</v>
      </c>
      <c r="AD42" s="86" t="n">
        <f aca="false">Z42*INDEX(lg_vpu_3463,C42)</f>
        <v>20.152236</v>
      </c>
      <c r="AE42" s="86" t="n">
        <f aca="false">AA42*INDEX(lg_vpu_3460,C42)</f>
        <v>13.164606</v>
      </c>
      <c r="AF42" s="86" t="n">
        <f aca="false">AC42+AD42+AE42</f>
        <v>49.790013</v>
      </c>
      <c r="AG42" s="85" t="n">
        <f aca="false">Y42*INDEX(lg_kpu_3464,C42)+Z42*INDEX(lg_kpu_3463,C42)+AA42*INDEX(lg_kpu_3460,C42)</f>
        <v>12171.377504</v>
      </c>
      <c r="AH42" s="87" t="n">
        <f aca="false">INDEX(in_sup_requote,1,C42)</f>
        <v>-0.05</v>
      </c>
      <c r="AI42" s="88" t="n">
        <f aca="false">Y42*q_price_3464*(1+AH42)*J42/I42</f>
        <v>3594.95833333333</v>
      </c>
      <c r="AJ42" s="88" t="n">
        <f aca="false">Z42*q_price_3463*(1+AH42)*J42/I42</f>
        <v>3395.11904761905</v>
      </c>
      <c r="AK42" s="88" t="n">
        <f aca="false">AA42*q_price_3460*(1+AH42)*J42/I42</f>
        <v>2965.35714285714</v>
      </c>
      <c r="AL42" s="88" t="n">
        <f aca="false">AI42+AJ42+AK42</f>
        <v>9955.43452380952</v>
      </c>
      <c r="AM42" s="88" t="n">
        <f aca="false">IF(OR(K42=2,K42=3),AL42*INDEX(in_sup_vat_rate,1,C42),0)</f>
        <v>0</v>
      </c>
      <c r="AN42" s="88" t="n">
        <f aca="false">IF(K42=3,AM42,0)</f>
        <v>0</v>
      </c>
      <c r="AO42" s="88" t="n">
        <f aca="false">INDEX(in_sup_tooling_egp,1,C42)/I42</f>
        <v>0</v>
      </c>
      <c r="AP42" s="88" t="n">
        <f aca="false">IF(F42=4,INDEX(in_ori_lcl_truck,1,C42)*V42/I42+INDEX(in_ori_lcl_cfs_o,1,C42),G42*(IF(F42=1,INDEX(in_ori_truck_20,1,C42),INDEX(in_ori_truck_40,1,C42))*V42/I42+INDEX(in_ori_terminal,1,C42)+IF(F42=1,INDEX(in_ori_othc_20,1,C42),INDEX(in_ori_othc_40,1,C42))*(1-INDEX(in_ori_othc_in_freight,1,C42))+INDEX(in_ori_seal,1,C42)+INDEX(in_ori_inspection,1,C42)+INDEX(in_ori_dd_days,1,C42)*IF(F42=1,INDEX(in_ori_dd_20,1,C42),INDEX(in_ori_dd_40,1,C42))+INDEX(in_ori_loading_egp,1,C42)/I42))</f>
        <v>457.465201465201</v>
      </c>
      <c r="AQ42" s="88" t="n">
        <f aca="false">(INDEX(in_ori_clearance,1,C42)+INDEX(in_ori_coo,1,C42))/I42+INDEX(in_ori_bl_fee,1,C42)+INDEX(in_ori_fwd_fee,1,C42)+INDEX(in_ori_qc,1,C42)+INDEX(in_ori_wires,1,C42)*INDEX(in_ori_wire_fee,1,C42)</f>
        <v>298.260073260073</v>
      </c>
      <c r="AR42" s="88" t="n">
        <f aca="false">AP42+AQ42</f>
        <v>755.725274725275</v>
      </c>
      <c r="AS42" s="85" t="n">
        <f aca="false">INDEX(tbl_port_diff,H42,C42)</f>
        <v>0</v>
      </c>
      <c r="AT42" s="88" t="n">
        <f aca="false">IF(F42=4,MAX(AF42*INDEX(in_oce_lcl_factor,1,C42),AG42/1000,1)*INDEX(in_oce_lcl_rate,1,C42)*M42,G42*(INDEX(tbl_ocean_rate,MIN(F42,3),C42)+AS42)*M42)</f>
        <v>2800</v>
      </c>
      <c r="AU42" s="88" t="n">
        <f aca="false">AT42+INDEX(in_oce_ams,1,C42)</f>
        <v>2830</v>
      </c>
      <c r="AV42" s="88" t="n">
        <f aca="false">AI42*(1+IF(K42=3,INDEX(in_sup_vat_rate,1,C42),0))+AO42*Y42/AB42</f>
        <v>3594.95833333333</v>
      </c>
      <c r="AW42" s="88" t="n">
        <f aca="false">AJ42*(1+IF(K42=3,INDEX(in_sup_vat_rate,1,C42),0))+AO42*Z42/AB42</f>
        <v>3395.11904761905</v>
      </c>
      <c r="AX42" s="88" t="n">
        <f aca="false">AK42*(1+IF(K42=3,INDEX(in_sup_vat_rate,1,C42),0))+AO42*AA42/AB42</f>
        <v>2965.35714285714</v>
      </c>
      <c r="AY42" s="88" t="n">
        <f aca="false">AV42+AW42+AX42</f>
        <v>9955.43452380952</v>
      </c>
      <c r="AZ42" s="88" t="n">
        <f aca="false">MAX(INDEX(in_oce_ins_min,1,C42),INDEX(in_oce_ins_rate,1,C42)*(1+INDEX(in_oce_ins_uplift,1,C42))*(AL42+AO42+AR42+AU42))*(1-INDEX(in_oce_ins_in_other,1,C42))</f>
        <v>50</v>
      </c>
      <c r="BA42" s="87" t="n">
        <f aca="false">INDEX(in_cus_mfn,1,C42)+L42</f>
        <v>0</v>
      </c>
      <c r="BB42" s="88" t="n">
        <f aca="false">AY42*BA42</f>
        <v>0</v>
      </c>
      <c r="BC42" s="88" t="n">
        <f aca="false">MIN(MAX(AY42*INDEX(in_cus_mpf_rate,1,C42),INDEX(in_cus_mpf_min,1,C42)),INDEX(in_cus_mpf_max,1,C42))</f>
        <v>34.58</v>
      </c>
      <c r="BD42" s="88" t="n">
        <f aca="false">AY42*INDEX(in_cus_hmf,1,C42)</f>
        <v>12.4442931547619</v>
      </c>
      <c r="BE42" s="88" t="n">
        <f aca="false">MAX(INDEX(in_cus_stb_min,1,C42),INDEX(in_cus_stb_rate,1,C42)/1000*(AY42+BB42+BC42+BD42))</f>
        <v>50</v>
      </c>
      <c r="BF42" s="88" t="n">
        <f aca="false">INDEX(in_cus_broker,1,C42)+INDEX(in_cus_isf,1,C42)+INDEX(in_cus_do_fee,1,C42)+BE42+INDEX(in_cus_isf_bond,1,C42)</f>
        <v>385</v>
      </c>
      <c r="BG42" s="88" t="n">
        <f aca="false">IF(H42=1,INDEX(in_cus_cfc,1,C42)*INDEX(ct_teu,F42)*G42*(1-INDEX(in_cus_cfc_in_freight,1,C42)),0)</f>
        <v>0</v>
      </c>
      <c r="BH42" s="88" t="n">
        <f aca="false">IF(F42=4,1,G42)*(INDEX(in_cus_exam,1,C42)+INDEX(in_cus_exam_dray,1,C42))</f>
        <v>0</v>
      </c>
      <c r="BI42" s="88" t="n">
        <f aca="false">IF(F42=4,1,G42)*INDEX(in_cus_dem_days,1,C42)*INDEX(in_cus_dem_rate,1,C42)</f>
        <v>0</v>
      </c>
      <c r="BJ42" s="88" t="n">
        <f aca="false">BG42+BH42+BI42</f>
        <v>0</v>
      </c>
      <c r="BK42" s="88" t="n">
        <f aca="false">IF(F42=4,(INDEX(in_dra_lcl_cfs_d,1,C42)+INDEX(in_dra_lcl_deliv,1,C42))*P42,G42*(INDEX(tbl_dest_line,E42,C42)*P42*(1+INDEX(in_dra_fsc,1,C42))+INDEX(tbl_dest_tolls,E42,C42)+INDEX(in_dra_chassis_days,1,C42)*INDEX(tbl_dest_chassis,E42,C42)*(1-INDEX(in_dra_chassis_in_dray,1,C42))+INDEX(in_dra_wait_hours,1,C42)*INDEX(in_dra_wait_rate,1,C42)+INDEX(in_dra_split,1,C42)+INDEX(in_dra_prepull,1,C42)+INDEX(in_dra_dryrun,1,C42)))</f>
        <v>567.5</v>
      </c>
      <c r="BL42" s="88" t="n">
        <f aca="false">IF(F42=4,0,G42*IF(F42=1,INDEX(in_dra_unload_20,1,C42),INDEX(in_dra_unload_40,1,C42))*Q42*(1-INDEX(in_dra_unload_in_dray,1,C42)))</f>
        <v>250</v>
      </c>
      <c r="BM42" s="88" t="n">
        <f aca="false">AL42+AN42+AO42+AR42+AU42+AZ42+BB42+BC42+BD42+BF42+BJ42+BK42+BL42</f>
        <v>14840.6840916896</v>
      </c>
      <c r="BN42" s="88" t="n">
        <f aca="false">AP42+AU42+BJ42+BK42+BL42</f>
        <v>4104.9652014652</v>
      </c>
      <c r="BO42" s="88" t="n">
        <f aca="false">AQ42+BF42</f>
        <v>683.260073260073</v>
      </c>
      <c r="BP42" s="88" t="n">
        <f aca="false">AI42*(1+IF(K42=3,INDEX(in_sup_vat_rate,1,C42),0))+AO42*Y42/AB42+AV42*BA42+(BC42+BD42)*AV42/AY42+AZ42*AI42/AL42+BN42*AC42/AF42+BO42*Y42/AB42</f>
        <v>5215.88736758294</v>
      </c>
      <c r="BQ42" s="88" t="n">
        <f aca="false">AJ42*(1+IF(K42=3,INDEX(in_sup_vat_rate,1,C42),0))+AO42*Z42/AB42+AW42*BA42+(BC42+BD42)*AW42/AY42+AZ42*AJ42/AL42+BN42*AD42/AF42+BO42*Z42/AB42</f>
        <v>5317.42302755743</v>
      </c>
      <c r="BR42" s="88" t="n">
        <f aca="false">AK42*(1+IF(K42=3,INDEX(in_sup_vat_rate,1,C42),0))+AO42*AA42/AB42+AX42*BA42+(BC42+BD42)*AX42/AY42+AZ42*AK42/AL42+BN42*AE42/AF42+BO42*AA42/AB42</f>
        <v>4307.37369654919</v>
      </c>
      <c r="BS42" s="89" t="n">
        <f aca="false">BP42+BQ42+BR42-BM42</f>
        <v>0</v>
      </c>
      <c r="BT42" s="85" t="n">
        <f aca="false">Y42*(1-R42)</f>
        <v>24576.5</v>
      </c>
      <c r="BU42" s="85" t="n">
        <f aca="false">Z42*(1-R42)</f>
        <v>24576.5</v>
      </c>
      <c r="BV42" s="85" t="n">
        <f aca="false">AA42*(1-R42)</f>
        <v>24576.5</v>
      </c>
      <c r="BW42" s="85" t="n">
        <f aca="false">BT42+BU42+BV42</f>
        <v>73729.5</v>
      </c>
      <c r="BX42" s="90" t="n">
        <f aca="false">IF(BT42&gt;0,BP42/BT42,0)</f>
        <v>0.212230682464262</v>
      </c>
      <c r="BY42" s="90" t="n">
        <f aca="false">IF(BU42&gt;0,BQ42/BU42,0)</f>
        <v>0.216362094991453</v>
      </c>
      <c r="BZ42" s="90" t="n">
        <f aca="false">IF(BV42&gt;0,BR42/BV42,0)</f>
        <v>0.175263918643794</v>
      </c>
      <c r="CA42" s="90" t="n">
        <f aca="false">INDEX(in_mkt_listing_3464,1,C42)*(1-IF(sku_flute_3464="B",T42,0))*(1-S42)*N42</f>
        <v>0.2856</v>
      </c>
      <c r="CB42" s="90" t="n">
        <f aca="false">INDEX(in_mkt_listing_3463,1,C42)*(1-IF(sku_flute_3463="B",T42,0))*(1-S42)*N42</f>
        <v>0.3128</v>
      </c>
      <c r="CC42" s="90" t="n">
        <f aca="false">INDEX(in_mkt_listing_3460,1,C42)*(1-IF(sku_flute_3460="B",T42,0))*(1-S42)*N42</f>
        <v>0.256</v>
      </c>
      <c r="CD42" s="88" t="n">
        <f aca="false">BT42*CA42+BU42*CB42+BV42*CC42</f>
        <v>20998.1616</v>
      </c>
      <c r="CE42" s="88" t="n">
        <f aca="false">CD42-BM42</f>
        <v>6157.47750831044</v>
      </c>
      <c r="CF42" s="87" t="n">
        <f aca="false">IF(CD42&gt;0,CE42/CD42,0)</f>
        <v>0.293238885651325</v>
      </c>
      <c r="CG42" s="87" t="n">
        <f aca="false">W42+INDEX(in_sel_processing,1,C42)+INDEX(in_sel_bad_debt,1,C42)</f>
        <v>0.0325</v>
      </c>
      <c r="CH42" s="88" t="n">
        <f aca="false">CD42*CG42</f>
        <v>682.440252</v>
      </c>
      <c r="CI42" s="88" t="n">
        <f aca="false">INDEX(in_sel_testing,1,C42)*X42+INDEX(in_sel_admin,1,C42)</f>
        <v>1250</v>
      </c>
      <c r="CJ42" s="79" t="n">
        <f aca="false">INDEX(in_sup_lead_days,1,C42)</f>
        <v>14</v>
      </c>
      <c r="CK42" s="79" t="n">
        <f aca="false">CJ42+INDEX(in_oce_transit,1,C42)+IF(F42=4,INDEX(in_oce_lcl_extra_days,1,C42),0)</f>
        <v>39</v>
      </c>
      <c r="CL42" s="79" t="n">
        <f aca="false">CK42+2+INDEX(in_cus_dem_days,1,C42)</f>
        <v>41</v>
      </c>
      <c r="CM42" s="79" t="n">
        <f aca="false">CL42+U42</f>
        <v>71</v>
      </c>
      <c r="CN42" s="79" t="n">
        <f aca="false">CJ42+INDEX(in_sup_vat_lag,1,C42)</f>
        <v>44</v>
      </c>
      <c r="CO42" s="91" t="n">
        <f aca="false">INDEX(in_sup_advance,1,C42)</f>
        <v>0.5</v>
      </c>
      <c r="CP42" s="88" t="n">
        <f aca="false">CO42*(AL42+AM42)+AO42+INDEX(in_sel_testing,1,C42)*X42</f>
        <v>5977.71726190476</v>
      </c>
      <c r="CQ42" s="88" t="n">
        <f aca="false">(1-CO42)*(AL42+AM42)+AR42+AU42+AZ42</f>
        <v>8613.44253663004</v>
      </c>
      <c r="CR42" s="88" t="n">
        <f aca="false">BB42+BC42+BD42+BF42+BJ42</f>
        <v>432.024293154762</v>
      </c>
      <c r="CS42" s="88" t="n">
        <f aca="false">BK42+BL42</f>
        <v>817.5</v>
      </c>
      <c r="CT42" s="88" t="n">
        <f aca="false">IF(K42=2,AM42,0)</f>
        <v>0</v>
      </c>
      <c r="CU42" s="85" t="n">
        <f aca="false">IF(K42=2,CO42*AM42*(CN42-0)+(1-CO42)*AM42*(CN42-CJ42),0)</f>
        <v>0</v>
      </c>
      <c r="CV42" s="85" t="n">
        <f aca="false">(CP42-CO42*CT42)*(CM42-0)+(CQ42-(1-CO42)*CT42)*(CM42-CJ42)+CR42*(CM42-CK42)+CS42*(CM42-CL42)</f>
        <v>953733.927564103</v>
      </c>
      <c r="CW42" s="88" t="n">
        <f aca="false">INDEX(in_sel_fin_rate,1,C42)/365*(CU42+CV42)</f>
        <v>209.037573164735</v>
      </c>
      <c r="CX42" s="85" t="n">
        <f aca="false">CP42-IF(CN42&lt;=0,CT42,0)</f>
        <v>5977.71726190476</v>
      </c>
      <c r="CY42" s="85" t="n">
        <f aca="false">CP42+CQ42-IF(CN42&lt;=CJ42,CT42,0)</f>
        <v>14591.1597985348</v>
      </c>
      <c r="CZ42" s="85" t="n">
        <f aca="false">CP42+CQ42+CR42-IF(CN42&lt;=CK42,CT42,0)</f>
        <v>15023.1840916896</v>
      </c>
      <c r="DA42" s="85" t="n">
        <f aca="false">CP42+CQ42+CR42+CS42-IF(CN42&lt;=CL42,CT42,0)</f>
        <v>15840.6840916896</v>
      </c>
      <c r="DB42" s="88" t="n">
        <f aca="false">MAX(CX42,CY42,CZ42,DA42)</f>
        <v>15840.6840916896</v>
      </c>
      <c r="DC42" s="88" t="n">
        <f aca="false">CP42+CQ42+CR42+CS42</f>
        <v>15840.6840916896</v>
      </c>
      <c r="DD42" s="88" t="n">
        <f aca="false">CE42-CH42-CI42-CW42</f>
        <v>4015.9996831457</v>
      </c>
      <c r="DE42" s="87" t="n">
        <f aca="false">IF(CD42&gt;0,DD42/CD42,0)</f>
        <v>0.191254823143456</v>
      </c>
      <c r="DF42" s="86" t="n">
        <f aca="false">IF(CD42&gt;0,(BM42+CI42+CW42)/(CD42*(1-CG42)),0)</f>
        <v>0.802320596234154</v>
      </c>
      <c r="DG42" s="90" t="n">
        <f aca="false">IF(BW42&gt;0,BM42/BW42,0)</f>
        <v>0.201285565366503</v>
      </c>
      <c r="DH42" s="90" t="n">
        <f aca="false">IF(BW42&gt;0,CD42/BW42,0)</f>
        <v>0.2848</v>
      </c>
      <c r="DI42" s="90" t="n">
        <f aca="false">IF(AI42&gt;0,(AI42*IF(K42=3,INDEX(in_sup_vat_rate,1,C42),0)+AV42*BA42+(BC42+BD42)*AV42/AY42+AZ42*AI42/AL42)/AI42,0)</f>
        <v>0.00974586221452389</v>
      </c>
      <c r="DJ42" s="90" t="n">
        <f aca="false">IF(AJ42&gt;0,(AJ42*IF(K42=3,INDEX(in_sup_vat_rate,1,C42),0)+AW42*BA42+(BC42+BD42)*AW42/AY42+AZ42*AJ42/AL42)/AJ42,0)</f>
        <v>0.00974586221452389</v>
      </c>
      <c r="DK42" s="90" t="n">
        <f aca="false">IF(AK42&gt;0,(AK42*IF(K42=3,INDEX(in_sup_vat_rate,1,C42),0)+AX42*BA42+(BC42+BD42)*AX42/AY42+AZ42*AK42/AL42)/AK42,0)</f>
        <v>0.00974586221452389</v>
      </c>
      <c r="DL42" s="90" t="n">
        <f aca="false">IF(Y42&gt;0,(BP42-AI42*(1+DI42))/Y42,0)</f>
        <v>0.0642061969905256</v>
      </c>
      <c r="DM42" s="90" t="n">
        <f aca="false">IF(Z42&gt;0,(BQ42-AJ42*(1+DJ42))/Z42,0)</f>
        <v>0.0764864622468982</v>
      </c>
      <c r="DN42" s="90" t="n">
        <f aca="false">IF(AA42&gt;0,(BR42-AK42*(1+DK42))/AA42,0)</f>
        <v>0.0531626150429518</v>
      </c>
      <c r="DO42" s="86" t="n">
        <f aca="false">IF(Y42&gt;0,(CA42*(1-thr_gm_go)*(1-R42)-DL42)/(1+DI42)*I42/((1+AH42)*J42),"")</f>
        <v>8.47653104825948</v>
      </c>
      <c r="DP42" s="86" t="n">
        <f aca="false">IF(Z42&gt;0,(CB42*(1-thr_gm_go)*(1-R42)-DM42)/(1+DJ42)*I42/((1+AH42)*J42),"")</f>
        <v>8.93289217038222</v>
      </c>
      <c r="DQ42" s="86" t="n">
        <f aca="false">IF(AA42&gt;0,(CC42*(1-thr_gm_go)*(1-R42)-DN42)/(1+DK42)*I42/((1+AH42)*J42),"")</f>
        <v>7.84783734138344</v>
      </c>
      <c r="DR42" s="92" t="n">
        <f aca="false">IF(AND(AY42*INDEX(in_cus_mpf_rate,1,C42)&gt;INDEX(in_cus_mpf_min,1,C42),AY42*INDEX(in_cus_mpf_rate,1,C42)&lt;INDEX(in_cus_mpf_max,1,C42)),INDEX(in_cus_mpf_rate,1,C42),0)</f>
        <v>0</v>
      </c>
      <c r="DS42" s="88" t="n">
        <f aca="false">IF(AZ42&gt;INDEX(in_oce_ins_min,1,C42),INDEX(in_oce_ins_rate,1,C42)*(1+INDEX(in_oce_ins_uplift,1,C42))*AL42,0)</f>
        <v>0</v>
      </c>
      <c r="DT42" s="88" t="n">
        <f aca="false">(AL42+AN42)*(1+BA42+INDEX(in_cus_hmf,1,C42)+DR42)+DS42</f>
        <v>9967.87881696429</v>
      </c>
      <c r="DU42" s="86" t="n">
        <f aca="false">IF(DT42&gt;0,(CD42*(1-thr_gm_go)-(BM42-DT42))/DT42,0)</f>
        <v>1.09108629077284</v>
      </c>
      <c r="DV42" s="86" t="n">
        <f aca="false">IF(DT42&gt;0,(CD42-(BM42-DT42))/DT42,0)</f>
        <v>1.61773197902758</v>
      </c>
      <c r="DW42" s="87" t="n">
        <f aca="false">(1+AH42)*J42*DU42-1</f>
        <v>0.0365319762341978</v>
      </c>
      <c r="DX42" s="87" t="n">
        <f aca="false">(1+AH42)*J42*DV42-1</f>
        <v>0.536845380076201</v>
      </c>
      <c r="DY42" s="85" t="n">
        <f aca="false">IF(G42&gt;0,(CD42*(1-thr_gm_go)-(BM42-AT42))/G42,"")</f>
        <v>3707.93710831044</v>
      </c>
      <c r="DZ42" s="90" t="n">
        <f aca="false">IF(AB42&gt;0,(AL42+AN42+BB42+BC42+BD42)/AB42,0)</f>
        <v>0.134985948946886</v>
      </c>
      <c r="EA42" s="88" t="n">
        <f aca="false">BM42-DZ42*AB42</f>
        <v>4838.22527472528</v>
      </c>
      <c r="EB42" s="90" t="n">
        <f aca="false">IF(AB42&gt;0,CD42/AB42,0)</f>
        <v>0.283376</v>
      </c>
      <c r="EC42" s="85" t="n">
        <f aca="false">IF(EB42*(1-thr_gm_go)-DZ42&gt;0,EA42/(EB42*(1-thr_gm_go)-DZ42),"n/a")</f>
        <v>62391.6396646869</v>
      </c>
      <c r="ED42" s="85" t="n">
        <f aca="false">IF(EB42-DZ42&gt;0,EA42/(EB42-DZ42),"n/a")</f>
        <v>32604.7820617941</v>
      </c>
      <c r="EE42" s="93" t="b">
        <f aca="false">INDEX(cfg_fits,D42,C42)</f>
        <v>1</v>
      </c>
      <c r="EF42" s="87" t="n">
        <f aca="false">IF(F42=4,"",INDEX(cfg_lenutil,D42,C42))</f>
        <v>0.999580888516345</v>
      </c>
      <c r="EG42" s="31" t="str">
        <f aca="false">IF(O42&gt;1,"Check fit (units scaled up)","")</f>
        <v/>
      </c>
    </row>
    <row r="43" customFormat="false" ht="15" hidden="false" customHeight="false" outlineLevel="0" collapsed="false">
      <c r="A43" s="78" t="n">
        <v>1084</v>
      </c>
      <c r="B43" s="9" t="s">
        <v>3191</v>
      </c>
      <c r="C43" s="78" t="n">
        <v>1</v>
      </c>
      <c r="D43" s="78" t="n">
        <v>8</v>
      </c>
      <c r="E43" s="78" t="n">
        <v>4</v>
      </c>
      <c r="F43" s="79" t="n">
        <f aca="false">INDEX(cfg_ct,D43)</f>
        <v>2</v>
      </c>
      <c r="G43" s="79" t="n">
        <f aca="false">INDEX(cfg_n,D43)</f>
        <v>1</v>
      </c>
      <c r="H43" s="79" t="n">
        <f aca="false">INDEX(dest_port,E43)</f>
        <v>3</v>
      </c>
      <c r="I43" s="80" t="n">
        <f aca="false">INDEX(in_fx_cbe,1,C43)*(1-INDEX(in_fx_spread,1,C43))</f>
        <v>54.6</v>
      </c>
      <c r="J43" s="81" t="n">
        <f aca="false">1</f>
        <v>1</v>
      </c>
      <c r="K43" s="82" t="n">
        <f aca="false">INDEX(in_sup_vat_mode,1,C43)</f>
        <v>1</v>
      </c>
      <c r="L43" s="83" t="n">
        <f aca="false">INDEX(in_cus_s301,1,C43)</f>
        <v>0</v>
      </c>
      <c r="M43" s="84" t="n">
        <f aca="false">1</f>
        <v>1</v>
      </c>
      <c r="N43" s="81" t="n">
        <f aca="false">1</f>
        <v>1</v>
      </c>
      <c r="O43" s="81" t="n">
        <f aca="false">1</f>
        <v>1</v>
      </c>
      <c r="P43" s="81" t="n">
        <f aca="false">1</f>
        <v>1</v>
      </c>
      <c r="Q43" s="81" t="n">
        <f aca="false">1</f>
        <v>1</v>
      </c>
      <c r="R43" s="83" t="n">
        <f aca="false">INDEX(in_sel_damage,1,C43)</f>
        <v>0.005</v>
      </c>
      <c r="S43" s="83" t="n">
        <f aca="false">INDEX(in_mkt_dist_margin,1,C43)</f>
        <v>0.2</v>
      </c>
      <c r="T43" s="83" t="n">
        <f aca="false">INDEX(in_mkt_eflute_disc,1,C43)</f>
        <v>0.15</v>
      </c>
      <c r="U43" s="82" t="n">
        <f aca="false">INDEX(in_sel_credit_days,1,C43)</f>
        <v>30</v>
      </c>
      <c r="V43" s="81" t="n">
        <f aca="false">1</f>
        <v>1</v>
      </c>
      <c r="W43" s="83" t="n">
        <f aca="false">INDEX(in_sel_commission,1,C43)</f>
        <v>0.03</v>
      </c>
      <c r="X43" s="82" t="n">
        <f aca="false">1</f>
        <v>1</v>
      </c>
      <c r="Y43" s="85" t="n">
        <f aca="false">INDEX(cfg_u_3464,D43,C43)*O43</f>
        <v>24700</v>
      </c>
      <c r="Z43" s="85" t="n">
        <f aca="false">INDEX(cfg_u_3463,D43,C43)*O43</f>
        <v>24700</v>
      </c>
      <c r="AA43" s="85" t="n">
        <f aca="false">INDEX(cfg_u_3460,D43,C43)*O43</f>
        <v>24700</v>
      </c>
      <c r="AB43" s="85" t="n">
        <f aca="false">Y43+Z43+AA43</f>
        <v>74100</v>
      </c>
      <c r="AC43" s="86" t="n">
        <f aca="false">Y43*INDEX(lg_vpu_3464,C43)</f>
        <v>16.473171</v>
      </c>
      <c r="AD43" s="86" t="n">
        <f aca="false">Z43*INDEX(lg_vpu_3463,C43)</f>
        <v>20.152236</v>
      </c>
      <c r="AE43" s="86" t="n">
        <f aca="false">AA43*INDEX(lg_vpu_3460,C43)</f>
        <v>13.164606</v>
      </c>
      <c r="AF43" s="86" t="n">
        <f aca="false">AC43+AD43+AE43</f>
        <v>49.790013</v>
      </c>
      <c r="AG43" s="85" t="n">
        <f aca="false">Y43*INDEX(lg_kpu_3464,C43)+Z43*INDEX(lg_kpu_3463,C43)+AA43*INDEX(lg_kpu_3460,C43)</f>
        <v>12171.377504</v>
      </c>
      <c r="AH43" s="87" t="n">
        <f aca="false">INDEX(in_sup_requote,1,C43)</f>
        <v>-0.05</v>
      </c>
      <c r="AI43" s="88" t="n">
        <f aca="false">Y43*q_price_3464*(1+AH43)*J43/I43</f>
        <v>3594.95833333333</v>
      </c>
      <c r="AJ43" s="88" t="n">
        <f aca="false">Z43*q_price_3463*(1+AH43)*J43/I43</f>
        <v>3395.11904761905</v>
      </c>
      <c r="AK43" s="88" t="n">
        <f aca="false">AA43*q_price_3460*(1+AH43)*J43/I43</f>
        <v>2965.35714285714</v>
      </c>
      <c r="AL43" s="88" t="n">
        <f aca="false">AI43+AJ43+AK43</f>
        <v>9955.43452380952</v>
      </c>
      <c r="AM43" s="88" t="n">
        <f aca="false">IF(OR(K43=2,K43=3),AL43*INDEX(in_sup_vat_rate,1,C43),0)</f>
        <v>0</v>
      </c>
      <c r="AN43" s="88" t="n">
        <f aca="false">IF(K43=3,AM43,0)</f>
        <v>0</v>
      </c>
      <c r="AO43" s="88" t="n">
        <f aca="false">INDEX(in_sup_tooling_egp,1,C43)/I43</f>
        <v>0</v>
      </c>
      <c r="AP43" s="88" t="n">
        <f aca="false">IF(F43=4,INDEX(in_ori_lcl_truck,1,C43)*V43/I43+INDEX(in_ori_lcl_cfs_o,1,C43),G43*(IF(F43=1,INDEX(in_ori_truck_20,1,C43),INDEX(in_ori_truck_40,1,C43))*V43/I43+INDEX(in_ori_terminal,1,C43)+IF(F43=1,INDEX(in_ori_othc_20,1,C43),INDEX(in_ori_othc_40,1,C43))*(1-INDEX(in_ori_othc_in_freight,1,C43))+INDEX(in_ori_seal,1,C43)+INDEX(in_ori_inspection,1,C43)+INDEX(in_ori_dd_days,1,C43)*IF(F43=1,INDEX(in_ori_dd_20,1,C43),INDEX(in_ori_dd_40,1,C43))+INDEX(in_ori_loading_egp,1,C43)/I43))</f>
        <v>457.465201465201</v>
      </c>
      <c r="AQ43" s="88" t="n">
        <f aca="false">(INDEX(in_ori_clearance,1,C43)+INDEX(in_ori_coo,1,C43))/I43+INDEX(in_ori_bl_fee,1,C43)+INDEX(in_ori_fwd_fee,1,C43)+INDEX(in_ori_qc,1,C43)+INDEX(in_ori_wires,1,C43)*INDEX(in_ori_wire_fee,1,C43)</f>
        <v>298.260073260073</v>
      </c>
      <c r="AR43" s="88" t="n">
        <f aca="false">AP43+AQ43</f>
        <v>755.725274725275</v>
      </c>
      <c r="AS43" s="85" t="n">
        <f aca="false">INDEX(tbl_port_diff,H43,C43)</f>
        <v>0</v>
      </c>
      <c r="AT43" s="88" t="n">
        <f aca="false">IF(F43=4,MAX(AF43*INDEX(in_oce_lcl_factor,1,C43),AG43/1000,1)*INDEX(in_oce_lcl_rate,1,C43)*M43,G43*(INDEX(tbl_ocean_rate,MIN(F43,3),C43)+AS43)*M43)</f>
        <v>2800</v>
      </c>
      <c r="AU43" s="88" t="n">
        <f aca="false">AT43+INDEX(in_oce_ams,1,C43)</f>
        <v>2830</v>
      </c>
      <c r="AV43" s="88" t="n">
        <f aca="false">AI43*(1+IF(K43=3,INDEX(in_sup_vat_rate,1,C43),0))+AO43*Y43/AB43</f>
        <v>3594.95833333333</v>
      </c>
      <c r="AW43" s="88" t="n">
        <f aca="false">AJ43*(1+IF(K43=3,INDEX(in_sup_vat_rate,1,C43),0))+AO43*Z43/AB43</f>
        <v>3395.11904761905</v>
      </c>
      <c r="AX43" s="88" t="n">
        <f aca="false">AK43*(1+IF(K43=3,INDEX(in_sup_vat_rate,1,C43),0))+AO43*AA43/AB43</f>
        <v>2965.35714285714</v>
      </c>
      <c r="AY43" s="88" t="n">
        <f aca="false">AV43+AW43+AX43</f>
        <v>9955.43452380952</v>
      </c>
      <c r="AZ43" s="88" t="n">
        <f aca="false">MAX(INDEX(in_oce_ins_min,1,C43),INDEX(in_oce_ins_rate,1,C43)*(1+INDEX(in_oce_ins_uplift,1,C43))*(AL43+AO43+AR43+AU43))*(1-INDEX(in_oce_ins_in_other,1,C43))</f>
        <v>50</v>
      </c>
      <c r="BA43" s="87" t="n">
        <f aca="false">INDEX(in_cus_mfn,1,C43)+L43</f>
        <v>0</v>
      </c>
      <c r="BB43" s="88" t="n">
        <f aca="false">AY43*BA43</f>
        <v>0</v>
      </c>
      <c r="BC43" s="88" t="n">
        <f aca="false">MIN(MAX(AY43*INDEX(in_cus_mpf_rate,1,C43),INDEX(in_cus_mpf_min,1,C43)),INDEX(in_cus_mpf_max,1,C43))</f>
        <v>34.58</v>
      </c>
      <c r="BD43" s="88" t="n">
        <f aca="false">AY43*INDEX(in_cus_hmf,1,C43)</f>
        <v>12.4442931547619</v>
      </c>
      <c r="BE43" s="88" t="n">
        <f aca="false">MAX(INDEX(in_cus_stb_min,1,C43),INDEX(in_cus_stb_rate,1,C43)/1000*(AY43+BB43+BC43+BD43))</f>
        <v>50</v>
      </c>
      <c r="BF43" s="88" t="n">
        <f aca="false">INDEX(in_cus_broker,1,C43)+INDEX(in_cus_isf,1,C43)+INDEX(in_cus_do_fee,1,C43)+BE43+INDEX(in_cus_isf_bond,1,C43)</f>
        <v>385</v>
      </c>
      <c r="BG43" s="88" t="n">
        <f aca="false">IF(H43=1,INDEX(in_cus_cfc,1,C43)*INDEX(ct_teu,F43)*G43*(1-INDEX(in_cus_cfc_in_freight,1,C43)),0)</f>
        <v>0</v>
      </c>
      <c r="BH43" s="88" t="n">
        <f aca="false">IF(F43=4,1,G43)*(INDEX(in_cus_exam,1,C43)+INDEX(in_cus_exam_dray,1,C43))</f>
        <v>0</v>
      </c>
      <c r="BI43" s="88" t="n">
        <f aca="false">IF(F43=4,1,G43)*INDEX(in_cus_dem_days,1,C43)*INDEX(in_cus_dem_rate,1,C43)</f>
        <v>0</v>
      </c>
      <c r="BJ43" s="88" t="n">
        <f aca="false">BG43+BH43+BI43</f>
        <v>0</v>
      </c>
      <c r="BK43" s="88" t="n">
        <f aca="false">IF(F43=4,(INDEX(in_dra_lcl_cfs_d,1,C43)+INDEX(in_dra_lcl_deliv,1,C43))*P43,G43*(INDEX(tbl_dest_line,E43,C43)*P43*(1+INDEX(in_dra_fsc,1,C43))+INDEX(tbl_dest_tolls,E43,C43)+INDEX(in_dra_chassis_days,1,C43)*INDEX(tbl_dest_chassis,E43,C43)*(1-INDEX(in_dra_chassis_in_dray,1,C43))+INDEX(in_dra_wait_hours,1,C43)*INDEX(in_dra_wait_rate,1,C43)+INDEX(in_dra_split,1,C43)+INDEX(in_dra_prepull,1,C43)+INDEX(in_dra_dryrun,1,C43)))</f>
        <v>1027.5</v>
      </c>
      <c r="BL43" s="88" t="n">
        <f aca="false">IF(F43=4,0,G43*IF(F43=1,INDEX(in_dra_unload_20,1,C43),INDEX(in_dra_unload_40,1,C43))*Q43*(1-INDEX(in_dra_unload_in_dray,1,C43)))</f>
        <v>250</v>
      </c>
      <c r="BM43" s="88" t="n">
        <f aca="false">AL43+AN43+AO43+AR43+AU43+AZ43+BB43+BC43+BD43+BF43+BJ43+BK43+BL43</f>
        <v>15300.6840916896</v>
      </c>
      <c r="BN43" s="88" t="n">
        <f aca="false">AP43+AU43+BJ43+BK43+BL43</f>
        <v>4564.9652014652</v>
      </c>
      <c r="BO43" s="88" t="n">
        <f aca="false">AQ43+BF43</f>
        <v>683.260073260073</v>
      </c>
      <c r="BP43" s="88" t="n">
        <f aca="false">AI43*(1+IF(K43=3,INDEX(in_sup_vat_rate,1,C43),0))+AO43*Y43/AB43+AV43*BA43+(BC43+BD43)*AV43/AY43+AZ43*AI43/AL43+BN43*AC43/AF43+BO43*Y43/AB43</f>
        <v>5368.07970904708</v>
      </c>
      <c r="BQ43" s="88" t="n">
        <f aca="false">AJ43*(1+IF(K43=3,INDEX(in_sup_vat_rate,1,C43),0))+AO43*Z43/AB43+AW43*BA43+(BC43+BD43)*AW43/AY43+AZ43*AJ43/AL43+BN43*AD43/AF43+BO43*Z43/AB43</f>
        <v>5503.60551680483</v>
      </c>
      <c r="BR43" s="88" t="n">
        <f aca="false">AK43*(1+IF(K43=3,INDEX(in_sup_vat_rate,1,C43),0))+AO43*AA43/AB43+AX43*BA43+(BC43+BD43)*AX43/AY43+AZ43*AK43/AL43+BN43*AE43/AF43+BO43*AA43/AB43</f>
        <v>4428.99886583766</v>
      </c>
      <c r="BS43" s="89" t="n">
        <f aca="false">BP43+BQ43+BR43-BM43</f>
        <v>0</v>
      </c>
      <c r="BT43" s="85" t="n">
        <f aca="false">Y43*(1-R43)</f>
        <v>24576.5</v>
      </c>
      <c r="BU43" s="85" t="n">
        <f aca="false">Z43*(1-R43)</f>
        <v>24576.5</v>
      </c>
      <c r="BV43" s="85" t="n">
        <f aca="false">AA43*(1-R43)</f>
        <v>24576.5</v>
      </c>
      <c r="BW43" s="85" t="n">
        <f aca="false">BT43+BU43+BV43</f>
        <v>73729.5</v>
      </c>
      <c r="BX43" s="90" t="n">
        <f aca="false">IF(BT43&gt;0,BP43/BT43,0)</f>
        <v>0.218423278703114</v>
      </c>
      <c r="BY43" s="90" t="n">
        <f aca="false">IF(BU43&gt;0,BQ43/BU43,0)</f>
        <v>0.223937725746336</v>
      </c>
      <c r="BZ43" s="90" t="n">
        <f aca="false">IF(BV43&gt;0,BR43/BV43,0)</f>
        <v>0.18021275876702</v>
      </c>
      <c r="CA43" s="90" t="n">
        <f aca="false">INDEX(in_mkt_listing_3464,1,C43)*(1-IF(sku_flute_3464="B",T43,0))*(1-S43)*N43</f>
        <v>0.2856</v>
      </c>
      <c r="CB43" s="90" t="n">
        <f aca="false">INDEX(in_mkt_listing_3463,1,C43)*(1-IF(sku_flute_3463="B",T43,0))*(1-S43)*N43</f>
        <v>0.3128</v>
      </c>
      <c r="CC43" s="90" t="n">
        <f aca="false">INDEX(in_mkt_listing_3460,1,C43)*(1-IF(sku_flute_3460="B",T43,0))*(1-S43)*N43</f>
        <v>0.256</v>
      </c>
      <c r="CD43" s="88" t="n">
        <f aca="false">BT43*CA43+BU43*CB43+BV43*CC43</f>
        <v>20998.1616</v>
      </c>
      <c r="CE43" s="88" t="n">
        <f aca="false">CD43-BM43</f>
        <v>5697.47750831044</v>
      </c>
      <c r="CF43" s="87" t="n">
        <f aca="false">IF(CD43&gt;0,CE43/CD43,0)</f>
        <v>0.271332205973233</v>
      </c>
      <c r="CG43" s="87" t="n">
        <f aca="false">W43+INDEX(in_sel_processing,1,C43)+INDEX(in_sel_bad_debt,1,C43)</f>
        <v>0.0325</v>
      </c>
      <c r="CH43" s="88" t="n">
        <f aca="false">CD43*CG43</f>
        <v>682.440252</v>
      </c>
      <c r="CI43" s="88" t="n">
        <f aca="false">INDEX(in_sel_testing,1,C43)*X43+INDEX(in_sel_admin,1,C43)</f>
        <v>1250</v>
      </c>
      <c r="CJ43" s="79" t="n">
        <f aca="false">INDEX(in_sup_lead_days,1,C43)</f>
        <v>14</v>
      </c>
      <c r="CK43" s="79" t="n">
        <f aca="false">CJ43+INDEX(in_oce_transit,1,C43)+IF(F43=4,INDEX(in_oce_lcl_extra_days,1,C43),0)</f>
        <v>39</v>
      </c>
      <c r="CL43" s="79" t="n">
        <f aca="false">CK43+2+INDEX(in_cus_dem_days,1,C43)</f>
        <v>41</v>
      </c>
      <c r="CM43" s="79" t="n">
        <f aca="false">CL43+U43</f>
        <v>71</v>
      </c>
      <c r="CN43" s="79" t="n">
        <f aca="false">CJ43+INDEX(in_sup_vat_lag,1,C43)</f>
        <v>44</v>
      </c>
      <c r="CO43" s="91" t="n">
        <f aca="false">INDEX(in_sup_advance,1,C43)</f>
        <v>0.5</v>
      </c>
      <c r="CP43" s="88" t="n">
        <f aca="false">CO43*(AL43+AM43)+AO43+INDEX(in_sel_testing,1,C43)*X43</f>
        <v>5977.71726190476</v>
      </c>
      <c r="CQ43" s="88" t="n">
        <f aca="false">(1-CO43)*(AL43+AM43)+AR43+AU43+AZ43</f>
        <v>8613.44253663004</v>
      </c>
      <c r="CR43" s="88" t="n">
        <f aca="false">BB43+BC43+BD43+BF43+BJ43</f>
        <v>432.024293154762</v>
      </c>
      <c r="CS43" s="88" t="n">
        <f aca="false">BK43+BL43</f>
        <v>1277.5</v>
      </c>
      <c r="CT43" s="88" t="n">
        <f aca="false">IF(K43=2,AM43,0)</f>
        <v>0</v>
      </c>
      <c r="CU43" s="85" t="n">
        <f aca="false">IF(K43=2,CO43*AM43*(CN43-0)+(1-CO43)*AM43*(CN43-CJ43),0)</f>
        <v>0</v>
      </c>
      <c r="CV43" s="85" t="n">
        <f aca="false">(CP43-CO43*CT43)*(CM43-0)+(CQ43-(1-CO43)*CT43)*(CM43-CJ43)+CR43*(CM43-CK43)+CS43*(CM43-CL43)</f>
        <v>967533.927564103</v>
      </c>
      <c r="CW43" s="88" t="n">
        <f aca="false">INDEX(in_sel_fin_rate,1,C43)/365*(CU43+CV43)</f>
        <v>212.062230698981</v>
      </c>
      <c r="CX43" s="85" t="n">
        <f aca="false">CP43-IF(CN43&lt;=0,CT43,0)</f>
        <v>5977.71726190476</v>
      </c>
      <c r="CY43" s="85" t="n">
        <f aca="false">CP43+CQ43-IF(CN43&lt;=CJ43,CT43,0)</f>
        <v>14591.1597985348</v>
      </c>
      <c r="CZ43" s="85" t="n">
        <f aca="false">CP43+CQ43+CR43-IF(CN43&lt;=CK43,CT43,0)</f>
        <v>15023.1840916896</v>
      </c>
      <c r="DA43" s="85" t="n">
        <f aca="false">CP43+CQ43+CR43+CS43-IF(CN43&lt;=CL43,CT43,0)</f>
        <v>16300.6840916896</v>
      </c>
      <c r="DB43" s="88" t="n">
        <f aca="false">MAX(CX43,CY43,CZ43,DA43)</f>
        <v>16300.6840916896</v>
      </c>
      <c r="DC43" s="88" t="n">
        <f aca="false">CP43+CQ43+CR43+CS43</f>
        <v>16300.6840916896</v>
      </c>
      <c r="DD43" s="88" t="n">
        <f aca="false">CE43-CH43-CI43-CW43</f>
        <v>3552.97502561146</v>
      </c>
      <c r="DE43" s="87" t="n">
        <f aca="false">IF(CD43&gt;0,DD43/CD43,0)</f>
        <v>0.169204099544193</v>
      </c>
      <c r="DF43" s="86" t="n">
        <f aca="false">IF(CD43&gt;0,(BM43+CI43+CW43)/(CD43*(1-CG43)),0)</f>
        <v>0.825112041814787</v>
      </c>
      <c r="DG43" s="90" t="n">
        <f aca="false">IF(BW43&gt;0,BM43/BW43,0)</f>
        <v>0.207524587738823</v>
      </c>
      <c r="DH43" s="90" t="n">
        <f aca="false">IF(BW43&gt;0,CD43/BW43,0)</f>
        <v>0.2848</v>
      </c>
      <c r="DI43" s="90" t="n">
        <f aca="false">IF(AI43&gt;0,(AI43*IF(K43=3,INDEX(in_sup_vat_rate,1,C43),0)+AV43*BA43+(BC43+BD43)*AV43/AY43+AZ43*AI43/AL43)/AI43,0)</f>
        <v>0.00974586221452389</v>
      </c>
      <c r="DJ43" s="90" t="n">
        <f aca="false">IF(AJ43&gt;0,(AJ43*IF(K43=3,INDEX(in_sup_vat_rate,1,C43),0)+AW43*BA43+(BC43+BD43)*AW43/AY43+AZ43*AJ43/AL43)/AJ43,0)</f>
        <v>0.00974586221452389</v>
      </c>
      <c r="DK43" s="90" t="n">
        <f aca="false">IF(AK43&gt;0,(AK43*IF(K43=3,INDEX(in_sup_vat_rate,1,C43),0)+AX43*BA43+(BC43+BD43)*AX43/AY43+AZ43*AK43/AL43)/AK43,0)</f>
        <v>0.00974586221452389</v>
      </c>
      <c r="DL43" s="90" t="n">
        <f aca="false">IF(Y43&gt;0,(BP43-AI43*(1+DI43))/Y43,0)</f>
        <v>0.0703678302481831</v>
      </c>
      <c r="DM43" s="90" t="n">
        <f aca="false">IF(Z43&gt;0,(BQ43-AJ43*(1+DJ43))/Z43,0)</f>
        <v>0.0840242148480072</v>
      </c>
      <c r="DN43" s="90" t="n">
        <f aca="false">IF(AA43&gt;0,(BR43-AK43*(1+DK43))/AA43,0)</f>
        <v>0.0580867109655618</v>
      </c>
      <c r="DO43" s="86" t="n">
        <f aca="false">IF(Y43&gt;0,(CA43*(1-thr_gm_go)*(1-R43)-DL43)/(1+DI43)*I43/((1+AH43)*J43),"")</f>
        <v>8.12581729213176</v>
      </c>
      <c r="DP43" s="86" t="n">
        <f aca="false">IF(Z43&gt;0,(CB43*(1-thr_gm_go)*(1-R43)-DM43)/(1+DJ43)*I43/((1+AH43)*J43),"")</f>
        <v>8.50385113256792</v>
      </c>
      <c r="DQ43" s="86" t="n">
        <f aca="false">IF(AA43&gt;0,(CC43*(1-thr_gm_go)*(1-R43)-DN43)/(1+DK43)*I43/((1+AH43)*J43),"")</f>
        <v>7.56756292316721</v>
      </c>
      <c r="DR43" s="92" t="n">
        <f aca="false">IF(AND(AY43*INDEX(in_cus_mpf_rate,1,C43)&gt;INDEX(in_cus_mpf_min,1,C43),AY43*INDEX(in_cus_mpf_rate,1,C43)&lt;INDEX(in_cus_mpf_max,1,C43)),INDEX(in_cus_mpf_rate,1,C43),0)</f>
        <v>0</v>
      </c>
      <c r="DS43" s="88" t="n">
        <f aca="false">IF(AZ43&gt;INDEX(in_oce_ins_min,1,C43),INDEX(in_oce_ins_rate,1,C43)*(1+INDEX(in_oce_ins_uplift,1,C43))*AL43,0)</f>
        <v>0</v>
      </c>
      <c r="DT43" s="88" t="n">
        <f aca="false">(AL43+AN43)*(1+BA43+INDEX(in_cus_hmf,1,C43)+DR43)+DS43</f>
        <v>9967.87881696429</v>
      </c>
      <c r="DU43" s="86" t="n">
        <f aca="false">IF(DT43&gt;0,(CD43*(1-thr_gm_go)-(BM43-DT43))/DT43,0)</f>
        <v>1.04493805718706</v>
      </c>
      <c r="DV43" s="86" t="n">
        <f aca="false">IF(DT43&gt;0,(CD43-(BM43-DT43))/DT43,0)</f>
        <v>1.5715837454418</v>
      </c>
      <c r="DW43" s="87" t="n">
        <f aca="false">(1+AH43)*J43*DU43-1</f>
        <v>-0.00730884567229162</v>
      </c>
      <c r="DX43" s="87" t="n">
        <f aca="false">(1+AH43)*J43*DV43-1</f>
        <v>0.493004558169711</v>
      </c>
      <c r="DY43" s="85" t="n">
        <f aca="false">IF(G43&gt;0,(CD43*(1-thr_gm_go)-(BM43-AT43))/G43,"")</f>
        <v>3247.93710831044</v>
      </c>
      <c r="DZ43" s="90" t="n">
        <f aca="false">IF(AB43&gt;0,(AL43+AN43+BB43+BC43+BD43)/AB43,0)</f>
        <v>0.134985948946886</v>
      </c>
      <c r="EA43" s="88" t="n">
        <f aca="false">BM43-DZ43*AB43</f>
        <v>5298.22527472528</v>
      </c>
      <c r="EB43" s="90" t="n">
        <f aca="false">IF(AB43&gt;0,CD43/AB43,0)</f>
        <v>0.283376</v>
      </c>
      <c r="EC43" s="85" t="n">
        <f aca="false">IF(EB43*(1-thr_gm_go)-DZ43&gt;0,EA43/(EB43*(1-thr_gm_go)-DZ43),"n/a")</f>
        <v>68323.5987232459</v>
      </c>
      <c r="ED43" s="85" t="n">
        <f aca="false">IF(EB43-DZ43&gt;0,EA43/(EB43-DZ43),"n/a")</f>
        <v>35704.7203442829</v>
      </c>
      <c r="EE43" s="93" t="b">
        <f aca="false">INDEX(cfg_fits,D43,C43)</f>
        <v>1</v>
      </c>
      <c r="EF43" s="87" t="n">
        <f aca="false">IF(F43=4,"",INDEX(cfg_lenutil,D43,C43))</f>
        <v>0.999580888516345</v>
      </c>
      <c r="EG43" s="31" t="str">
        <f aca="false">IF(O43&gt;1,"Check fit (units scaled up)","")</f>
        <v/>
      </c>
    </row>
    <row r="44" customFormat="false" ht="15" hidden="false" customHeight="false" outlineLevel="0" collapsed="false">
      <c r="A44" s="78" t="n">
        <v>1085</v>
      </c>
      <c r="B44" s="9" t="s">
        <v>3192</v>
      </c>
      <c r="C44" s="78" t="n">
        <v>1</v>
      </c>
      <c r="D44" s="78" t="n">
        <v>8</v>
      </c>
      <c r="E44" s="78" t="n">
        <v>5</v>
      </c>
      <c r="F44" s="79" t="n">
        <f aca="false">INDEX(cfg_ct,D44)</f>
        <v>2</v>
      </c>
      <c r="G44" s="79" t="n">
        <f aca="false">INDEX(cfg_n,D44)</f>
        <v>1</v>
      </c>
      <c r="H44" s="79" t="n">
        <f aca="false">INDEX(dest_port,E44)</f>
        <v>4</v>
      </c>
      <c r="I44" s="80" t="n">
        <f aca="false">INDEX(in_fx_cbe,1,C44)*(1-INDEX(in_fx_spread,1,C44))</f>
        <v>54.6</v>
      </c>
      <c r="J44" s="81" t="n">
        <f aca="false">1</f>
        <v>1</v>
      </c>
      <c r="K44" s="82" t="n">
        <f aca="false">INDEX(in_sup_vat_mode,1,C44)</f>
        <v>1</v>
      </c>
      <c r="L44" s="83" t="n">
        <f aca="false">INDEX(in_cus_s301,1,C44)</f>
        <v>0</v>
      </c>
      <c r="M44" s="84" t="n">
        <f aca="false">1</f>
        <v>1</v>
      </c>
      <c r="N44" s="81" t="n">
        <f aca="false">1</f>
        <v>1</v>
      </c>
      <c r="O44" s="81" t="n">
        <f aca="false">1</f>
        <v>1</v>
      </c>
      <c r="P44" s="81" t="n">
        <f aca="false">1</f>
        <v>1</v>
      </c>
      <c r="Q44" s="81" t="n">
        <f aca="false">1</f>
        <v>1</v>
      </c>
      <c r="R44" s="83" t="n">
        <f aca="false">INDEX(in_sel_damage,1,C44)</f>
        <v>0.005</v>
      </c>
      <c r="S44" s="83" t="n">
        <f aca="false">INDEX(in_mkt_dist_margin,1,C44)</f>
        <v>0.2</v>
      </c>
      <c r="T44" s="83" t="n">
        <f aca="false">INDEX(in_mkt_eflute_disc,1,C44)</f>
        <v>0.15</v>
      </c>
      <c r="U44" s="82" t="n">
        <f aca="false">INDEX(in_sel_credit_days,1,C44)</f>
        <v>30</v>
      </c>
      <c r="V44" s="81" t="n">
        <f aca="false">1</f>
        <v>1</v>
      </c>
      <c r="W44" s="83" t="n">
        <f aca="false">INDEX(in_sel_commission,1,C44)</f>
        <v>0.03</v>
      </c>
      <c r="X44" s="82" t="n">
        <f aca="false">1</f>
        <v>1</v>
      </c>
      <c r="Y44" s="85" t="n">
        <f aca="false">INDEX(cfg_u_3464,D44,C44)*O44</f>
        <v>24700</v>
      </c>
      <c r="Z44" s="85" t="n">
        <f aca="false">INDEX(cfg_u_3463,D44,C44)*O44</f>
        <v>24700</v>
      </c>
      <c r="AA44" s="85" t="n">
        <f aca="false">INDEX(cfg_u_3460,D44,C44)*O44</f>
        <v>24700</v>
      </c>
      <c r="AB44" s="85" t="n">
        <f aca="false">Y44+Z44+AA44</f>
        <v>74100</v>
      </c>
      <c r="AC44" s="86" t="n">
        <f aca="false">Y44*INDEX(lg_vpu_3464,C44)</f>
        <v>16.473171</v>
      </c>
      <c r="AD44" s="86" t="n">
        <f aca="false">Z44*INDEX(lg_vpu_3463,C44)</f>
        <v>20.152236</v>
      </c>
      <c r="AE44" s="86" t="n">
        <f aca="false">AA44*INDEX(lg_vpu_3460,C44)</f>
        <v>13.164606</v>
      </c>
      <c r="AF44" s="86" t="n">
        <f aca="false">AC44+AD44+AE44</f>
        <v>49.790013</v>
      </c>
      <c r="AG44" s="85" t="n">
        <f aca="false">Y44*INDEX(lg_kpu_3464,C44)+Z44*INDEX(lg_kpu_3463,C44)+AA44*INDEX(lg_kpu_3460,C44)</f>
        <v>12171.377504</v>
      </c>
      <c r="AH44" s="87" t="n">
        <f aca="false">INDEX(in_sup_requote,1,C44)</f>
        <v>-0.05</v>
      </c>
      <c r="AI44" s="88" t="n">
        <f aca="false">Y44*q_price_3464*(1+AH44)*J44/I44</f>
        <v>3594.95833333333</v>
      </c>
      <c r="AJ44" s="88" t="n">
        <f aca="false">Z44*q_price_3463*(1+AH44)*J44/I44</f>
        <v>3395.11904761905</v>
      </c>
      <c r="AK44" s="88" t="n">
        <f aca="false">AA44*q_price_3460*(1+AH44)*J44/I44</f>
        <v>2965.35714285714</v>
      </c>
      <c r="AL44" s="88" t="n">
        <f aca="false">AI44+AJ44+AK44</f>
        <v>9955.43452380952</v>
      </c>
      <c r="AM44" s="88" t="n">
        <f aca="false">IF(OR(K44=2,K44=3),AL44*INDEX(in_sup_vat_rate,1,C44),0)</f>
        <v>0</v>
      </c>
      <c r="AN44" s="88" t="n">
        <f aca="false">IF(K44=3,AM44,0)</f>
        <v>0</v>
      </c>
      <c r="AO44" s="88" t="n">
        <f aca="false">INDEX(in_sup_tooling_egp,1,C44)/I44</f>
        <v>0</v>
      </c>
      <c r="AP44" s="88" t="n">
        <f aca="false">IF(F44=4,INDEX(in_ori_lcl_truck,1,C44)*V44/I44+INDEX(in_ori_lcl_cfs_o,1,C44),G44*(IF(F44=1,INDEX(in_ori_truck_20,1,C44),INDEX(in_ori_truck_40,1,C44))*V44/I44+INDEX(in_ori_terminal,1,C44)+IF(F44=1,INDEX(in_ori_othc_20,1,C44),INDEX(in_ori_othc_40,1,C44))*(1-INDEX(in_ori_othc_in_freight,1,C44))+INDEX(in_ori_seal,1,C44)+INDEX(in_ori_inspection,1,C44)+INDEX(in_ori_dd_days,1,C44)*IF(F44=1,INDEX(in_ori_dd_20,1,C44),INDEX(in_ori_dd_40,1,C44))+INDEX(in_ori_loading_egp,1,C44)/I44))</f>
        <v>457.465201465201</v>
      </c>
      <c r="AQ44" s="88" t="n">
        <f aca="false">(INDEX(in_ori_clearance,1,C44)+INDEX(in_ori_coo,1,C44))/I44+INDEX(in_ori_bl_fee,1,C44)+INDEX(in_ori_fwd_fee,1,C44)+INDEX(in_ori_qc,1,C44)+INDEX(in_ori_wires,1,C44)*INDEX(in_ori_wire_fee,1,C44)</f>
        <v>298.260073260073</v>
      </c>
      <c r="AR44" s="88" t="n">
        <f aca="false">AP44+AQ44</f>
        <v>755.725274725275</v>
      </c>
      <c r="AS44" s="85" t="n">
        <f aca="false">INDEX(tbl_port_diff,H44,C44)</f>
        <v>0</v>
      </c>
      <c r="AT44" s="88" t="n">
        <f aca="false">IF(F44=4,MAX(AF44*INDEX(in_oce_lcl_factor,1,C44),AG44/1000,1)*INDEX(in_oce_lcl_rate,1,C44)*M44,G44*(INDEX(tbl_ocean_rate,MIN(F44,3),C44)+AS44)*M44)</f>
        <v>2800</v>
      </c>
      <c r="AU44" s="88" t="n">
        <f aca="false">AT44+INDEX(in_oce_ams,1,C44)</f>
        <v>2830</v>
      </c>
      <c r="AV44" s="88" t="n">
        <f aca="false">AI44*(1+IF(K44=3,INDEX(in_sup_vat_rate,1,C44),0))+AO44*Y44/AB44</f>
        <v>3594.95833333333</v>
      </c>
      <c r="AW44" s="88" t="n">
        <f aca="false">AJ44*(1+IF(K44=3,INDEX(in_sup_vat_rate,1,C44),0))+AO44*Z44/AB44</f>
        <v>3395.11904761905</v>
      </c>
      <c r="AX44" s="88" t="n">
        <f aca="false">AK44*(1+IF(K44=3,INDEX(in_sup_vat_rate,1,C44),0))+AO44*AA44/AB44</f>
        <v>2965.35714285714</v>
      </c>
      <c r="AY44" s="88" t="n">
        <f aca="false">AV44+AW44+AX44</f>
        <v>9955.43452380952</v>
      </c>
      <c r="AZ44" s="88" t="n">
        <f aca="false">MAX(INDEX(in_oce_ins_min,1,C44),INDEX(in_oce_ins_rate,1,C44)*(1+INDEX(in_oce_ins_uplift,1,C44))*(AL44+AO44+AR44+AU44))*(1-INDEX(in_oce_ins_in_other,1,C44))</f>
        <v>50</v>
      </c>
      <c r="BA44" s="87" t="n">
        <f aca="false">INDEX(in_cus_mfn,1,C44)+L44</f>
        <v>0</v>
      </c>
      <c r="BB44" s="88" t="n">
        <f aca="false">AY44*BA44</f>
        <v>0</v>
      </c>
      <c r="BC44" s="88" t="n">
        <f aca="false">MIN(MAX(AY44*INDEX(in_cus_mpf_rate,1,C44),INDEX(in_cus_mpf_min,1,C44)),INDEX(in_cus_mpf_max,1,C44))</f>
        <v>34.58</v>
      </c>
      <c r="BD44" s="88" t="n">
        <f aca="false">AY44*INDEX(in_cus_hmf,1,C44)</f>
        <v>12.4442931547619</v>
      </c>
      <c r="BE44" s="88" t="n">
        <f aca="false">MAX(INDEX(in_cus_stb_min,1,C44),INDEX(in_cus_stb_rate,1,C44)/1000*(AY44+BB44+BC44+BD44))</f>
        <v>50</v>
      </c>
      <c r="BF44" s="88" t="n">
        <f aca="false">INDEX(in_cus_broker,1,C44)+INDEX(in_cus_isf,1,C44)+INDEX(in_cus_do_fee,1,C44)+BE44+INDEX(in_cus_isf_bond,1,C44)</f>
        <v>385</v>
      </c>
      <c r="BG44" s="88" t="n">
        <f aca="false">IF(H44=1,INDEX(in_cus_cfc,1,C44)*INDEX(ct_teu,F44)*G44*(1-INDEX(in_cus_cfc_in_freight,1,C44)),0)</f>
        <v>0</v>
      </c>
      <c r="BH44" s="88" t="n">
        <f aca="false">IF(F44=4,1,G44)*(INDEX(in_cus_exam,1,C44)+INDEX(in_cus_exam_dray,1,C44))</f>
        <v>0</v>
      </c>
      <c r="BI44" s="88" t="n">
        <f aca="false">IF(F44=4,1,G44)*INDEX(in_cus_dem_days,1,C44)*INDEX(in_cus_dem_rate,1,C44)</f>
        <v>0</v>
      </c>
      <c r="BJ44" s="88" t="n">
        <f aca="false">BG44+BH44+BI44</f>
        <v>0</v>
      </c>
      <c r="BK44" s="88" t="n">
        <f aca="false">IF(F44=4,(INDEX(in_dra_lcl_cfs_d,1,C44)+INDEX(in_dra_lcl_deliv,1,C44))*P44,G44*(INDEX(tbl_dest_line,E44,C44)*P44*(1+INDEX(in_dra_fsc,1,C44))+INDEX(tbl_dest_tolls,E44,C44)+INDEX(in_dra_chassis_days,1,C44)*INDEX(tbl_dest_chassis,E44,C44)*(1-INDEX(in_dra_chassis_in_dray,1,C44))+INDEX(in_dra_wait_hours,1,C44)*INDEX(in_dra_wait_rate,1,C44)+INDEX(in_dra_split,1,C44)+INDEX(in_dra_prepull,1,C44)+INDEX(in_dra_dryrun,1,C44)))</f>
        <v>1424</v>
      </c>
      <c r="BL44" s="88" t="n">
        <f aca="false">IF(F44=4,0,G44*IF(F44=1,INDEX(in_dra_unload_20,1,C44),INDEX(in_dra_unload_40,1,C44))*Q44*(1-INDEX(in_dra_unload_in_dray,1,C44)))</f>
        <v>250</v>
      </c>
      <c r="BM44" s="88" t="n">
        <f aca="false">AL44+AN44+AO44+AR44+AU44+AZ44+BB44+BC44+BD44+BF44+BJ44+BK44+BL44</f>
        <v>15697.1840916896</v>
      </c>
      <c r="BN44" s="88" t="n">
        <f aca="false">AP44+AU44+BJ44+BK44+BL44</f>
        <v>4961.4652014652</v>
      </c>
      <c r="BO44" s="88" t="n">
        <f aca="false">AQ44+BF44</f>
        <v>683.260073260073</v>
      </c>
      <c r="BP44" s="88" t="n">
        <f aca="false">AI44*(1+IF(K44=3,INDEX(in_sup_vat_rate,1,C44),0))+AO44*Y44/AB44+AV44*BA44+(BC44+BD44)*AV44/AY44+AZ44*AI44/AL44+BN44*AC44/AF44+BO44*Y44/AB44</f>
        <v>5499.26289033084</v>
      </c>
      <c r="BQ44" s="88" t="n">
        <f aca="false">AJ44*(1+IF(K44=3,INDEX(in_sup_vat_rate,1,C44),0))+AO44*Z44/AB44+AW44*BA44+(BC44+BD44)*AW44/AY44+AZ44*AJ44/AL44+BN44*AD44/AF44+BO44*Z44/AB44</f>
        <v>5664.08672764524</v>
      </c>
      <c r="BR44" s="88" t="n">
        <f aca="false">AK44*(1+IF(K44=3,INDEX(in_sup_vat_rate,1,C44),0))+AO44*AA44/AB44+AX44*BA44+(BC44+BD44)*AX44/AY44+AZ44*AK44/AL44+BN44*AE44/AF44+BO44*AA44/AB44</f>
        <v>4533.83447371348</v>
      </c>
      <c r="BS44" s="89" t="n">
        <f aca="false">BP44+BQ44+BR44-BM44</f>
        <v>0</v>
      </c>
      <c r="BT44" s="85" t="n">
        <f aca="false">Y44*(1-R44)</f>
        <v>24576.5</v>
      </c>
      <c r="BU44" s="85" t="n">
        <f aca="false">Z44*(1-R44)</f>
        <v>24576.5</v>
      </c>
      <c r="BV44" s="85" t="n">
        <f aca="false">AA44*(1-R44)</f>
        <v>24576.5</v>
      </c>
      <c r="BW44" s="85" t="n">
        <f aca="false">BT44+BU44+BV44</f>
        <v>73729.5</v>
      </c>
      <c r="BX44" s="90" t="n">
        <f aca="false">IF(BT44&gt;0,BP44/BT44,0)</f>
        <v>0.223761027417689</v>
      </c>
      <c r="BY44" s="90" t="n">
        <f aca="false">IF(BU44&gt;0,BQ44/BU44,0)</f>
        <v>0.230467590081795</v>
      </c>
      <c r="BZ44" s="90" t="n">
        <f aca="false">IF(BV44&gt;0,BR44/BV44,0)</f>
        <v>0.184478443786279</v>
      </c>
      <c r="CA44" s="90" t="n">
        <f aca="false">INDEX(in_mkt_listing_3464,1,C44)*(1-IF(sku_flute_3464="B",T44,0))*(1-S44)*N44</f>
        <v>0.2856</v>
      </c>
      <c r="CB44" s="90" t="n">
        <f aca="false">INDEX(in_mkt_listing_3463,1,C44)*(1-IF(sku_flute_3463="B",T44,0))*(1-S44)*N44</f>
        <v>0.3128</v>
      </c>
      <c r="CC44" s="90" t="n">
        <f aca="false">INDEX(in_mkt_listing_3460,1,C44)*(1-IF(sku_flute_3460="B",T44,0))*(1-S44)*N44</f>
        <v>0.256</v>
      </c>
      <c r="CD44" s="88" t="n">
        <f aca="false">BT44*CA44+BU44*CB44+BV44*CC44</f>
        <v>20998.1616</v>
      </c>
      <c r="CE44" s="88" t="n">
        <f aca="false">CD44-BM44</f>
        <v>5300.97750831044</v>
      </c>
      <c r="CF44" s="87" t="n">
        <f aca="false">IF(CD44&gt;0,CE44/CD44,0)</f>
        <v>0.252449600555052</v>
      </c>
      <c r="CG44" s="87" t="n">
        <f aca="false">W44+INDEX(in_sel_processing,1,C44)+INDEX(in_sel_bad_debt,1,C44)</f>
        <v>0.0325</v>
      </c>
      <c r="CH44" s="88" t="n">
        <f aca="false">CD44*CG44</f>
        <v>682.440252</v>
      </c>
      <c r="CI44" s="88" t="n">
        <f aca="false">INDEX(in_sel_testing,1,C44)*X44+INDEX(in_sel_admin,1,C44)</f>
        <v>1250</v>
      </c>
      <c r="CJ44" s="79" t="n">
        <f aca="false">INDEX(in_sup_lead_days,1,C44)</f>
        <v>14</v>
      </c>
      <c r="CK44" s="79" t="n">
        <f aca="false">CJ44+INDEX(in_oce_transit,1,C44)+IF(F44=4,INDEX(in_oce_lcl_extra_days,1,C44),0)</f>
        <v>39</v>
      </c>
      <c r="CL44" s="79" t="n">
        <f aca="false">CK44+2+INDEX(in_cus_dem_days,1,C44)</f>
        <v>41</v>
      </c>
      <c r="CM44" s="79" t="n">
        <f aca="false">CL44+U44</f>
        <v>71</v>
      </c>
      <c r="CN44" s="79" t="n">
        <f aca="false">CJ44+INDEX(in_sup_vat_lag,1,C44)</f>
        <v>44</v>
      </c>
      <c r="CO44" s="91" t="n">
        <f aca="false">INDEX(in_sup_advance,1,C44)</f>
        <v>0.5</v>
      </c>
      <c r="CP44" s="88" t="n">
        <f aca="false">CO44*(AL44+AM44)+AO44+INDEX(in_sel_testing,1,C44)*X44</f>
        <v>5977.71726190476</v>
      </c>
      <c r="CQ44" s="88" t="n">
        <f aca="false">(1-CO44)*(AL44+AM44)+AR44+AU44+AZ44</f>
        <v>8613.44253663004</v>
      </c>
      <c r="CR44" s="88" t="n">
        <f aca="false">BB44+BC44+BD44+BF44+BJ44</f>
        <v>432.024293154762</v>
      </c>
      <c r="CS44" s="88" t="n">
        <f aca="false">BK44+BL44</f>
        <v>1674</v>
      </c>
      <c r="CT44" s="88" t="n">
        <f aca="false">IF(K44=2,AM44,0)</f>
        <v>0</v>
      </c>
      <c r="CU44" s="85" t="n">
        <f aca="false">IF(K44=2,CO44*AM44*(CN44-0)+(1-CO44)*AM44*(CN44-CJ44),0)</f>
        <v>0</v>
      </c>
      <c r="CV44" s="85" t="n">
        <f aca="false">(CP44-CO44*CT44)*(CM44-0)+(CQ44-(1-CO44)*CT44)*(CM44-CJ44)+CR44*(CM44-CK44)+CS44*(CM44-CL44)</f>
        <v>979428.927564103</v>
      </c>
      <c r="CW44" s="88" t="n">
        <f aca="false">INDEX(in_sel_fin_rate,1,C44)/365*(CU44+CV44)</f>
        <v>214.669353986653</v>
      </c>
      <c r="CX44" s="85" t="n">
        <f aca="false">CP44-IF(CN44&lt;=0,CT44,0)</f>
        <v>5977.71726190476</v>
      </c>
      <c r="CY44" s="85" t="n">
        <f aca="false">CP44+CQ44-IF(CN44&lt;=CJ44,CT44,0)</f>
        <v>14591.1597985348</v>
      </c>
      <c r="CZ44" s="85" t="n">
        <f aca="false">CP44+CQ44+CR44-IF(CN44&lt;=CK44,CT44,0)</f>
        <v>15023.1840916896</v>
      </c>
      <c r="DA44" s="85" t="n">
        <f aca="false">CP44+CQ44+CR44+CS44-IF(CN44&lt;=CL44,CT44,0)</f>
        <v>16697.1840916896</v>
      </c>
      <c r="DB44" s="88" t="n">
        <f aca="false">MAX(CX44,CY44,CZ44,DA44)</f>
        <v>16697.1840916896</v>
      </c>
      <c r="DC44" s="88" t="n">
        <f aca="false">CP44+CQ44+CR44+CS44</f>
        <v>16697.1840916896</v>
      </c>
      <c r="DD44" s="88" t="n">
        <f aca="false">CE44-CH44-CI44-CW44</f>
        <v>3153.86790232379</v>
      </c>
      <c r="DE44" s="87" t="n">
        <f aca="false">IF(CD44&gt;0,DD44/CD44,0)</f>
        <v>0.150197334528742</v>
      </c>
      <c r="DF44" s="86" t="n">
        <f aca="false">IF(CD44&gt;0,(BM44+CI44+CW44)/(CD44*(1-CG44)),0)</f>
        <v>0.844757276972876</v>
      </c>
      <c r="DG44" s="90" t="n">
        <f aca="false">IF(BW44&gt;0,BM44/BW44,0)</f>
        <v>0.212902353761921</v>
      </c>
      <c r="DH44" s="90" t="n">
        <f aca="false">IF(BW44&gt;0,CD44/BW44,0)</f>
        <v>0.2848</v>
      </c>
      <c r="DI44" s="90" t="n">
        <f aca="false">IF(AI44&gt;0,(AI44*IF(K44=3,INDEX(in_sup_vat_rate,1,C44),0)+AV44*BA44+(BC44+BD44)*AV44/AY44+AZ44*AI44/AL44)/AI44,0)</f>
        <v>0.00974586221452389</v>
      </c>
      <c r="DJ44" s="90" t="n">
        <f aca="false">IF(AJ44&gt;0,(AJ44*IF(K44=3,INDEX(in_sup_vat_rate,1,C44),0)+AW44*BA44+(BC44+BD44)*AW44/AY44+AZ44*AJ44/AL44)/AJ44,0)</f>
        <v>0.00974586221452389</v>
      </c>
      <c r="DK44" s="90" t="n">
        <f aca="false">IF(AK44&gt;0,(AK44*IF(K44=3,INDEX(in_sup_vat_rate,1,C44),0)+AX44*BA44+(BC44+BD44)*AX44/AY44+AZ44*AK44/AL44)/AK44,0)</f>
        <v>0.00974586221452389</v>
      </c>
      <c r="DL44" s="90" t="n">
        <f aca="false">IF(Y44&gt;0,(BP44-AI44*(1+DI44))/Y44,0)</f>
        <v>0.0756788902191857</v>
      </c>
      <c r="DM44" s="90" t="n">
        <f aca="false">IF(Z44&gt;0,(BQ44-AJ44*(1+DJ44))/Z44,0)</f>
        <v>0.0905214298617892</v>
      </c>
      <c r="DN44" s="90" t="n">
        <f aca="false">IF(AA44&gt;0,(BR44-AK44*(1+DK44))/AA44,0)</f>
        <v>0.0623310675597246</v>
      </c>
      <c r="DO44" s="86" t="n">
        <f aca="false">IF(Y44&gt;0,(CA44*(1-thr_gm_go)*(1-R44)-DL44)/(1+DI44)*I44/((1+AH44)*J44),"")</f>
        <v>7.82351728277384</v>
      </c>
      <c r="DP44" s="86" t="n">
        <f aca="false">IF(Z44&gt;0,(CB44*(1-thr_gm_go)*(1-R44)-DM44)/(1+DJ44)*I44/((1+AH44)*J44),"")</f>
        <v>8.13403641193016</v>
      </c>
      <c r="DQ44" s="86" t="n">
        <f aca="false">IF(AA44&gt;0,(CC44*(1-thr_gm_go)*(1-R44)-DN44)/(1+DK44)*I44/((1+AH44)*J44),"")</f>
        <v>7.32597856050908</v>
      </c>
      <c r="DR44" s="92" t="n">
        <f aca="false">IF(AND(AY44*INDEX(in_cus_mpf_rate,1,C44)&gt;INDEX(in_cus_mpf_min,1,C44),AY44*INDEX(in_cus_mpf_rate,1,C44)&lt;INDEX(in_cus_mpf_max,1,C44)),INDEX(in_cus_mpf_rate,1,C44),0)</f>
        <v>0</v>
      </c>
      <c r="DS44" s="88" t="n">
        <f aca="false">IF(AZ44&gt;INDEX(in_oce_ins_min,1,C44),INDEX(in_oce_ins_rate,1,C44)*(1+INDEX(in_oce_ins_uplift,1,C44))*AL44,0)</f>
        <v>0</v>
      </c>
      <c r="DT44" s="88" t="n">
        <f aca="false">(AL44+AN44)*(1+BA44+INDEX(in_cus_hmf,1,C44)+DR44)+DS44</f>
        <v>9967.87881696429</v>
      </c>
      <c r="DU44" s="86" t="n">
        <f aca="false">IF(DT44&gt;0,(CD44*(1-thr_gm_go)-(BM44-DT44))/DT44,0)</f>
        <v>1.00516028628106</v>
      </c>
      <c r="DV44" s="86" t="n">
        <f aca="false">IF(DT44&gt;0,(CD44-(BM44-DT44))/DT44,0)</f>
        <v>1.5318059745358</v>
      </c>
      <c r="DW44" s="87" t="n">
        <f aca="false">(1+AH44)*J44*DU44-1</f>
        <v>-0.0450977280329938</v>
      </c>
      <c r="DX44" s="87" t="n">
        <f aca="false">(1+AH44)*J44*DV44-1</f>
        <v>0.455215675809009</v>
      </c>
      <c r="DY44" s="85" t="n">
        <f aca="false">IF(G44&gt;0,(CD44*(1-thr_gm_go)-(BM44-AT44))/G44,"")</f>
        <v>2851.43710831044</v>
      </c>
      <c r="DZ44" s="90" t="n">
        <f aca="false">IF(AB44&gt;0,(AL44+AN44+BB44+BC44+BD44)/AB44,0)</f>
        <v>0.134985948946886</v>
      </c>
      <c r="EA44" s="88" t="n">
        <f aca="false">BM44-DZ44*AB44</f>
        <v>5694.72527472528</v>
      </c>
      <c r="EB44" s="90" t="n">
        <f aca="false">IF(AB44&gt;0,CD44/AB44,0)</f>
        <v>0.283376</v>
      </c>
      <c r="EC44" s="85" t="n">
        <f aca="false">IF(EB44*(1-thr_gm_go)-DZ44&gt;0,EA44/(EB44*(1-thr_gm_go)-DZ44),"n/a")</f>
        <v>73436.6895204604</v>
      </c>
      <c r="ED44" s="85" t="n">
        <f aca="false">IF(EB44-DZ44&gt;0,EA44/(EB44-DZ44),"n/a")</f>
        <v>38376.7323638628</v>
      </c>
      <c r="EE44" s="93" t="b">
        <f aca="false">INDEX(cfg_fits,D44,C44)</f>
        <v>1</v>
      </c>
      <c r="EF44" s="87" t="n">
        <f aca="false">IF(F44=4,"",INDEX(cfg_lenutil,D44,C44))</f>
        <v>0.999580888516345</v>
      </c>
      <c r="EG44" s="31" t="str">
        <f aca="false">IF(O44&gt;1,"Check fit (units scaled up)","")</f>
        <v/>
      </c>
    </row>
    <row r="45" customFormat="false" ht="15" hidden="false" customHeight="false" outlineLevel="0" collapsed="false">
      <c r="A45" s="78" t="n">
        <v>1091</v>
      </c>
      <c r="B45" s="9" t="s">
        <v>3193</v>
      </c>
      <c r="C45" s="78" t="n">
        <v>1</v>
      </c>
      <c r="D45" s="78" t="n">
        <v>9</v>
      </c>
      <c r="E45" s="78" t="n">
        <v>1</v>
      </c>
      <c r="F45" s="79" t="n">
        <f aca="false">INDEX(cfg_ct,D45)</f>
        <v>1</v>
      </c>
      <c r="G45" s="79" t="n">
        <f aca="false">INDEX(cfg_n,D45)</f>
        <v>1</v>
      </c>
      <c r="H45" s="79" t="n">
        <f aca="false">INDEX(dest_port,E45)</f>
        <v>1</v>
      </c>
      <c r="I45" s="80" t="n">
        <f aca="false">INDEX(in_fx_cbe,1,C45)*(1-INDEX(in_fx_spread,1,C45))</f>
        <v>54.6</v>
      </c>
      <c r="J45" s="81" t="n">
        <f aca="false">1</f>
        <v>1</v>
      </c>
      <c r="K45" s="82" t="n">
        <f aca="false">INDEX(in_sup_vat_mode,1,C45)</f>
        <v>1</v>
      </c>
      <c r="L45" s="83" t="n">
        <f aca="false">INDEX(in_cus_s301,1,C45)</f>
        <v>0</v>
      </c>
      <c r="M45" s="84" t="n">
        <f aca="false">1</f>
        <v>1</v>
      </c>
      <c r="N45" s="81" t="n">
        <f aca="false">1</f>
        <v>1</v>
      </c>
      <c r="O45" s="81" t="n">
        <f aca="false">1</f>
        <v>1</v>
      </c>
      <c r="P45" s="81" t="n">
        <f aca="false">1</f>
        <v>1</v>
      </c>
      <c r="Q45" s="81" t="n">
        <f aca="false">1</f>
        <v>1</v>
      </c>
      <c r="R45" s="83" t="n">
        <f aca="false">INDEX(in_sel_damage,1,C45)</f>
        <v>0.005</v>
      </c>
      <c r="S45" s="83" t="n">
        <f aca="false">INDEX(in_mkt_dist_margin,1,C45)</f>
        <v>0.2</v>
      </c>
      <c r="T45" s="83" t="n">
        <f aca="false">INDEX(in_mkt_eflute_disc,1,C45)</f>
        <v>0.15</v>
      </c>
      <c r="U45" s="82" t="n">
        <f aca="false">INDEX(in_sel_credit_days,1,C45)</f>
        <v>30</v>
      </c>
      <c r="V45" s="81" t="n">
        <f aca="false">1</f>
        <v>1</v>
      </c>
      <c r="W45" s="83" t="n">
        <f aca="false">INDEX(in_sel_commission,1,C45)</f>
        <v>0.03</v>
      </c>
      <c r="X45" s="82" t="n">
        <f aca="false">1</f>
        <v>1</v>
      </c>
      <c r="Y45" s="85" t="n">
        <f aca="false">INDEX(cfg_u_3464,D45,C45)*O45</f>
        <v>11600</v>
      </c>
      <c r="Z45" s="85" t="n">
        <f aca="false">INDEX(cfg_u_3463,D45,C45)*O45</f>
        <v>11600</v>
      </c>
      <c r="AA45" s="85" t="n">
        <f aca="false">INDEX(cfg_u_3460,D45,C45)*O45</f>
        <v>11600</v>
      </c>
      <c r="AB45" s="85" t="n">
        <f aca="false">Y45+Z45+AA45</f>
        <v>34800</v>
      </c>
      <c r="AC45" s="86" t="n">
        <f aca="false">Y45*INDEX(lg_vpu_3464,C45)</f>
        <v>7.736388</v>
      </c>
      <c r="AD45" s="86" t="n">
        <f aca="false">Z45*INDEX(lg_vpu_3463,C45)</f>
        <v>9.464208</v>
      </c>
      <c r="AE45" s="86" t="n">
        <f aca="false">AA45*INDEX(lg_vpu_3460,C45)</f>
        <v>6.182568</v>
      </c>
      <c r="AF45" s="86" t="n">
        <f aca="false">AC45+AD45+AE45</f>
        <v>23.383164</v>
      </c>
      <c r="AG45" s="85" t="n">
        <f aca="false">Y45*INDEX(lg_kpu_3464,C45)+Z45*INDEX(lg_kpu_3463,C45)+AA45*INDEX(lg_kpu_3460,C45)</f>
        <v>5716.112512</v>
      </c>
      <c r="AH45" s="87" t="n">
        <f aca="false">INDEX(in_sup_requote,1,C45)</f>
        <v>-0.05</v>
      </c>
      <c r="AI45" s="88" t="n">
        <f aca="false">Y45*q_price_3464*(1+AH45)*J45/I45</f>
        <v>1688.32051282051</v>
      </c>
      <c r="AJ45" s="88" t="n">
        <f aca="false">Z45*q_price_3463*(1+AH45)*J45/I45</f>
        <v>1594.46886446886</v>
      </c>
      <c r="AK45" s="88" t="n">
        <f aca="false">AA45*q_price_3460*(1+AH45)*J45/I45</f>
        <v>1392.63736263736</v>
      </c>
      <c r="AL45" s="88" t="n">
        <f aca="false">AI45+AJ45+AK45</f>
        <v>4675.42673992674</v>
      </c>
      <c r="AM45" s="88" t="n">
        <f aca="false">IF(OR(K45=2,K45=3),AL45*INDEX(in_sup_vat_rate,1,C45),0)</f>
        <v>0</v>
      </c>
      <c r="AN45" s="88" t="n">
        <f aca="false">IF(K45=3,AM45,0)</f>
        <v>0</v>
      </c>
      <c r="AO45" s="88" t="n">
        <f aca="false">INDEX(in_sup_tooling_egp,1,C45)/I45</f>
        <v>0</v>
      </c>
      <c r="AP45" s="88" t="n">
        <f aca="false">IF(F45=4,INDEX(in_ori_lcl_truck,1,C45)*V45/I45+INDEX(in_ori_lcl_cfs_o,1,C45),G45*(IF(F45=1,INDEX(in_ori_truck_20,1,C45),INDEX(in_ori_truck_40,1,C45))*V45/I45+INDEX(in_ori_terminal,1,C45)+IF(F45=1,INDEX(in_ori_othc_20,1,C45),INDEX(in_ori_othc_40,1,C45))*(1-INDEX(in_ori_othc_in_freight,1,C45))+INDEX(in_ori_seal,1,C45)+INDEX(in_ori_inspection,1,C45)+INDEX(in_ori_dd_days,1,C45)*IF(F45=1,INDEX(in_ori_dd_20,1,C45),INDEX(in_ori_dd_40,1,C45))+INDEX(in_ori_loading_egp,1,C45)/I45))</f>
        <v>340.677655677656</v>
      </c>
      <c r="AQ45" s="88" t="n">
        <f aca="false">(INDEX(in_ori_clearance,1,C45)+INDEX(in_ori_coo,1,C45))/I45+INDEX(in_ori_bl_fee,1,C45)+INDEX(in_ori_fwd_fee,1,C45)+INDEX(in_ori_qc,1,C45)+INDEX(in_ori_wires,1,C45)*INDEX(in_ori_wire_fee,1,C45)</f>
        <v>298.260073260073</v>
      </c>
      <c r="AR45" s="88" t="n">
        <f aca="false">AP45+AQ45</f>
        <v>638.937728937729</v>
      </c>
      <c r="AS45" s="85" t="n">
        <f aca="false">INDEX(tbl_port_diff,H45,C45)</f>
        <v>0</v>
      </c>
      <c r="AT45" s="88" t="n">
        <f aca="false">IF(F45=4,MAX(AF45*INDEX(in_oce_lcl_factor,1,C45),AG45/1000,1)*INDEX(in_oce_lcl_rate,1,C45)*M45,G45*(INDEX(tbl_ocean_rate,MIN(F45,3),C45)+AS45)*M45)</f>
        <v>2000</v>
      </c>
      <c r="AU45" s="88" t="n">
        <f aca="false">AT45+INDEX(in_oce_ams,1,C45)</f>
        <v>2030</v>
      </c>
      <c r="AV45" s="88" t="n">
        <f aca="false">AI45*(1+IF(K45=3,INDEX(in_sup_vat_rate,1,C45),0))+AO45*Y45/AB45</f>
        <v>1688.32051282051</v>
      </c>
      <c r="AW45" s="88" t="n">
        <f aca="false">AJ45*(1+IF(K45=3,INDEX(in_sup_vat_rate,1,C45),0))+AO45*Z45/AB45</f>
        <v>1594.46886446886</v>
      </c>
      <c r="AX45" s="88" t="n">
        <f aca="false">AK45*(1+IF(K45=3,INDEX(in_sup_vat_rate,1,C45),0))+AO45*AA45/AB45</f>
        <v>1392.63736263736</v>
      </c>
      <c r="AY45" s="88" t="n">
        <f aca="false">AV45+AW45+AX45</f>
        <v>4675.42673992674</v>
      </c>
      <c r="AZ45" s="88" t="n">
        <f aca="false">MAX(INDEX(in_oce_ins_min,1,C45),INDEX(in_oce_ins_rate,1,C45)*(1+INDEX(in_oce_ins_uplift,1,C45))*(AL45+AO45+AR45+AU45))*(1-INDEX(in_oce_ins_in_other,1,C45))</f>
        <v>50</v>
      </c>
      <c r="BA45" s="87" t="n">
        <f aca="false">INDEX(in_cus_mfn,1,C45)+L45</f>
        <v>0</v>
      </c>
      <c r="BB45" s="88" t="n">
        <f aca="false">AY45*BA45</f>
        <v>0</v>
      </c>
      <c r="BC45" s="88" t="n">
        <f aca="false">MIN(MAX(AY45*INDEX(in_cus_mpf_rate,1,C45),INDEX(in_cus_mpf_min,1,C45)),INDEX(in_cus_mpf_max,1,C45))</f>
        <v>34.58</v>
      </c>
      <c r="BD45" s="88" t="n">
        <f aca="false">AY45*INDEX(in_cus_hmf,1,C45)</f>
        <v>5.84428342490843</v>
      </c>
      <c r="BE45" s="88" t="n">
        <f aca="false">MAX(INDEX(in_cus_stb_min,1,C45),INDEX(in_cus_stb_rate,1,C45)/1000*(AY45+BB45+BC45+BD45))</f>
        <v>50</v>
      </c>
      <c r="BF45" s="88" t="n">
        <f aca="false">INDEX(in_cus_broker,1,C45)+INDEX(in_cus_isf,1,C45)+INDEX(in_cus_do_fee,1,C45)+BE45+INDEX(in_cus_isf_bond,1,C45)</f>
        <v>385</v>
      </c>
      <c r="BG45" s="88" t="n">
        <f aca="false">IF(H45=1,INDEX(in_cus_cfc,1,C45)*INDEX(ct_teu,F45)*G45*(1-INDEX(in_cus_cfc_in_freight,1,C45)),0)</f>
        <v>14.8</v>
      </c>
      <c r="BH45" s="88" t="n">
        <f aca="false">IF(F45=4,1,G45)*(INDEX(in_cus_exam,1,C45)+INDEX(in_cus_exam_dray,1,C45))</f>
        <v>0</v>
      </c>
      <c r="BI45" s="88" t="n">
        <f aca="false">IF(F45=4,1,G45)*INDEX(in_cus_dem_days,1,C45)*INDEX(in_cus_dem_rate,1,C45)</f>
        <v>0</v>
      </c>
      <c r="BJ45" s="88" t="n">
        <f aca="false">BG45+BH45+BI45</f>
        <v>14.8</v>
      </c>
      <c r="BK45" s="88" t="n">
        <f aca="false">IF(F45=4,(INDEX(in_dra_lcl_cfs_d,1,C45)+INDEX(in_dra_lcl_deliv,1,C45))*P45,G45*(INDEX(tbl_dest_line,E45,C45)*P45*(1+INDEX(in_dra_fsc,1,C45))+INDEX(tbl_dest_tolls,E45,C45)+INDEX(in_dra_chassis_days,1,C45)*INDEX(tbl_dest_chassis,E45,C45)*(1-INDEX(in_dra_chassis_in_dray,1,C45))+INDEX(in_dra_wait_hours,1,C45)*INDEX(in_dra_wait_rate,1,C45)+INDEX(in_dra_split,1,C45)+INDEX(in_dra_prepull,1,C45)+INDEX(in_dra_dryrun,1,C45)))</f>
        <v>661</v>
      </c>
      <c r="BL45" s="88" t="n">
        <f aca="false">IF(F45=4,0,G45*IF(F45=1,INDEX(in_dra_unload_20,1,C45),INDEX(in_dra_unload_40,1,C45))*Q45*(1-INDEX(in_dra_unload_in_dray,1,C45)))</f>
        <v>150</v>
      </c>
      <c r="BM45" s="88" t="n">
        <f aca="false">AL45+AN45+AO45+AR45+AU45+AZ45+BB45+BC45+BD45+BF45+BJ45+BK45+BL45</f>
        <v>8645.58875228938</v>
      </c>
      <c r="BN45" s="88" t="n">
        <f aca="false">AP45+AU45+BJ45+BK45+BL45</f>
        <v>3196.47765567766</v>
      </c>
      <c r="BO45" s="88" t="n">
        <f aca="false">AQ45+BF45</f>
        <v>683.260073260073</v>
      </c>
      <c r="BP45" s="88" t="n">
        <f aca="false">AI45*(1+IF(K45=3,INDEX(in_sup_vat_rate,1,C45),0))+AO45*Y45/AB45+AV45*BA45+(BC45+BD45)*AV45/AY45+AZ45*AI45/AL45+BN45*AC45/AF45+BO45*Y45/AB45</f>
        <v>3006.29049591531</v>
      </c>
      <c r="BQ45" s="88" t="n">
        <f aca="false">AJ45*(1+IF(K45=3,INDEX(in_sup_vat_rate,1,C45),0))+AO45*Z45/AB45+AW45*BA45+(BC45+BD45)*AW45/AY45+AZ45*AJ45/AL45+BN45*AD45/AF45+BO45*Z45/AB45</f>
        <v>3146.81665618923</v>
      </c>
      <c r="BR45" s="88" t="n">
        <f aca="false">AK45*(1+IF(K45=3,INDEX(in_sup_vat_rate,1,C45),0))+AO45*AA45/AB45+AX45*BA45+(BC45+BD45)*AX45/AY45+AZ45*AK45/AL45+BN45*AE45/AF45+BO45*AA45/AB45</f>
        <v>2492.48160018484</v>
      </c>
      <c r="BS45" s="89" t="n">
        <f aca="false">BP45+BQ45+BR45-BM45</f>
        <v>0</v>
      </c>
      <c r="BT45" s="85" t="n">
        <f aca="false">Y45*(1-R45)</f>
        <v>11542</v>
      </c>
      <c r="BU45" s="85" t="n">
        <f aca="false">Z45*(1-R45)</f>
        <v>11542</v>
      </c>
      <c r="BV45" s="85" t="n">
        <f aca="false">AA45*(1-R45)</f>
        <v>11542</v>
      </c>
      <c r="BW45" s="85" t="n">
        <f aca="false">BT45+BU45+BV45</f>
        <v>34626</v>
      </c>
      <c r="BX45" s="90" t="n">
        <f aca="false">IF(BT45&gt;0,BP45/BT45,0)</f>
        <v>0.260465300287238</v>
      </c>
      <c r="BY45" s="90" t="n">
        <f aca="false">IF(BU45&gt;0,BQ45/BU45,0)</f>
        <v>0.272640500449595</v>
      </c>
      <c r="BZ45" s="90" t="n">
        <f aca="false">IF(BV45&gt;0,BR45/BV45,0)</f>
        <v>0.215948847702724</v>
      </c>
      <c r="CA45" s="90" t="n">
        <f aca="false">INDEX(in_mkt_listing_3464,1,C45)*(1-IF(sku_flute_3464="B",T45,0))*(1-S45)*N45</f>
        <v>0.2856</v>
      </c>
      <c r="CB45" s="90" t="n">
        <f aca="false">INDEX(in_mkt_listing_3463,1,C45)*(1-IF(sku_flute_3463="B",T45,0))*(1-S45)*N45</f>
        <v>0.3128</v>
      </c>
      <c r="CC45" s="90" t="n">
        <f aca="false">INDEX(in_mkt_listing_3460,1,C45)*(1-IF(sku_flute_3460="B",T45,0))*(1-S45)*N45</f>
        <v>0.256</v>
      </c>
      <c r="CD45" s="88" t="n">
        <f aca="false">BT45*CA45+BU45*CB45+BV45*CC45</f>
        <v>9861.4848</v>
      </c>
      <c r="CE45" s="88" t="n">
        <f aca="false">CD45-BM45</f>
        <v>1215.89604771062</v>
      </c>
      <c r="CF45" s="87" t="n">
        <f aca="false">IF(CD45&gt;0,CE45/CD45,0)</f>
        <v>0.123297462032353</v>
      </c>
      <c r="CG45" s="87" t="n">
        <f aca="false">W45+INDEX(in_sel_processing,1,C45)+INDEX(in_sel_bad_debt,1,C45)</f>
        <v>0.0325</v>
      </c>
      <c r="CH45" s="88" t="n">
        <f aca="false">CD45*CG45</f>
        <v>320.498256</v>
      </c>
      <c r="CI45" s="88" t="n">
        <f aca="false">INDEX(in_sel_testing,1,C45)*X45+INDEX(in_sel_admin,1,C45)</f>
        <v>1250</v>
      </c>
      <c r="CJ45" s="79" t="n">
        <f aca="false">INDEX(in_sup_lead_days,1,C45)</f>
        <v>14</v>
      </c>
      <c r="CK45" s="79" t="n">
        <f aca="false">CJ45+INDEX(in_oce_transit,1,C45)+IF(F45=4,INDEX(in_oce_lcl_extra_days,1,C45),0)</f>
        <v>39</v>
      </c>
      <c r="CL45" s="79" t="n">
        <f aca="false">CK45+2+INDEX(in_cus_dem_days,1,C45)</f>
        <v>41</v>
      </c>
      <c r="CM45" s="79" t="n">
        <f aca="false">CL45+U45</f>
        <v>71</v>
      </c>
      <c r="CN45" s="79" t="n">
        <f aca="false">CJ45+INDEX(in_sup_vat_lag,1,C45)</f>
        <v>44</v>
      </c>
      <c r="CO45" s="91" t="n">
        <f aca="false">INDEX(in_sup_advance,1,C45)</f>
        <v>0.5</v>
      </c>
      <c r="CP45" s="88" t="n">
        <f aca="false">CO45*(AL45+AM45)+AO45+INDEX(in_sel_testing,1,C45)*X45</f>
        <v>3337.71336996337</v>
      </c>
      <c r="CQ45" s="88" t="n">
        <f aca="false">(1-CO45)*(AL45+AM45)+AR45+AU45+AZ45</f>
        <v>5056.6510989011</v>
      </c>
      <c r="CR45" s="88" t="n">
        <f aca="false">BB45+BC45+BD45+BF45+BJ45</f>
        <v>440.224283424908</v>
      </c>
      <c r="CS45" s="88" t="n">
        <f aca="false">BK45+BL45</f>
        <v>811</v>
      </c>
      <c r="CT45" s="88" t="n">
        <f aca="false">IF(K45=2,AM45,0)</f>
        <v>0</v>
      </c>
      <c r="CU45" s="85" t="n">
        <f aca="false">IF(K45=2,CO45*AM45*(CN45-0)+(1-CO45)*AM45*(CN45-CJ45),0)</f>
        <v>0</v>
      </c>
      <c r="CV45" s="85" t="n">
        <f aca="false">(CP45-CO45*CT45)*(CM45-0)+(CQ45-(1-CO45)*CT45)*(CM45-CJ45)+CR45*(CM45-CK45)+CS45*(CM45-CL45)</f>
        <v>563623.938974359</v>
      </c>
      <c r="CW45" s="88" t="n">
        <f aca="false">INDEX(in_sel_fin_rate,1,C45)/365*(CU45+CV45)</f>
        <v>123.534014021777</v>
      </c>
      <c r="CX45" s="85" t="n">
        <f aca="false">CP45-IF(CN45&lt;=0,CT45,0)</f>
        <v>3337.71336996337</v>
      </c>
      <c r="CY45" s="85" t="n">
        <f aca="false">CP45+CQ45-IF(CN45&lt;=CJ45,CT45,0)</f>
        <v>8394.36446886447</v>
      </c>
      <c r="CZ45" s="85" t="n">
        <f aca="false">CP45+CQ45+CR45-IF(CN45&lt;=CK45,CT45,0)</f>
        <v>8834.58875228938</v>
      </c>
      <c r="DA45" s="85" t="n">
        <f aca="false">CP45+CQ45+CR45+CS45-IF(CN45&lt;=CL45,CT45,0)</f>
        <v>9645.58875228938</v>
      </c>
      <c r="DB45" s="88" t="n">
        <f aca="false">MAX(CX45,CY45,CZ45,DA45)</f>
        <v>9645.58875228938</v>
      </c>
      <c r="DC45" s="88" t="n">
        <f aca="false">CP45+CQ45+CR45+CS45</f>
        <v>9645.58875228938</v>
      </c>
      <c r="DD45" s="88" t="n">
        <f aca="false">CE45-CH45-CI45-CW45</f>
        <v>-478.136222311154</v>
      </c>
      <c r="DE45" s="87" t="n">
        <f aca="false">IF(CD45&gt;0,DD45/CD45,0)</f>
        <v>-0.048485216172635</v>
      </c>
      <c r="DF45" s="86" t="n">
        <f aca="false">IF(CD45&gt;0,(BM45+CI45+CW45)/(CD45*(1-CG45)),0)</f>
        <v>1.05011391852469</v>
      </c>
      <c r="DG45" s="90" t="n">
        <f aca="false">IF(BW45&gt;0,BM45/BW45,0)</f>
        <v>0.249684882813186</v>
      </c>
      <c r="DH45" s="90" t="n">
        <f aca="false">IF(BW45&gt;0,CD45/BW45,0)</f>
        <v>0.2848</v>
      </c>
      <c r="DI45" s="90" t="n">
        <f aca="false">IF(AI45&gt;0,(AI45*IF(K45=3,INDEX(in_sup_vat_rate,1,C45),0)+AV45*BA45+(BC45+BD45)*AV45/AY45+AZ45*AI45/AL45)/AI45,0)</f>
        <v>0.0193403273016155</v>
      </c>
      <c r="DJ45" s="90" t="n">
        <f aca="false">IF(AJ45&gt;0,(AJ45*IF(K45=3,INDEX(in_sup_vat_rate,1,C45),0)+AW45*BA45+(BC45+BD45)*AW45/AY45+AZ45*AJ45/AL45)/AJ45,0)</f>
        <v>0.0193403273016155</v>
      </c>
      <c r="DK45" s="90" t="n">
        <f aca="false">IF(AK45&gt;0,(AK45*IF(K45=3,INDEX(in_sup_vat_rate,1,C45),0)+AX45*BA45+(BC45+BD45)*AX45/AY45+AZ45*AK45/AL45)/AK45,0)</f>
        <v>0.0193403273016155</v>
      </c>
      <c r="DL45" s="90" t="n">
        <f aca="false">IF(Y45&gt;0,(BP45-AI45*(1+DI45))/Y45,0)</f>
        <v>0.110803216533346</v>
      </c>
      <c r="DM45" s="90" t="n">
        <f aca="false">IF(Z45&gt;0,(BQ45-AJ45*(1+DJ45))/Z45,0)</f>
        <v>0.131164676035284</v>
      </c>
      <c r="DN45" s="90" t="n">
        <f aca="false">IF(AA45&gt;0,(BR45-AK45*(1+DK45))/AA45,0)</f>
        <v>0.0924922564777255</v>
      </c>
      <c r="DO45" s="86" t="n">
        <f aca="false">IF(Y45&gt;0,(CA45*(1-thr_gm_go)*(1-R45)-DL45)/(1+DI45)*I45/((1+AH45)*J45),"")</f>
        <v>5.76945658681569</v>
      </c>
      <c r="DP45" s="86" t="n">
        <f aca="false">IF(Z45&gt;0,(CB45*(1-thr_gm_go)*(1-R45)-DM45)/(1+DJ45)*I45/((1+AH45)*J45),"")</f>
        <v>5.76587853611282</v>
      </c>
      <c r="DQ45" s="86" t="n">
        <f aca="false">IF(AA45&gt;0,(CC45*(1-thr_gm_go)*(1-R45)-DN45)/(1+DK45)*I45/((1+AH45)*J45),"")</f>
        <v>5.5564385506581</v>
      </c>
      <c r="DR45" s="92" t="n">
        <f aca="false">IF(AND(AY45*INDEX(in_cus_mpf_rate,1,C45)&gt;INDEX(in_cus_mpf_min,1,C45),AY45*INDEX(in_cus_mpf_rate,1,C45)&lt;INDEX(in_cus_mpf_max,1,C45)),INDEX(in_cus_mpf_rate,1,C45),0)</f>
        <v>0</v>
      </c>
      <c r="DS45" s="88" t="n">
        <f aca="false">IF(AZ45&gt;INDEX(in_oce_ins_min,1,C45),INDEX(in_oce_ins_rate,1,C45)*(1+INDEX(in_oce_ins_uplift,1,C45))*AL45,0)</f>
        <v>0</v>
      </c>
      <c r="DT45" s="88" t="n">
        <f aca="false">(AL45+AN45)*(1+BA45+INDEX(in_cus_hmf,1,C45)+DR45)+DS45</f>
        <v>4681.27102335165</v>
      </c>
      <c r="DU45" s="86" t="n">
        <f aca="false">IF(DT45&gt;0,(CD45*(1-thr_gm_go)-(BM45-DT45))/DT45,0)</f>
        <v>0.733090618753624</v>
      </c>
      <c r="DV45" s="86" t="n">
        <f aca="false">IF(DT45&gt;0,(CD45-(BM45-DT45))/DT45,0)</f>
        <v>1.25973630700836</v>
      </c>
      <c r="DW45" s="87" t="n">
        <f aca="false">(1+AH45)*J45*DU45-1</f>
        <v>-0.303563912184057</v>
      </c>
      <c r="DX45" s="87" t="n">
        <f aca="false">(1+AH45)*J45*DV45-1</f>
        <v>0.196749491657946</v>
      </c>
      <c r="DY45" s="85" t="n">
        <f aca="false">IF(G45&gt;0,(CD45*(1-thr_gm_go)-(BM45-AT45))/G45,"")</f>
        <v>750.524847710623</v>
      </c>
      <c r="DZ45" s="90" t="n">
        <f aca="false">IF(AB45&gt;0,(AL45+AN45+BB45+BC45+BD45)/AB45,0)</f>
        <v>0.135512960441139</v>
      </c>
      <c r="EA45" s="88" t="n">
        <f aca="false">BM45-DZ45*AB45</f>
        <v>3929.73772893773</v>
      </c>
      <c r="EB45" s="90" t="n">
        <f aca="false">IF(AB45&gt;0,CD45/AB45,0)</f>
        <v>0.283376</v>
      </c>
      <c r="EC45" s="85" t="n">
        <f aca="false">IF(EB45*(1-thr_gm_go)-DZ45&gt;0,EA45/(EB45*(1-thr_gm_go)-DZ45),"n/a")</f>
        <v>51022.9386323947</v>
      </c>
      <c r="ED45" s="85" t="n">
        <f aca="false">IF(EB45-DZ45&gt;0,EA45/(EB45-DZ45),"n/a")</f>
        <v>26576.8764165936</v>
      </c>
      <c r="EE45" s="93" t="b">
        <f aca="false">INDEX(cfg_fits,D45,C45)</f>
        <v>1</v>
      </c>
      <c r="EF45" s="87" t="n">
        <f aca="false">IF(F45=4,"",INDEX(cfg_lenutil,D45,C45))</f>
        <v>0.972413793103448</v>
      </c>
      <c r="EG45" s="31" t="str">
        <f aca="false">IF(O45&gt;1,"Check fit (units scaled up)","")</f>
        <v/>
      </c>
    </row>
    <row r="46" customFormat="false" ht="15" hidden="false" customHeight="false" outlineLevel="0" collapsed="false">
      <c r="A46" s="78" t="n">
        <v>1092</v>
      </c>
      <c r="B46" s="9" t="s">
        <v>3194</v>
      </c>
      <c r="C46" s="78" t="n">
        <v>1</v>
      </c>
      <c r="D46" s="78" t="n">
        <v>9</v>
      </c>
      <c r="E46" s="78" t="n">
        <v>2</v>
      </c>
      <c r="F46" s="79" t="n">
        <f aca="false">INDEX(cfg_ct,D46)</f>
        <v>1</v>
      </c>
      <c r="G46" s="79" t="n">
        <f aca="false">INDEX(cfg_n,D46)</f>
        <v>1</v>
      </c>
      <c r="H46" s="79" t="n">
        <f aca="false">INDEX(dest_port,E46)</f>
        <v>1</v>
      </c>
      <c r="I46" s="80" t="n">
        <f aca="false">INDEX(in_fx_cbe,1,C46)*(1-INDEX(in_fx_spread,1,C46))</f>
        <v>54.6</v>
      </c>
      <c r="J46" s="81" t="n">
        <f aca="false">1</f>
        <v>1</v>
      </c>
      <c r="K46" s="82" t="n">
        <f aca="false">INDEX(in_sup_vat_mode,1,C46)</f>
        <v>1</v>
      </c>
      <c r="L46" s="83" t="n">
        <f aca="false">INDEX(in_cus_s301,1,C46)</f>
        <v>0</v>
      </c>
      <c r="M46" s="84" t="n">
        <f aca="false">1</f>
        <v>1</v>
      </c>
      <c r="N46" s="81" t="n">
        <f aca="false">1</f>
        <v>1</v>
      </c>
      <c r="O46" s="81" t="n">
        <f aca="false">1</f>
        <v>1</v>
      </c>
      <c r="P46" s="81" t="n">
        <f aca="false">1</f>
        <v>1</v>
      </c>
      <c r="Q46" s="81" t="n">
        <f aca="false">1</f>
        <v>1</v>
      </c>
      <c r="R46" s="83" t="n">
        <f aca="false">INDEX(in_sel_damage,1,C46)</f>
        <v>0.005</v>
      </c>
      <c r="S46" s="83" t="n">
        <f aca="false">INDEX(in_mkt_dist_margin,1,C46)</f>
        <v>0.2</v>
      </c>
      <c r="T46" s="83" t="n">
        <f aca="false">INDEX(in_mkt_eflute_disc,1,C46)</f>
        <v>0.15</v>
      </c>
      <c r="U46" s="82" t="n">
        <f aca="false">INDEX(in_sel_credit_days,1,C46)</f>
        <v>30</v>
      </c>
      <c r="V46" s="81" t="n">
        <f aca="false">1</f>
        <v>1</v>
      </c>
      <c r="W46" s="83" t="n">
        <f aca="false">INDEX(in_sel_commission,1,C46)</f>
        <v>0.03</v>
      </c>
      <c r="X46" s="82" t="n">
        <f aca="false">1</f>
        <v>1</v>
      </c>
      <c r="Y46" s="85" t="n">
        <f aca="false">INDEX(cfg_u_3464,D46,C46)*O46</f>
        <v>11600</v>
      </c>
      <c r="Z46" s="85" t="n">
        <f aca="false">INDEX(cfg_u_3463,D46,C46)*O46</f>
        <v>11600</v>
      </c>
      <c r="AA46" s="85" t="n">
        <f aca="false">INDEX(cfg_u_3460,D46,C46)*O46</f>
        <v>11600</v>
      </c>
      <c r="AB46" s="85" t="n">
        <f aca="false">Y46+Z46+AA46</f>
        <v>34800</v>
      </c>
      <c r="AC46" s="86" t="n">
        <f aca="false">Y46*INDEX(lg_vpu_3464,C46)</f>
        <v>7.736388</v>
      </c>
      <c r="AD46" s="86" t="n">
        <f aca="false">Z46*INDEX(lg_vpu_3463,C46)</f>
        <v>9.464208</v>
      </c>
      <c r="AE46" s="86" t="n">
        <f aca="false">AA46*INDEX(lg_vpu_3460,C46)</f>
        <v>6.182568</v>
      </c>
      <c r="AF46" s="86" t="n">
        <f aca="false">AC46+AD46+AE46</f>
        <v>23.383164</v>
      </c>
      <c r="AG46" s="85" t="n">
        <f aca="false">Y46*INDEX(lg_kpu_3464,C46)+Z46*INDEX(lg_kpu_3463,C46)+AA46*INDEX(lg_kpu_3460,C46)</f>
        <v>5716.112512</v>
      </c>
      <c r="AH46" s="87" t="n">
        <f aca="false">INDEX(in_sup_requote,1,C46)</f>
        <v>-0.05</v>
      </c>
      <c r="AI46" s="88" t="n">
        <f aca="false">Y46*q_price_3464*(1+AH46)*J46/I46</f>
        <v>1688.32051282051</v>
      </c>
      <c r="AJ46" s="88" t="n">
        <f aca="false">Z46*q_price_3463*(1+AH46)*J46/I46</f>
        <v>1594.46886446886</v>
      </c>
      <c r="AK46" s="88" t="n">
        <f aca="false">AA46*q_price_3460*(1+AH46)*J46/I46</f>
        <v>1392.63736263736</v>
      </c>
      <c r="AL46" s="88" t="n">
        <f aca="false">AI46+AJ46+AK46</f>
        <v>4675.42673992674</v>
      </c>
      <c r="AM46" s="88" t="n">
        <f aca="false">IF(OR(K46=2,K46=3),AL46*INDEX(in_sup_vat_rate,1,C46),0)</f>
        <v>0</v>
      </c>
      <c r="AN46" s="88" t="n">
        <f aca="false">IF(K46=3,AM46,0)</f>
        <v>0</v>
      </c>
      <c r="AO46" s="88" t="n">
        <f aca="false">INDEX(in_sup_tooling_egp,1,C46)/I46</f>
        <v>0</v>
      </c>
      <c r="AP46" s="88" t="n">
        <f aca="false">IF(F46=4,INDEX(in_ori_lcl_truck,1,C46)*V46/I46+INDEX(in_ori_lcl_cfs_o,1,C46),G46*(IF(F46=1,INDEX(in_ori_truck_20,1,C46),INDEX(in_ori_truck_40,1,C46))*V46/I46+INDEX(in_ori_terminal,1,C46)+IF(F46=1,INDEX(in_ori_othc_20,1,C46),INDEX(in_ori_othc_40,1,C46))*(1-INDEX(in_ori_othc_in_freight,1,C46))+INDEX(in_ori_seal,1,C46)+INDEX(in_ori_inspection,1,C46)+INDEX(in_ori_dd_days,1,C46)*IF(F46=1,INDEX(in_ori_dd_20,1,C46),INDEX(in_ori_dd_40,1,C46))+INDEX(in_ori_loading_egp,1,C46)/I46))</f>
        <v>340.677655677656</v>
      </c>
      <c r="AQ46" s="88" t="n">
        <f aca="false">(INDEX(in_ori_clearance,1,C46)+INDEX(in_ori_coo,1,C46))/I46+INDEX(in_ori_bl_fee,1,C46)+INDEX(in_ori_fwd_fee,1,C46)+INDEX(in_ori_qc,1,C46)+INDEX(in_ori_wires,1,C46)*INDEX(in_ori_wire_fee,1,C46)</f>
        <v>298.260073260073</v>
      </c>
      <c r="AR46" s="88" t="n">
        <f aca="false">AP46+AQ46</f>
        <v>638.937728937729</v>
      </c>
      <c r="AS46" s="85" t="n">
        <f aca="false">INDEX(tbl_port_diff,H46,C46)</f>
        <v>0</v>
      </c>
      <c r="AT46" s="88" t="n">
        <f aca="false">IF(F46=4,MAX(AF46*INDEX(in_oce_lcl_factor,1,C46),AG46/1000,1)*INDEX(in_oce_lcl_rate,1,C46)*M46,G46*(INDEX(tbl_ocean_rate,MIN(F46,3),C46)+AS46)*M46)</f>
        <v>2000</v>
      </c>
      <c r="AU46" s="88" t="n">
        <f aca="false">AT46+INDEX(in_oce_ams,1,C46)</f>
        <v>2030</v>
      </c>
      <c r="AV46" s="88" t="n">
        <f aca="false">AI46*(1+IF(K46=3,INDEX(in_sup_vat_rate,1,C46),0))+AO46*Y46/AB46</f>
        <v>1688.32051282051</v>
      </c>
      <c r="AW46" s="88" t="n">
        <f aca="false">AJ46*(1+IF(K46=3,INDEX(in_sup_vat_rate,1,C46),0))+AO46*Z46/AB46</f>
        <v>1594.46886446886</v>
      </c>
      <c r="AX46" s="88" t="n">
        <f aca="false">AK46*(1+IF(K46=3,INDEX(in_sup_vat_rate,1,C46),0))+AO46*AA46/AB46</f>
        <v>1392.63736263736</v>
      </c>
      <c r="AY46" s="88" t="n">
        <f aca="false">AV46+AW46+AX46</f>
        <v>4675.42673992674</v>
      </c>
      <c r="AZ46" s="88" t="n">
        <f aca="false">MAX(INDEX(in_oce_ins_min,1,C46),INDEX(in_oce_ins_rate,1,C46)*(1+INDEX(in_oce_ins_uplift,1,C46))*(AL46+AO46+AR46+AU46))*(1-INDEX(in_oce_ins_in_other,1,C46))</f>
        <v>50</v>
      </c>
      <c r="BA46" s="87" t="n">
        <f aca="false">INDEX(in_cus_mfn,1,C46)+L46</f>
        <v>0</v>
      </c>
      <c r="BB46" s="88" t="n">
        <f aca="false">AY46*BA46</f>
        <v>0</v>
      </c>
      <c r="BC46" s="88" t="n">
        <f aca="false">MIN(MAX(AY46*INDEX(in_cus_mpf_rate,1,C46),INDEX(in_cus_mpf_min,1,C46)),INDEX(in_cus_mpf_max,1,C46))</f>
        <v>34.58</v>
      </c>
      <c r="BD46" s="88" t="n">
        <f aca="false">AY46*INDEX(in_cus_hmf,1,C46)</f>
        <v>5.84428342490843</v>
      </c>
      <c r="BE46" s="88" t="n">
        <f aca="false">MAX(INDEX(in_cus_stb_min,1,C46),INDEX(in_cus_stb_rate,1,C46)/1000*(AY46+BB46+BC46+BD46))</f>
        <v>50</v>
      </c>
      <c r="BF46" s="88" t="n">
        <f aca="false">INDEX(in_cus_broker,1,C46)+INDEX(in_cus_isf,1,C46)+INDEX(in_cus_do_fee,1,C46)+BE46+INDEX(in_cus_isf_bond,1,C46)</f>
        <v>385</v>
      </c>
      <c r="BG46" s="88" t="n">
        <f aca="false">IF(H46=1,INDEX(in_cus_cfc,1,C46)*INDEX(ct_teu,F46)*G46*(1-INDEX(in_cus_cfc_in_freight,1,C46)),0)</f>
        <v>14.8</v>
      </c>
      <c r="BH46" s="88" t="n">
        <f aca="false">IF(F46=4,1,G46)*(INDEX(in_cus_exam,1,C46)+INDEX(in_cus_exam_dray,1,C46))</f>
        <v>0</v>
      </c>
      <c r="BI46" s="88" t="n">
        <f aca="false">IF(F46=4,1,G46)*INDEX(in_cus_dem_days,1,C46)*INDEX(in_cus_dem_rate,1,C46)</f>
        <v>0</v>
      </c>
      <c r="BJ46" s="88" t="n">
        <f aca="false">BG46+BH46+BI46</f>
        <v>14.8</v>
      </c>
      <c r="BK46" s="88" t="n">
        <f aca="false">IF(F46=4,(INDEX(in_dra_lcl_cfs_d,1,C46)+INDEX(in_dra_lcl_deliv,1,C46))*P46,G46*(INDEX(tbl_dest_line,E46,C46)*P46*(1+INDEX(in_dra_fsc,1,C46))+INDEX(tbl_dest_tolls,E46,C46)+INDEX(in_dra_chassis_days,1,C46)*INDEX(tbl_dest_chassis,E46,C46)*(1-INDEX(in_dra_chassis_in_dray,1,C46))+INDEX(in_dra_wait_hours,1,C46)*INDEX(in_dra_wait_rate,1,C46)+INDEX(in_dra_split,1,C46)+INDEX(in_dra_prepull,1,C46)+INDEX(in_dra_dryrun,1,C46)))</f>
        <v>866</v>
      </c>
      <c r="BL46" s="88" t="n">
        <f aca="false">IF(F46=4,0,G46*IF(F46=1,INDEX(in_dra_unload_20,1,C46),INDEX(in_dra_unload_40,1,C46))*Q46*(1-INDEX(in_dra_unload_in_dray,1,C46)))</f>
        <v>150</v>
      </c>
      <c r="BM46" s="88" t="n">
        <f aca="false">AL46+AN46+AO46+AR46+AU46+AZ46+BB46+BC46+BD46+BF46+BJ46+BK46+BL46</f>
        <v>8850.58875228938</v>
      </c>
      <c r="BN46" s="88" t="n">
        <f aca="false">AP46+AU46+BJ46+BK46+BL46</f>
        <v>3401.47765567766</v>
      </c>
      <c r="BO46" s="88" t="n">
        <f aca="false">AQ46+BF46</f>
        <v>683.260073260073</v>
      </c>
      <c r="BP46" s="88" t="n">
        <f aca="false">AI46*(1+IF(K46=3,INDEX(in_sup_vat_rate,1,C46),0))+AO46*Y46/AB46+AV46*BA46+(BC46+BD46)*AV46/AY46+AZ46*AI46/AL46+BN46*AC46/AF46+BO46*Y46/AB46</f>
        <v>3074.11534374172</v>
      </c>
      <c r="BQ46" s="88" t="n">
        <f aca="false">AJ46*(1+IF(K46=3,INDEX(in_sup_vat_rate,1,C46),0))+AO46*Z46/AB46+AW46*BA46+(BC46+BD46)*AW46/AY46+AZ46*AJ46/AL46+BN46*AD46/AF46+BO46*Z46/AB46</f>
        <v>3229.78928726687</v>
      </c>
      <c r="BR46" s="88" t="n">
        <f aca="false">AK46*(1+IF(K46=3,INDEX(in_sup_vat_rate,1,C46),0))+AO46*AA46/AB46+AX46*BA46+(BC46+BD46)*AX46/AY46+AZ46*AK46/AL46+BN46*AE46/AF46+BO46*AA46/AB46</f>
        <v>2546.68412128079</v>
      </c>
      <c r="BS46" s="89" t="n">
        <f aca="false">BP46+BQ46+BR46-BM46</f>
        <v>0</v>
      </c>
      <c r="BT46" s="85" t="n">
        <f aca="false">Y46*(1-R46)</f>
        <v>11542</v>
      </c>
      <c r="BU46" s="85" t="n">
        <f aca="false">Z46*(1-R46)</f>
        <v>11542</v>
      </c>
      <c r="BV46" s="85" t="n">
        <f aca="false">AA46*(1-R46)</f>
        <v>11542</v>
      </c>
      <c r="BW46" s="85" t="n">
        <f aca="false">BT46+BU46+BV46</f>
        <v>34626</v>
      </c>
      <c r="BX46" s="90" t="n">
        <f aca="false">IF(BT46&gt;0,BP46/BT46,0)</f>
        <v>0.266341651684432</v>
      </c>
      <c r="BY46" s="90" t="n">
        <f aca="false">IF(BU46&gt;0,BQ46/BU46,0)</f>
        <v>0.27982925725757</v>
      </c>
      <c r="BZ46" s="90" t="n">
        <f aca="false">IF(BV46&gt;0,BR46/BV46,0)</f>
        <v>0.220644959390122</v>
      </c>
      <c r="CA46" s="90" t="n">
        <f aca="false">INDEX(in_mkt_listing_3464,1,C46)*(1-IF(sku_flute_3464="B",T46,0))*(1-S46)*N46</f>
        <v>0.2856</v>
      </c>
      <c r="CB46" s="90" t="n">
        <f aca="false">INDEX(in_mkt_listing_3463,1,C46)*(1-IF(sku_flute_3463="B",T46,0))*(1-S46)*N46</f>
        <v>0.3128</v>
      </c>
      <c r="CC46" s="90" t="n">
        <f aca="false">INDEX(in_mkt_listing_3460,1,C46)*(1-IF(sku_flute_3460="B",T46,0))*(1-S46)*N46</f>
        <v>0.256</v>
      </c>
      <c r="CD46" s="88" t="n">
        <f aca="false">BT46*CA46+BU46*CB46+BV46*CC46</f>
        <v>9861.4848</v>
      </c>
      <c r="CE46" s="88" t="n">
        <f aca="false">CD46-BM46</f>
        <v>1010.89604771062</v>
      </c>
      <c r="CF46" s="87" t="n">
        <f aca="false">IF(CD46&gt;0,CE46/CD46,0)</f>
        <v>0.10250951740154</v>
      </c>
      <c r="CG46" s="87" t="n">
        <f aca="false">W46+INDEX(in_sel_processing,1,C46)+INDEX(in_sel_bad_debt,1,C46)</f>
        <v>0.0325</v>
      </c>
      <c r="CH46" s="88" t="n">
        <f aca="false">CD46*CG46</f>
        <v>320.498256</v>
      </c>
      <c r="CI46" s="88" t="n">
        <f aca="false">INDEX(in_sel_testing,1,C46)*X46+INDEX(in_sel_admin,1,C46)</f>
        <v>1250</v>
      </c>
      <c r="CJ46" s="79" t="n">
        <f aca="false">INDEX(in_sup_lead_days,1,C46)</f>
        <v>14</v>
      </c>
      <c r="CK46" s="79" t="n">
        <f aca="false">CJ46+INDEX(in_oce_transit,1,C46)+IF(F46=4,INDEX(in_oce_lcl_extra_days,1,C46),0)</f>
        <v>39</v>
      </c>
      <c r="CL46" s="79" t="n">
        <f aca="false">CK46+2+INDEX(in_cus_dem_days,1,C46)</f>
        <v>41</v>
      </c>
      <c r="CM46" s="79" t="n">
        <f aca="false">CL46+U46</f>
        <v>71</v>
      </c>
      <c r="CN46" s="79" t="n">
        <f aca="false">CJ46+INDEX(in_sup_vat_lag,1,C46)</f>
        <v>44</v>
      </c>
      <c r="CO46" s="91" t="n">
        <f aca="false">INDEX(in_sup_advance,1,C46)</f>
        <v>0.5</v>
      </c>
      <c r="CP46" s="88" t="n">
        <f aca="false">CO46*(AL46+AM46)+AO46+INDEX(in_sel_testing,1,C46)*X46</f>
        <v>3337.71336996337</v>
      </c>
      <c r="CQ46" s="88" t="n">
        <f aca="false">(1-CO46)*(AL46+AM46)+AR46+AU46+AZ46</f>
        <v>5056.6510989011</v>
      </c>
      <c r="CR46" s="88" t="n">
        <f aca="false">BB46+BC46+BD46+BF46+BJ46</f>
        <v>440.224283424908</v>
      </c>
      <c r="CS46" s="88" t="n">
        <f aca="false">BK46+BL46</f>
        <v>1016</v>
      </c>
      <c r="CT46" s="88" t="n">
        <f aca="false">IF(K46=2,AM46,0)</f>
        <v>0</v>
      </c>
      <c r="CU46" s="85" t="n">
        <f aca="false">IF(K46=2,CO46*AM46*(CN46-0)+(1-CO46)*AM46*(CN46-CJ46),0)</f>
        <v>0</v>
      </c>
      <c r="CV46" s="85" t="n">
        <f aca="false">(CP46-CO46*CT46)*(CM46-0)+(CQ46-(1-CO46)*CT46)*(CM46-CJ46)+CR46*(CM46-CK46)+CS46*(CM46-CL46)</f>
        <v>569773.938974359</v>
      </c>
      <c r="CW46" s="88" t="n">
        <f aca="false">INDEX(in_sel_fin_rate,1,C46)/365*(CU46+CV46)</f>
        <v>124.881959227257</v>
      </c>
      <c r="CX46" s="85" t="n">
        <f aca="false">CP46-IF(CN46&lt;=0,CT46,0)</f>
        <v>3337.71336996337</v>
      </c>
      <c r="CY46" s="85" t="n">
        <f aca="false">CP46+CQ46-IF(CN46&lt;=CJ46,CT46,0)</f>
        <v>8394.36446886447</v>
      </c>
      <c r="CZ46" s="85" t="n">
        <f aca="false">CP46+CQ46+CR46-IF(CN46&lt;=CK46,CT46,0)</f>
        <v>8834.58875228938</v>
      </c>
      <c r="DA46" s="85" t="n">
        <f aca="false">CP46+CQ46+CR46+CS46-IF(CN46&lt;=CL46,CT46,0)</f>
        <v>9850.58875228938</v>
      </c>
      <c r="DB46" s="88" t="n">
        <f aca="false">MAX(CX46,CY46,CZ46,DA46)</f>
        <v>9850.58875228938</v>
      </c>
      <c r="DC46" s="88" t="n">
        <f aca="false">CP46+CQ46+CR46+CS46</f>
        <v>9850.58875228938</v>
      </c>
      <c r="DD46" s="88" t="n">
        <f aca="false">CE46-CH46-CI46-CW46</f>
        <v>-684.484167516634</v>
      </c>
      <c r="DE46" s="87" t="n">
        <f aca="false">IF(CD46&gt;0,DD46/CD46,0)</f>
        <v>-0.0694098486585543</v>
      </c>
      <c r="DF46" s="86" t="n">
        <f aca="false">IF(CD46&gt;0,(BM46+CI46+CW46)/(CD46*(1-CG46)),0)</f>
        <v>1.07174144564192</v>
      </c>
      <c r="DG46" s="90" t="n">
        <f aca="false">IF(BW46&gt;0,BM46/BW46,0)</f>
        <v>0.255605289444041</v>
      </c>
      <c r="DH46" s="90" t="n">
        <f aca="false">IF(BW46&gt;0,CD46/BW46,0)</f>
        <v>0.2848</v>
      </c>
      <c r="DI46" s="90" t="n">
        <f aca="false">IF(AI46&gt;0,(AI46*IF(K46=3,INDEX(in_sup_vat_rate,1,C46),0)+AV46*BA46+(BC46+BD46)*AV46/AY46+AZ46*AI46/AL46)/AI46,0)</f>
        <v>0.0193403273016155</v>
      </c>
      <c r="DJ46" s="90" t="n">
        <f aca="false">IF(AJ46&gt;0,(AJ46*IF(K46=3,INDEX(in_sup_vat_rate,1,C46),0)+AW46*BA46+(BC46+BD46)*AW46/AY46+AZ46*AJ46/AL46)/AJ46,0)</f>
        <v>0.0193403273016155</v>
      </c>
      <c r="DK46" s="90" t="n">
        <f aca="false">IF(AK46&gt;0,(AK46*IF(K46=3,INDEX(in_sup_vat_rate,1,C46),0)+AX46*BA46+(BC46+BD46)*AX46/AY46+AZ46*AK46/AL46)/AK46,0)</f>
        <v>0.0193403273016155</v>
      </c>
      <c r="DL46" s="90" t="n">
        <f aca="false">IF(Y46&gt;0,(BP46-AI46*(1+DI46))/Y46,0)</f>
        <v>0.116650186173554</v>
      </c>
      <c r="DM46" s="90" t="n">
        <f aca="false">IF(Z46&gt;0,(BQ46-AJ46*(1+DJ46))/Z46,0)</f>
        <v>0.138317489059219</v>
      </c>
      <c r="DN46" s="90" t="n">
        <f aca="false">IF(AA46&gt;0,(BR46-AK46*(1+DK46))/AA46,0)</f>
        <v>0.0971648876066865</v>
      </c>
      <c r="DO46" s="86" t="n">
        <f aca="false">IF(Y46&gt;0,(CA46*(1-thr_gm_go)*(1-R46)-DL46)/(1+DI46)*I46/((1+AH46)*J46),"")</f>
        <v>5.43978564406057</v>
      </c>
      <c r="DP46" s="86" t="n">
        <f aca="false">IF(Z46&gt;0,(CB46*(1-thr_gm_go)*(1-R46)-DM46)/(1+DJ46)*I46/((1+AH46)*J46),"")</f>
        <v>5.36257994589338</v>
      </c>
      <c r="DQ46" s="86" t="n">
        <f aca="false">IF(AA46&gt;0,(CC46*(1-thr_gm_go)*(1-R46)-DN46)/(1+DK46)*I46/((1+AH46)*J46),"")</f>
        <v>5.29298058794894</v>
      </c>
      <c r="DR46" s="92" t="n">
        <f aca="false">IF(AND(AY46*INDEX(in_cus_mpf_rate,1,C46)&gt;INDEX(in_cus_mpf_min,1,C46),AY46*INDEX(in_cus_mpf_rate,1,C46)&lt;INDEX(in_cus_mpf_max,1,C46)),INDEX(in_cus_mpf_rate,1,C46),0)</f>
        <v>0</v>
      </c>
      <c r="DS46" s="88" t="n">
        <f aca="false">IF(AZ46&gt;INDEX(in_oce_ins_min,1,C46),INDEX(in_oce_ins_rate,1,C46)*(1+INDEX(in_oce_ins_uplift,1,C46))*AL46,0)</f>
        <v>0</v>
      </c>
      <c r="DT46" s="88" t="n">
        <f aca="false">(AL46+AN46)*(1+BA46+INDEX(in_cus_hmf,1,C46)+DR46)+DS46</f>
        <v>4681.27102335165</v>
      </c>
      <c r="DU46" s="86" t="n">
        <f aca="false">IF(DT46&gt;0,(CD46*(1-thr_gm_go)-(BM46-DT46))/DT46,0)</f>
        <v>0.689299093123641</v>
      </c>
      <c r="DV46" s="86" t="n">
        <f aca="false">IF(DT46&gt;0,(CD46-(BM46-DT46))/DT46,0)</f>
        <v>1.21594478137838</v>
      </c>
      <c r="DW46" s="87" t="n">
        <f aca="false">(1+AH46)*J46*DU46-1</f>
        <v>-0.345165861532541</v>
      </c>
      <c r="DX46" s="87" t="n">
        <f aca="false">(1+AH46)*J46*DV46-1</f>
        <v>0.155147542309462</v>
      </c>
      <c r="DY46" s="85" t="n">
        <f aca="false">IF(G46&gt;0,(CD46*(1-thr_gm_go)-(BM46-AT46))/G46,"")</f>
        <v>545.524847710623</v>
      </c>
      <c r="DZ46" s="90" t="n">
        <f aca="false">IF(AB46&gt;0,(AL46+AN46+BB46+BC46+BD46)/AB46,0)</f>
        <v>0.135512960441139</v>
      </c>
      <c r="EA46" s="88" t="n">
        <f aca="false">BM46-DZ46*AB46</f>
        <v>4134.73772893773</v>
      </c>
      <c r="EB46" s="90" t="n">
        <f aca="false">IF(AB46&gt;0,CD46/AB46,0)</f>
        <v>0.283376</v>
      </c>
      <c r="EC46" s="85" t="n">
        <f aca="false">IF(EB46*(1-thr_gm_go)-DZ46&gt;0,EA46/(EB46*(1-thr_gm_go)-DZ46),"n/a")</f>
        <v>53684.6181492281</v>
      </c>
      <c r="ED46" s="85" t="n">
        <f aca="false">IF(EB46-DZ46&gt;0,EA46/(EB46-DZ46),"n/a")</f>
        <v>27963.2945547003</v>
      </c>
      <c r="EE46" s="93" t="b">
        <f aca="false">INDEX(cfg_fits,D46,C46)</f>
        <v>1</v>
      </c>
      <c r="EF46" s="87" t="n">
        <f aca="false">IF(F46=4,"",INDEX(cfg_lenutil,D46,C46))</f>
        <v>0.972413793103448</v>
      </c>
      <c r="EG46" s="31" t="str">
        <f aca="false">IF(O46&gt;1,"Check fit (units scaled up)","")</f>
        <v/>
      </c>
    </row>
    <row r="47" customFormat="false" ht="15" hidden="false" customHeight="false" outlineLevel="0" collapsed="false">
      <c r="A47" s="78" t="n">
        <v>1093</v>
      </c>
      <c r="B47" s="9" t="s">
        <v>3195</v>
      </c>
      <c r="C47" s="78" t="n">
        <v>1</v>
      </c>
      <c r="D47" s="78" t="n">
        <v>9</v>
      </c>
      <c r="E47" s="78" t="n">
        <v>3</v>
      </c>
      <c r="F47" s="79" t="n">
        <f aca="false">INDEX(cfg_ct,D47)</f>
        <v>1</v>
      </c>
      <c r="G47" s="79" t="n">
        <f aca="false">INDEX(cfg_n,D47)</f>
        <v>1</v>
      </c>
      <c r="H47" s="79" t="n">
        <f aca="false">INDEX(dest_port,E47)</f>
        <v>2</v>
      </c>
      <c r="I47" s="80" t="n">
        <f aca="false">INDEX(in_fx_cbe,1,C47)*(1-INDEX(in_fx_spread,1,C47))</f>
        <v>54.6</v>
      </c>
      <c r="J47" s="81" t="n">
        <f aca="false">1</f>
        <v>1</v>
      </c>
      <c r="K47" s="82" t="n">
        <f aca="false">INDEX(in_sup_vat_mode,1,C47)</f>
        <v>1</v>
      </c>
      <c r="L47" s="83" t="n">
        <f aca="false">INDEX(in_cus_s301,1,C47)</f>
        <v>0</v>
      </c>
      <c r="M47" s="84" t="n">
        <f aca="false">1</f>
        <v>1</v>
      </c>
      <c r="N47" s="81" t="n">
        <f aca="false">1</f>
        <v>1</v>
      </c>
      <c r="O47" s="81" t="n">
        <f aca="false">1</f>
        <v>1</v>
      </c>
      <c r="P47" s="81" t="n">
        <f aca="false">1</f>
        <v>1</v>
      </c>
      <c r="Q47" s="81" t="n">
        <f aca="false">1</f>
        <v>1</v>
      </c>
      <c r="R47" s="83" t="n">
        <f aca="false">INDEX(in_sel_damage,1,C47)</f>
        <v>0.005</v>
      </c>
      <c r="S47" s="83" t="n">
        <f aca="false">INDEX(in_mkt_dist_margin,1,C47)</f>
        <v>0.2</v>
      </c>
      <c r="T47" s="83" t="n">
        <f aca="false">INDEX(in_mkt_eflute_disc,1,C47)</f>
        <v>0.15</v>
      </c>
      <c r="U47" s="82" t="n">
        <f aca="false">INDEX(in_sel_credit_days,1,C47)</f>
        <v>30</v>
      </c>
      <c r="V47" s="81" t="n">
        <f aca="false">1</f>
        <v>1</v>
      </c>
      <c r="W47" s="83" t="n">
        <f aca="false">INDEX(in_sel_commission,1,C47)</f>
        <v>0.03</v>
      </c>
      <c r="X47" s="82" t="n">
        <f aca="false">1</f>
        <v>1</v>
      </c>
      <c r="Y47" s="85" t="n">
        <f aca="false">INDEX(cfg_u_3464,D47,C47)*O47</f>
        <v>11600</v>
      </c>
      <c r="Z47" s="85" t="n">
        <f aca="false">INDEX(cfg_u_3463,D47,C47)*O47</f>
        <v>11600</v>
      </c>
      <c r="AA47" s="85" t="n">
        <f aca="false">INDEX(cfg_u_3460,D47,C47)*O47</f>
        <v>11600</v>
      </c>
      <c r="AB47" s="85" t="n">
        <f aca="false">Y47+Z47+AA47</f>
        <v>34800</v>
      </c>
      <c r="AC47" s="86" t="n">
        <f aca="false">Y47*INDEX(lg_vpu_3464,C47)</f>
        <v>7.736388</v>
      </c>
      <c r="AD47" s="86" t="n">
        <f aca="false">Z47*INDEX(lg_vpu_3463,C47)</f>
        <v>9.464208</v>
      </c>
      <c r="AE47" s="86" t="n">
        <f aca="false">AA47*INDEX(lg_vpu_3460,C47)</f>
        <v>6.182568</v>
      </c>
      <c r="AF47" s="86" t="n">
        <f aca="false">AC47+AD47+AE47</f>
        <v>23.383164</v>
      </c>
      <c r="AG47" s="85" t="n">
        <f aca="false">Y47*INDEX(lg_kpu_3464,C47)+Z47*INDEX(lg_kpu_3463,C47)+AA47*INDEX(lg_kpu_3460,C47)</f>
        <v>5716.112512</v>
      </c>
      <c r="AH47" s="87" t="n">
        <f aca="false">INDEX(in_sup_requote,1,C47)</f>
        <v>-0.05</v>
      </c>
      <c r="AI47" s="88" t="n">
        <f aca="false">Y47*q_price_3464*(1+AH47)*J47/I47</f>
        <v>1688.32051282051</v>
      </c>
      <c r="AJ47" s="88" t="n">
        <f aca="false">Z47*q_price_3463*(1+AH47)*J47/I47</f>
        <v>1594.46886446886</v>
      </c>
      <c r="AK47" s="88" t="n">
        <f aca="false">AA47*q_price_3460*(1+AH47)*J47/I47</f>
        <v>1392.63736263736</v>
      </c>
      <c r="AL47" s="88" t="n">
        <f aca="false">AI47+AJ47+AK47</f>
        <v>4675.42673992674</v>
      </c>
      <c r="AM47" s="88" t="n">
        <f aca="false">IF(OR(K47=2,K47=3),AL47*INDEX(in_sup_vat_rate,1,C47),0)</f>
        <v>0</v>
      </c>
      <c r="AN47" s="88" t="n">
        <f aca="false">IF(K47=3,AM47,0)</f>
        <v>0</v>
      </c>
      <c r="AO47" s="88" t="n">
        <f aca="false">INDEX(in_sup_tooling_egp,1,C47)/I47</f>
        <v>0</v>
      </c>
      <c r="AP47" s="88" t="n">
        <f aca="false">IF(F47=4,INDEX(in_ori_lcl_truck,1,C47)*V47/I47+INDEX(in_ori_lcl_cfs_o,1,C47),G47*(IF(F47=1,INDEX(in_ori_truck_20,1,C47),INDEX(in_ori_truck_40,1,C47))*V47/I47+INDEX(in_ori_terminal,1,C47)+IF(F47=1,INDEX(in_ori_othc_20,1,C47),INDEX(in_ori_othc_40,1,C47))*(1-INDEX(in_ori_othc_in_freight,1,C47))+INDEX(in_ori_seal,1,C47)+INDEX(in_ori_inspection,1,C47)+INDEX(in_ori_dd_days,1,C47)*IF(F47=1,INDEX(in_ori_dd_20,1,C47),INDEX(in_ori_dd_40,1,C47))+INDEX(in_ori_loading_egp,1,C47)/I47))</f>
        <v>340.677655677656</v>
      </c>
      <c r="AQ47" s="88" t="n">
        <f aca="false">(INDEX(in_ori_clearance,1,C47)+INDEX(in_ori_coo,1,C47))/I47+INDEX(in_ori_bl_fee,1,C47)+INDEX(in_ori_fwd_fee,1,C47)+INDEX(in_ori_qc,1,C47)+INDEX(in_ori_wires,1,C47)*INDEX(in_ori_wire_fee,1,C47)</f>
        <v>298.260073260073</v>
      </c>
      <c r="AR47" s="88" t="n">
        <f aca="false">AP47+AQ47</f>
        <v>638.937728937729</v>
      </c>
      <c r="AS47" s="85" t="n">
        <f aca="false">INDEX(tbl_port_diff,H47,C47)</f>
        <v>0</v>
      </c>
      <c r="AT47" s="88" t="n">
        <f aca="false">IF(F47=4,MAX(AF47*INDEX(in_oce_lcl_factor,1,C47),AG47/1000,1)*INDEX(in_oce_lcl_rate,1,C47)*M47,G47*(INDEX(tbl_ocean_rate,MIN(F47,3),C47)+AS47)*M47)</f>
        <v>2000</v>
      </c>
      <c r="AU47" s="88" t="n">
        <f aca="false">AT47+INDEX(in_oce_ams,1,C47)</f>
        <v>2030</v>
      </c>
      <c r="AV47" s="88" t="n">
        <f aca="false">AI47*(1+IF(K47=3,INDEX(in_sup_vat_rate,1,C47),0))+AO47*Y47/AB47</f>
        <v>1688.32051282051</v>
      </c>
      <c r="AW47" s="88" t="n">
        <f aca="false">AJ47*(1+IF(K47=3,INDEX(in_sup_vat_rate,1,C47),0))+AO47*Z47/AB47</f>
        <v>1594.46886446886</v>
      </c>
      <c r="AX47" s="88" t="n">
        <f aca="false">AK47*(1+IF(K47=3,INDEX(in_sup_vat_rate,1,C47),0))+AO47*AA47/AB47</f>
        <v>1392.63736263736</v>
      </c>
      <c r="AY47" s="88" t="n">
        <f aca="false">AV47+AW47+AX47</f>
        <v>4675.42673992674</v>
      </c>
      <c r="AZ47" s="88" t="n">
        <f aca="false">MAX(INDEX(in_oce_ins_min,1,C47),INDEX(in_oce_ins_rate,1,C47)*(1+INDEX(in_oce_ins_uplift,1,C47))*(AL47+AO47+AR47+AU47))*(1-INDEX(in_oce_ins_in_other,1,C47))</f>
        <v>50</v>
      </c>
      <c r="BA47" s="87" t="n">
        <f aca="false">INDEX(in_cus_mfn,1,C47)+L47</f>
        <v>0</v>
      </c>
      <c r="BB47" s="88" t="n">
        <f aca="false">AY47*BA47</f>
        <v>0</v>
      </c>
      <c r="BC47" s="88" t="n">
        <f aca="false">MIN(MAX(AY47*INDEX(in_cus_mpf_rate,1,C47),INDEX(in_cus_mpf_min,1,C47)),INDEX(in_cus_mpf_max,1,C47))</f>
        <v>34.58</v>
      </c>
      <c r="BD47" s="88" t="n">
        <f aca="false">AY47*INDEX(in_cus_hmf,1,C47)</f>
        <v>5.84428342490843</v>
      </c>
      <c r="BE47" s="88" t="n">
        <f aca="false">MAX(INDEX(in_cus_stb_min,1,C47),INDEX(in_cus_stb_rate,1,C47)/1000*(AY47+BB47+BC47+BD47))</f>
        <v>50</v>
      </c>
      <c r="BF47" s="88" t="n">
        <f aca="false">INDEX(in_cus_broker,1,C47)+INDEX(in_cus_isf,1,C47)+INDEX(in_cus_do_fee,1,C47)+BE47+INDEX(in_cus_isf_bond,1,C47)</f>
        <v>385</v>
      </c>
      <c r="BG47" s="88" t="n">
        <f aca="false">IF(H47=1,INDEX(in_cus_cfc,1,C47)*INDEX(ct_teu,F47)*G47*(1-INDEX(in_cus_cfc_in_freight,1,C47)),0)</f>
        <v>0</v>
      </c>
      <c r="BH47" s="88" t="n">
        <f aca="false">IF(F47=4,1,G47)*(INDEX(in_cus_exam,1,C47)+INDEX(in_cus_exam_dray,1,C47))</f>
        <v>0</v>
      </c>
      <c r="BI47" s="88" t="n">
        <f aca="false">IF(F47=4,1,G47)*INDEX(in_cus_dem_days,1,C47)*INDEX(in_cus_dem_rate,1,C47)</f>
        <v>0</v>
      </c>
      <c r="BJ47" s="88" t="n">
        <f aca="false">BG47+BH47+BI47</f>
        <v>0</v>
      </c>
      <c r="BK47" s="88" t="n">
        <f aca="false">IF(F47=4,(INDEX(in_dra_lcl_cfs_d,1,C47)+INDEX(in_dra_lcl_deliv,1,C47))*P47,G47*(INDEX(tbl_dest_line,E47,C47)*P47*(1+INDEX(in_dra_fsc,1,C47))+INDEX(tbl_dest_tolls,E47,C47)+INDEX(in_dra_chassis_days,1,C47)*INDEX(tbl_dest_chassis,E47,C47)*(1-INDEX(in_dra_chassis_in_dray,1,C47))+INDEX(in_dra_wait_hours,1,C47)*INDEX(in_dra_wait_rate,1,C47)+INDEX(in_dra_split,1,C47)+INDEX(in_dra_prepull,1,C47)+INDEX(in_dra_dryrun,1,C47)))</f>
        <v>567.5</v>
      </c>
      <c r="BL47" s="88" t="n">
        <f aca="false">IF(F47=4,0,G47*IF(F47=1,INDEX(in_dra_unload_20,1,C47),INDEX(in_dra_unload_40,1,C47))*Q47*(1-INDEX(in_dra_unload_in_dray,1,C47)))</f>
        <v>150</v>
      </c>
      <c r="BM47" s="88" t="n">
        <f aca="false">AL47+AN47+AO47+AR47+AU47+AZ47+BB47+BC47+BD47+BF47+BJ47+BK47+BL47</f>
        <v>8537.28875228938</v>
      </c>
      <c r="BN47" s="88" t="n">
        <f aca="false">AP47+AU47+BJ47+BK47+BL47</f>
        <v>3088.17765567766</v>
      </c>
      <c r="BO47" s="88" t="n">
        <f aca="false">AQ47+BF47</f>
        <v>683.260073260073</v>
      </c>
      <c r="BP47" s="88" t="n">
        <f aca="false">AI47*(1+IF(K47=3,INDEX(in_sup_vat_rate,1,C47),0))+AO47*Y47/AB47+AV47*BA47+(BC47+BD47)*AV47/AY47+AZ47*AI47/AL47+BN47*AC47/AF47+BO47*Y47/AB47</f>
        <v>2970.45912508799</v>
      </c>
      <c r="BQ47" s="88" t="n">
        <f aca="false">AJ47*(1+IF(K47=3,INDEX(in_sup_vat_rate,1,C47),0))+AO47*Z47/AB47+AW47*BA47+(BC47+BD47)*AW47/AY47+AZ47*AJ47/AL47+BN47*AD47/AF47+BO47*Z47/AB47</f>
        <v>3102.98282230772</v>
      </c>
      <c r="BR47" s="88" t="n">
        <f aca="false">AK47*(1+IF(K47=3,INDEX(in_sup_vat_rate,1,C47),0))+AO47*AA47/AB47+AX47*BA47+(BC47+BD47)*AX47/AY47+AZ47*AK47/AL47+BN47*AE47/AF47+BO47*AA47/AB47</f>
        <v>2463.84680489367</v>
      </c>
      <c r="BS47" s="89" t="n">
        <f aca="false">BP47+BQ47+BR47-BM47</f>
        <v>0</v>
      </c>
      <c r="BT47" s="85" t="n">
        <f aca="false">Y47*(1-R47)</f>
        <v>11542</v>
      </c>
      <c r="BU47" s="85" t="n">
        <f aca="false">Z47*(1-R47)</f>
        <v>11542</v>
      </c>
      <c r="BV47" s="85" t="n">
        <f aca="false">AA47*(1-R47)</f>
        <v>11542</v>
      </c>
      <c r="BW47" s="85" t="n">
        <f aca="false">BT47+BU47+BV47</f>
        <v>34626</v>
      </c>
      <c r="BX47" s="90" t="n">
        <f aca="false">IF(BT47&gt;0,BP47/BT47,0)</f>
        <v>0.257360866841794</v>
      </c>
      <c r="BY47" s="90" t="n">
        <f aca="false">IF(BU47&gt;0,BQ47/BU47,0)</f>
        <v>0.268842732828602</v>
      </c>
      <c r="BZ47" s="90" t="n">
        <f aca="false">IF(BV47&gt;0,BR47/BV47,0)</f>
        <v>0.213467926260065</v>
      </c>
      <c r="CA47" s="90" t="n">
        <f aca="false">INDEX(in_mkt_listing_3464,1,C47)*(1-IF(sku_flute_3464="B",T47,0))*(1-S47)*N47</f>
        <v>0.2856</v>
      </c>
      <c r="CB47" s="90" t="n">
        <f aca="false">INDEX(in_mkt_listing_3463,1,C47)*(1-IF(sku_flute_3463="B",T47,0))*(1-S47)*N47</f>
        <v>0.3128</v>
      </c>
      <c r="CC47" s="90" t="n">
        <f aca="false">INDEX(in_mkt_listing_3460,1,C47)*(1-IF(sku_flute_3460="B",T47,0))*(1-S47)*N47</f>
        <v>0.256</v>
      </c>
      <c r="CD47" s="88" t="n">
        <f aca="false">BT47*CA47+BU47*CB47+BV47*CC47</f>
        <v>9861.4848</v>
      </c>
      <c r="CE47" s="88" t="n">
        <f aca="false">CD47-BM47</f>
        <v>1324.19604771062</v>
      </c>
      <c r="CF47" s="87" t="n">
        <f aca="false">IF(CD47&gt;0,CE47/CD47,0)</f>
        <v>0.134279581073899</v>
      </c>
      <c r="CG47" s="87" t="n">
        <f aca="false">W47+INDEX(in_sel_processing,1,C47)+INDEX(in_sel_bad_debt,1,C47)</f>
        <v>0.0325</v>
      </c>
      <c r="CH47" s="88" t="n">
        <f aca="false">CD47*CG47</f>
        <v>320.498256</v>
      </c>
      <c r="CI47" s="88" t="n">
        <f aca="false">INDEX(in_sel_testing,1,C47)*X47+INDEX(in_sel_admin,1,C47)</f>
        <v>1250</v>
      </c>
      <c r="CJ47" s="79" t="n">
        <f aca="false">INDEX(in_sup_lead_days,1,C47)</f>
        <v>14</v>
      </c>
      <c r="CK47" s="79" t="n">
        <f aca="false">CJ47+INDEX(in_oce_transit,1,C47)+IF(F47=4,INDEX(in_oce_lcl_extra_days,1,C47),0)</f>
        <v>39</v>
      </c>
      <c r="CL47" s="79" t="n">
        <f aca="false">CK47+2+INDEX(in_cus_dem_days,1,C47)</f>
        <v>41</v>
      </c>
      <c r="CM47" s="79" t="n">
        <f aca="false">CL47+U47</f>
        <v>71</v>
      </c>
      <c r="CN47" s="79" t="n">
        <f aca="false">CJ47+INDEX(in_sup_vat_lag,1,C47)</f>
        <v>44</v>
      </c>
      <c r="CO47" s="91" t="n">
        <f aca="false">INDEX(in_sup_advance,1,C47)</f>
        <v>0.5</v>
      </c>
      <c r="CP47" s="88" t="n">
        <f aca="false">CO47*(AL47+AM47)+AO47+INDEX(in_sel_testing,1,C47)*X47</f>
        <v>3337.71336996337</v>
      </c>
      <c r="CQ47" s="88" t="n">
        <f aca="false">(1-CO47)*(AL47+AM47)+AR47+AU47+AZ47</f>
        <v>5056.6510989011</v>
      </c>
      <c r="CR47" s="88" t="n">
        <f aca="false">BB47+BC47+BD47+BF47+BJ47</f>
        <v>425.424283424908</v>
      </c>
      <c r="CS47" s="88" t="n">
        <f aca="false">BK47+BL47</f>
        <v>717.5</v>
      </c>
      <c r="CT47" s="88" t="n">
        <f aca="false">IF(K47=2,AM47,0)</f>
        <v>0</v>
      </c>
      <c r="CU47" s="85" t="n">
        <f aca="false">IF(K47=2,CO47*AM47*(CN47-0)+(1-CO47)*AM47*(CN47-CJ47),0)</f>
        <v>0</v>
      </c>
      <c r="CV47" s="85" t="n">
        <f aca="false">(CP47-CO47*CT47)*(CM47-0)+(CQ47-(1-CO47)*CT47)*(CM47-CJ47)+CR47*(CM47-CK47)+CS47*(CM47-CL47)</f>
        <v>560345.338974359</v>
      </c>
      <c r="CW47" s="88" t="n">
        <f aca="false">INDEX(in_sel_fin_rate,1,C47)/365*(CU47+CV47)</f>
        <v>122.815416761503</v>
      </c>
      <c r="CX47" s="85" t="n">
        <f aca="false">CP47-IF(CN47&lt;=0,CT47,0)</f>
        <v>3337.71336996337</v>
      </c>
      <c r="CY47" s="85" t="n">
        <f aca="false">CP47+CQ47-IF(CN47&lt;=CJ47,CT47,0)</f>
        <v>8394.36446886447</v>
      </c>
      <c r="CZ47" s="85" t="n">
        <f aca="false">CP47+CQ47+CR47-IF(CN47&lt;=CK47,CT47,0)</f>
        <v>8819.78875228938</v>
      </c>
      <c r="DA47" s="85" t="n">
        <f aca="false">CP47+CQ47+CR47+CS47-IF(CN47&lt;=CL47,CT47,0)</f>
        <v>9537.28875228938</v>
      </c>
      <c r="DB47" s="88" t="n">
        <f aca="false">MAX(CX47,CY47,CZ47,DA47)</f>
        <v>9537.28875228938</v>
      </c>
      <c r="DC47" s="88" t="n">
        <f aca="false">CP47+CQ47+CR47+CS47</f>
        <v>9537.28875228938</v>
      </c>
      <c r="DD47" s="88" t="n">
        <f aca="false">CE47-CH47-CI47-CW47</f>
        <v>-369.117625050879</v>
      </c>
      <c r="DE47" s="87" t="n">
        <f aca="false">IF(CD47&gt;0,DD47/CD47,0)</f>
        <v>-0.0374302280576328</v>
      </c>
      <c r="DF47" s="86" t="n">
        <f aca="false">IF(CD47&gt;0,(BM47+CI47+CW47)/(CD47*(1-CG47)),0)</f>
        <v>1.03868757421978</v>
      </c>
      <c r="DG47" s="90" t="n">
        <f aca="false">IF(BW47&gt;0,BM47/BW47,0)</f>
        <v>0.246557175310154</v>
      </c>
      <c r="DH47" s="90" t="n">
        <f aca="false">IF(BW47&gt;0,CD47/BW47,0)</f>
        <v>0.2848</v>
      </c>
      <c r="DI47" s="90" t="n">
        <f aca="false">IF(AI47&gt;0,(AI47*IF(K47=3,INDEX(in_sup_vat_rate,1,C47),0)+AV47*BA47+(BC47+BD47)*AV47/AY47+AZ47*AI47/AL47)/AI47,0)</f>
        <v>0.0193403273016155</v>
      </c>
      <c r="DJ47" s="90" t="n">
        <f aca="false">IF(AJ47&gt;0,(AJ47*IF(K47=3,INDEX(in_sup_vat_rate,1,C47),0)+AW47*BA47+(BC47+BD47)*AW47/AY47+AZ47*AJ47/AL47)/AJ47,0)</f>
        <v>0.0193403273016155</v>
      </c>
      <c r="DK47" s="90" t="n">
        <f aca="false">IF(AK47&gt;0,(AK47*IF(K47=3,INDEX(in_sup_vat_rate,1,C47),0)+AX47*BA47+(BC47+BD47)*AX47/AY47+AZ47*AK47/AL47)/AK47,0)</f>
        <v>0.0193403273016155</v>
      </c>
      <c r="DL47" s="90" t="n">
        <f aca="false">IF(Y47&gt;0,(BP47-AI47*(1+DI47))/Y47,0)</f>
        <v>0.107714305255129</v>
      </c>
      <c r="DM47" s="90" t="n">
        <f aca="false">IF(Z47&gt;0,(BQ47-AJ47*(1+DJ47))/Z47,0)</f>
        <v>0.127385897252396</v>
      </c>
      <c r="DN47" s="90" t="n">
        <f aca="false">IF(AA47&gt;0,(BR47-AK47*(1+DK47))/AA47,0)</f>
        <v>0.0900237396422793</v>
      </c>
      <c r="DO47" s="86" t="n">
        <f aca="false">IF(Y47&gt;0,(CA47*(1-thr_gm_go)*(1-R47)-DL47)/(1+DI47)*I47/((1+AH47)*J47),"")</f>
        <v>5.94361933364681</v>
      </c>
      <c r="DP47" s="86" t="n">
        <f aca="false">IF(Z47&gt;0,(CB47*(1-thr_gm_go)*(1-R47)-DM47)/(1+DJ47)*I47/((1+AH47)*J47),"")</f>
        <v>5.97893823036045</v>
      </c>
      <c r="DQ47" s="86" t="n">
        <f aca="false">IF(AA47&gt;0,(CC47*(1-thr_gm_go)*(1-R47)-DN47)/(1+DK47)*I47/((1+AH47)*J47),"")</f>
        <v>5.69562146461617</v>
      </c>
      <c r="DR47" s="92" t="n">
        <f aca="false">IF(AND(AY47*INDEX(in_cus_mpf_rate,1,C47)&gt;INDEX(in_cus_mpf_min,1,C47),AY47*INDEX(in_cus_mpf_rate,1,C47)&lt;INDEX(in_cus_mpf_max,1,C47)),INDEX(in_cus_mpf_rate,1,C47),0)</f>
        <v>0</v>
      </c>
      <c r="DS47" s="88" t="n">
        <f aca="false">IF(AZ47&gt;INDEX(in_oce_ins_min,1,C47),INDEX(in_oce_ins_rate,1,C47)*(1+INDEX(in_oce_ins_uplift,1,C47))*AL47,0)</f>
        <v>0</v>
      </c>
      <c r="DT47" s="88" t="n">
        <f aca="false">(AL47+AN47)*(1+BA47+INDEX(in_cus_hmf,1,C47)+DR47)+DS47</f>
        <v>4681.27102335165</v>
      </c>
      <c r="DU47" s="86" t="n">
        <f aca="false">IF(DT47&gt;0,(CD47*(1-thr_gm_go)-(BM47-DT47))/DT47,0)</f>
        <v>0.756225361318147</v>
      </c>
      <c r="DV47" s="86" t="n">
        <f aca="false">IF(DT47&gt;0,(CD47-(BM47-DT47))/DT47,0)</f>
        <v>1.28287104957289</v>
      </c>
      <c r="DW47" s="87" t="n">
        <f aca="false">(1+AH47)*J47*DU47-1</f>
        <v>-0.28158590674776</v>
      </c>
      <c r="DX47" s="87" t="n">
        <f aca="false">(1+AH47)*J47*DV47-1</f>
        <v>0.218727497094243</v>
      </c>
      <c r="DY47" s="85" t="n">
        <f aca="false">IF(G47&gt;0,(CD47*(1-thr_gm_go)-(BM47-AT47))/G47,"")</f>
        <v>858.824847710625</v>
      </c>
      <c r="DZ47" s="90" t="n">
        <f aca="false">IF(AB47&gt;0,(AL47+AN47+BB47+BC47+BD47)/AB47,0)</f>
        <v>0.135512960441139</v>
      </c>
      <c r="EA47" s="88" t="n">
        <f aca="false">BM47-DZ47*AB47</f>
        <v>3821.43772893773</v>
      </c>
      <c r="EB47" s="90" t="n">
        <f aca="false">IF(AB47&gt;0,CD47/AB47,0)</f>
        <v>0.283376</v>
      </c>
      <c r="EC47" s="85" t="n">
        <f aca="false">IF(EB47*(1-thr_gm_go)-DZ47&gt;0,EA47/(EB47*(1-thr_gm_go)-DZ47),"n/a")</f>
        <v>49616.7928193554</v>
      </c>
      <c r="ED47" s="85" t="n">
        <f aca="false">IF(EB47-DZ47&gt;0,EA47/(EB47-DZ47),"n/a")</f>
        <v>25844.4418587547</v>
      </c>
      <c r="EE47" s="93" t="b">
        <f aca="false">INDEX(cfg_fits,D47,C47)</f>
        <v>1</v>
      </c>
      <c r="EF47" s="87" t="n">
        <f aca="false">IF(F47=4,"",INDEX(cfg_lenutil,D47,C47))</f>
        <v>0.972413793103448</v>
      </c>
      <c r="EG47" s="31" t="str">
        <f aca="false">IF(O47&gt;1,"Check fit (units scaled up)","")</f>
        <v/>
      </c>
    </row>
    <row r="48" customFormat="false" ht="15" hidden="false" customHeight="false" outlineLevel="0" collapsed="false">
      <c r="A48" s="78" t="n">
        <v>1094</v>
      </c>
      <c r="B48" s="9" t="s">
        <v>3196</v>
      </c>
      <c r="C48" s="78" t="n">
        <v>1</v>
      </c>
      <c r="D48" s="78" t="n">
        <v>9</v>
      </c>
      <c r="E48" s="78" t="n">
        <v>4</v>
      </c>
      <c r="F48" s="79" t="n">
        <f aca="false">INDEX(cfg_ct,D48)</f>
        <v>1</v>
      </c>
      <c r="G48" s="79" t="n">
        <f aca="false">INDEX(cfg_n,D48)</f>
        <v>1</v>
      </c>
      <c r="H48" s="79" t="n">
        <f aca="false">INDEX(dest_port,E48)</f>
        <v>3</v>
      </c>
      <c r="I48" s="80" t="n">
        <f aca="false">INDEX(in_fx_cbe,1,C48)*(1-INDEX(in_fx_spread,1,C48))</f>
        <v>54.6</v>
      </c>
      <c r="J48" s="81" t="n">
        <f aca="false">1</f>
        <v>1</v>
      </c>
      <c r="K48" s="82" t="n">
        <f aca="false">INDEX(in_sup_vat_mode,1,C48)</f>
        <v>1</v>
      </c>
      <c r="L48" s="83" t="n">
        <f aca="false">INDEX(in_cus_s301,1,C48)</f>
        <v>0</v>
      </c>
      <c r="M48" s="84" t="n">
        <f aca="false">1</f>
        <v>1</v>
      </c>
      <c r="N48" s="81" t="n">
        <f aca="false">1</f>
        <v>1</v>
      </c>
      <c r="O48" s="81" t="n">
        <f aca="false">1</f>
        <v>1</v>
      </c>
      <c r="P48" s="81" t="n">
        <f aca="false">1</f>
        <v>1</v>
      </c>
      <c r="Q48" s="81" t="n">
        <f aca="false">1</f>
        <v>1</v>
      </c>
      <c r="R48" s="83" t="n">
        <f aca="false">INDEX(in_sel_damage,1,C48)</f>
        <v>0.005</v>
      </c>
      <c r="S48" s="83" t="n">
        <f aca="false">INDEX(in_mkt_dist_margin,1,C48)</f>
        <v>0.2</v>
      </c>
      <c r="T48" s="83" t="n">
        <f aca="false">INDEX(in_mkt_eflute_disc,1,C48)</f>
        <v>0.15</v>
      </c>
      <c r="U48" s="82" t="n">
        <f aca="false">INDEX(in_sel_credit_days,1,C48)</f>
        <v>30</v>
      </c>
      <c r="V48" s="81" t="n">
        <f aca="false">1</f>
        <v>1</v>
      </c>
      <c r="W48" s="83" t="n">
        <f aca="false">INDEX(in_sel_commission,1,C48)</f>
        <v>0.03</v>
      </c>
      <c r="X48" s="82" t="n">
        <f aca="false">1</f>
        <v>1</v>
      </c>
      <c r="Y48" s="85" t="n">
        <f aca="false">INDEX(cfg_u_3464,D48,C48)*O48</f>
        <v>11600</v>
      </c>
      <c r="Z48" s="85" t="n">
        <f aca="false">INDEX(cfg_u_3463,D48,C48)*O48</f>
        <v>11600</v>
      </c>
      <c r="AA48" s="85" t="n">
        <f aca="false">INDEX(cfg_u_3460,D48,C48)*O48</f>
        <v>11600</v>
      </c>
      <c r="AB48" s="85" t="n">
        <f aca="false">Y48+Z48+AA48</f>
        <v>34800</v>
      </c>
      <c r="AC48" s="86" t="n">
        <f aca="false">Y48*INDEX(lg_vpu_3464,C48)</f>
        <v>7.736388</v>
      </c>
      <c r="AD48" s="86" t="n">
        <f aca="false">Z48*INDEX(lg_vpu_3463,C48)</f>
        <v>9.464208</v>
      </c>
      <c r="AE48" s="86" t="n">
        <f aca="false">AA48*INDEX(lg_vpu_3460,C48)</f>
        <v>6.182568</v>
      </c>
      <c r="AF48" s="86" t="n">
        <f aca="false">AC48+AD48+AE48</f>
        <v>23.383164</v>
      </c>
      <c r="AG48" s="85" t="n">
        <f aca="false">Y48*INDEX(lg_kpu_3464,C48)+Z48*INDEX(lg_kpu_3463,C48)+AA48*INDEX(lg_kpu_3460,C48)</f>
        <v>5716.112512</v>
      </c>
      <c r="AH48" s="87" t="n">
        <f aca="false">INDEX(in_sup_requote,1,C48)</f>
        <v>-0.05</v>
      </c>
      <c r="AI48" s="88" t="n">
        <f aca="false">Y48*q_price_3464*(1+AH48)*J48/I48</f>
        <v>1688.32051282051</v>
      </c>
      <c r="AJ48" s="88" t="n">
        <f aca="false">Z48*q_price_3463*(1+AH48)*J48/I48</f>
        <v>1594.46886446886</v>
      </c>
      <c r="AK48" s="88" t="n">
        <f aca="false">AA48*q_price_3460*(1+AH48)*J48/I48</f>
        <v>1392.63736263736</v>
      </c>
      <c r="AL48" s="88" t="n">
        <f aca="false">AI48+AJ48+AK48</f>
        <v>4675.42673992674</v>
      </c>
      <c r="AM48" s="88" t="n">
        <f aca="false">IF(OR(K48=2,K48=3),AL48*INDEX(in_sup_vat_rate,1,C48),0)</f>
        <v>0</v>
      </c>
      <c r="AN48" s="88" t="n">
        <f aca="false">IF(K48=3,AM48,0)</f>
        <v>0</v>
      </c>
      <c r="AO48" s="88" t="n">
        <f aca="false">INDEX(in_sup_tooling_egp,1,C48)/I48</f>
        <v>0</v>
      </c>
      <c r="AP48" s="88" t="n">
        <f aca="false">IF(F48=4,INDEX(in_ori_lcl_truck,1,C48)*V48/I48+INDEX(in_ori_lcl_cfs_o,1,C48),G48*(IF(F48=1,INDEX(in_ori_truck_20,1,C48),INDEX(in_ori_truck_40,1,C48))*V48/I48+INDEX(in_ori_terminal,1,C48)+IF(F48=1,INDEX(in_ori_othc_20,1,C48),INDEX(in_ori_othc_40,1,C48))*(1-INDEX(in_ori_othc_in_freight,1,C48))+INDEX(in_ori_seal,1,C48)+INDEX(in_ori_inspection,1,C48)+INDEX(in_ori_dd_days,1,C48)*IF(F48=1,INDEX(in_ori_dd_20,1,C48),INDEX(in_ori_dd_40,1,C48))+INDEX(in_ori_loading_egp,1,C48)/I48))</f>
        <v>340.677655677656</v>
      </c>
      <c r="AQ48" s="88" t="n">
        <f aca="false">(INDEX(in_ori_clearance,1,C48)+INDEX(in_ori_coo,1,C48))/I48+INDEX(in_ori_bl_fee,1,C48)+INDEX(in_ori_fwd_fee,1,C48)+INDEX(in_ori_qc,1,C48)+INDEX(in_ori_wires,1,C48)*INDEX(in_ori_wire_fee,1,C48)</f>
        <v>298.260073260073</v>
      </c>
      <c r="AR48" s="88" t="n">
        <f aca="false">AP48+AQ48</f>
        <v>638.937728937729</v>
      </c>
      <c r="AS48" s="85" t="n">
        <f aca="false">INDEX(tbl_port_diff,H48,C48)</f>
        <v>0</v>
      </c>
      <c r="AT48" s="88" t="n">
        <f aca="false">IF(F48=4,MAX(AF48*INDEX(in_oce_lcl_factor,1,C48),AG48/1000,1)*INDEX(in_oce_lcl_rate,1,C48)*M48,G48*(INDEX(tbl_ocean_rate,MIN(F48,3),C48)+AS48)*M48)</f>
        <v>2000</v>
      </c>
      <c r="AU48" s="88" t="n">
        <f aca="false">AT48+INDEX(in_oce_ams,1,C48)</f>
        <v>2030</v>
      </c>
      <c r="AV48" s="88" t="n">
        <f aca="false">AI48*(1+IF(K48=3,INDEX(in_sup_vat_rate,1,C48),0))+AO48*Y48/AB48</f>
        <v>1688.32051282051</v>
      </c>
      <c r="AW48" s="88" t="n">
        <f aca="false">AJ48*(1+IF(K48=3,INDEX(in_sup_vat_rate,1,C48),0))+AO48*Z48/AB48</f>
        <v>1594.46886446886</v>
      </c>
      <c r="AX48" s="88" t="n">
        <f aca="false">AK48*(1+IF(K48=3,INDEX(in_sup_vat_rate,1,C48),0))+AO48*AA48/AB48</f>
        <v>1392.63736263736</v>
      </c>
      <c r="AY48" s="88" t="n">
        <f aca="false">AV48+AW48+AX48</f>
        <v>4675.42673992674</v>
      </c>
      <c r="AZ48" s="88" t="n">
        <f aca="false">MAX(INDEX(in_oce_ins_min,1,C48),INDEX(in_oce_ins_rate,1,C48)*(1+INDEX(in_oce_ins_uplift,1,C48))*(AL48+AO48+AR48+AU48))*(1-INDEX(in_oce_ins_in_other,1,C48))</f>
        <v>50</v>
      </c>
      <c r="BA48" s="87" t="n">
        <f aca="false">INDEX(in_cus_mfn,1,C48)+L48</f>
        <v>0</v>
      </c>
      <c r="BB48" s="88" t="n">
        <f aca="false">AY48*BA48</f>
        <v>0</v>
      </c>
      <c r="BC48" s="88" t="n">
        <f aca="false">MIN(MAX(AY48*INDEX(in_cus_mpf_rate,1,C48),INDEX(in_cus_mpf_min,1,C48)),INDEX(in_cus_mpf_max,1,C48))</f>
        <v>34.58</v>
      </c>
      <c r="BD48" s="88" t="n">
        <f aca="false">AY48*INDEX(in_cus_hmf,1,C48)</f>
        <v>5.84428342490843</v>
      </c>
      <c r="BE48" s="88" t="n">
        <f aca="false">MAX(INDEX(in_cus_stb_min,1,C48),INDEX(in_cus_stb_rate,1,C48)/1000*(AY48+BB48+BC48+BD48))</f>
        <v>50</v>
      </c>
      <c r="BF48" s="88" t="n">
        <f aca="false">INDEX(in_cus_broker,1,C48)+INDEX(in_cus_isf,1,C48)+INDEX(in_cus_do_fee,1,C48)+BE48+INDEX(in_cus_isf_bond,1,C48)</f>
        <v>385</v>
      </c>
      <c r="BG48" s="88" t="n">
        <f aca="false">IF(H48=1,INDEX(in_cus_cfc,1,C48)*INDEX(ct_teu,F48)*G48*(1-INDEX(in_cus_cfc_in_freight,1,C48)),0)</f>
        <v>0</v>
      </c>
      <c r="BH48" s="88" t="n">
        <f aca="false">IF(F48=4,1,G48)*(INDEX(in_cus_exam,1,C48)+INDEX(in_cus_exam_dray,1,C48))</f>
        <v>0</v>
      </c>
      <c r="BI48" s="88" t="n">
        <f aca="false">IF(F48=4,1,G48)*INDEX(in_cus_dem_days,1,C48)*INDEX(in_cus_dem_rate,1,C48)</f>
        <v>0</v>
      </c>
      <c r="BJ48" s="88" t="n">
        <f aca="false">BG48+BH48+BI48</f>
        <v>0</v>
      </c>
      <c r="BK48" s="88" t="n">
        <f aca="false">IF(F48=4,(INDEX(in_dra_lcl_cfs_d,1,C48)+INDEX(in_dra_lcl_deliv,1,C48))*P48,G48*(INDEX(tbl_dest_line,E48,C48)*P48*(1+INDEX(in_dra_fsc,1,C48))+INDEX(tbl_dest_tolls,E48,C48)+INDEX(in_dra_chassis_days,1,C48)*INDEX(tbl_dest_chassis,E48,C48)*(1-INDEX(in_dra_chassis_in_dray,1,C48))+INDEX(in_dra_wait_hours,1,C48)*INDEX(in_dra_wait_rate,1,C48)+INDEX(in_dra_split,1,C48)+INDEX(in_dra_prepull,1,C48)+INDEX(in_dra_dryrun,1,C48)))</f>
        <v>1027.5</v>
      </c>
      <c r="BL48" s="88" t="n">
        <f aca="false">IF(F48=4,0,G48*IF(F48=1,INDEX(in_dra_unload_20,1,C48),INDEX(in_dra_unload_40,1,C48))*Q48*(1-INDEX(in_dra_unload_in_dray,1,C48)))</f>
        <v>150</v>
      </c>
      <c r="BM48" s="88" t="n">
        <f aca="false">AL48+AN48+AO48+AR48+AU48+AZ48+BB48+BC48+BD48+BF48+BJ48+BK48+BL48</f>
        <v>8997.28875228938</v>
      </c>
      <c r="BN48" s="88" t="n">
        <f aca="false">AP48+AU48+BJ48+BK48+BL48</f>
        <v>3548.17765567766</v>
      </c>
      <c r="BO48" s="88" t="n">
        <f aca="false">AQ48+BF48</f>
        <v>683.260073260073</v>
      </c>
      <c r="BP48" s="88" t="n">
        <f aca="false">AI48*(1+IF(K48=3,INDEX(in_sup_vat_rate,1,C48),0))+AO48*Y48/AB48+AV48*BA48+(BC48+BD48)*AV48/AY48+AZ48*AI48/AL48+BN48*AC48/AF48+BO48*Y48/AB48</f>
        <v>3122.65146655213</v>
      </c>
      <c r="BQ48" s="88" t="n">
        <f aca="false">AJ48*(1+IF(K48=3,INDEX(in_sup_vat_rate,1,C48),0))+AO48*Z48/AB48+AW48*BA48+(BC48+BD48)*AW48/AY48+AZ48*AJ48/AL48+BN48*AD48/AF48+BO48*Z48/AB48</f>
        <v>3289.16531155511</v>
      </c>
      <c r="BR48" s="88" t="n">
        <f aca="false">AK48*(1+IF(K48=3,INDEX(in_sup_vat_rate,1,C48),0))+AO48*AA48/AB48+AX48*BA48+(BC48+BD48)*AX48/AY48+AZ48*AK48/AL48+BN48*AE48/AF48+BO48*AA48/AB48</f>
        <v>2585.47197418214</v>
      </c>
      <c r="BS48" s="89" t="n">
        <f aca="false">BP48+BQ48+BR48-BM48</f>
        <v>0</v>
      </c>
      <c r="BT48" s="85" t="n">
        <f aca="false">Y48*(1-R48)</f>
        <v>11542</v>
      </c>
      <c r="BU48" s="85" t="n">
        <f aca="false">Z48*(1-R48)</f>
        <v>11542</v>
      </c>
      <c r="BV48" s="85" t="n">
        <f aca="false">AA48*(1-R48)</f>
        <v>11542</v>
      </c>
      <c r="BW48" s="85" t="n">
        <f aca="false">BT48+BU48+BV48</f>
        <v>34626</v>
      </c>
      <c r="BX48" s="90" t="n">
        <f aca="false">IF(BT48&gt;0,BP48/BT48,0)</f>
        <v>0.270546826074522</v>
      </c>
      <c r="BY48" s="90" t="n">
        <f aca="false">IF(BU48&gt;0,BQ48/BU48,0)</f>
        <v>0.284973601763569</v>
      </c>
      <c r="BZ48" s="90" t="n">
        <f aca="false">IF(BV48&gt;0,BR48/BV48,0)</f>
        <v>0.224005542729348</v>
      </c>
      <c r="CA48" s="90" t="n">
        <f aca="false">INDEX(in_mkt_listing_3464,1,C48)*(1-IF(sku_flute_3464="B",T48,0))*(1-S48)*N48</f>
        <v>0.2856</v>
      </c>
      <c r="CB48" s="90" t="n">
        <f aca="false">INDEX(in_mkt_listing_3463,1,C48)*(1-IF(sku_flute_3463="B",T48,0))*(1-S48)*N48</f>
        <v>0.3128</v>
      </c>
      <c r="CC48" s="90" t="n">
        <f aca="false">INDEX(in_mkt_listing_3460,1,C48)*(1-IF(sku_flute_3460="B",T48,0))*(1-S48)*N48</f>
        <v>0.256</v>
      </c>
      <c r="CD48" s="88" t="n">
        <f aca="false">BT48*CA48+BU48*CB48+BV48*CC48</f>
        <v>9861.4848</v>
      </c>
      <c r="CE48" s="88" t="n">
        <f aca="false">CD48-BM48</f>
        <v>864.196047710624</v>
      </c>
      <c r="CF48" s="87" t="n">
        <f aca="false">IF(CD48&gt;0,CE48/CD48,0)</f>
        <v>0.0876334614145148</v>
      </c>
      <c r="CG48" s="87" t="n">
        <f aca="false">W48+INDEX(in_sel_processing,1,C48)+INDEX(in_sel_bad_debt,1,C48)</f>
        <v>0.0325</v>
      </c>
      <c r="CH48" s="88" t="n">
        <f aca="false">CD48*CG48</f>
        <v>320.498256</v>
      </c>
      <c r="CI48" s="88" t="n">
        <f aca="false">INDEX(in_sel_testing,1,C48)*X48+INDEX(in_sel_admin,1,C48)</f>
        <v>1250</v>
      </c>
      <c r="CJ48" s="79" t="n">
        <f aca="false">INDEX(in_sup_lead_days,1,C48)</f>
        <v>14</v>
      </c>
      <c r="CK48" s="79" t="n">
        <f aca="false">CJ48+INDEX(in_oce_transit,1,C48)+IF(F48=4,INDEX(in_oce_lcl_extra_days,1,C48),0)</f>
        <v>39</v>
      </c>
      <c r="CL48" s="79" t="n">
        <f aca="false">CK48+2+INDEX(in_cus_dem_days,1,C48)</f>
        <v>41</v>
      </c>
      <c r="CM48" s="79" t="n">
        <f aca="false">CL48+U48</f>
        <v>71</v>
      </c>
      <c r="CN48" s="79" t="n">
        <f aca="false">CJ48+INDEX(in_sup_vat_lag,1,C48)</f>
        <v>44</v>
      </c>
      <c r="CO48" s="91" t="n">
        <f aca="false">INDEX(in_sup_advance,1,C48)</f>
        <v>0.5</v>
      </c>
      <c r="CP48" s="88" t="n">
        <f aca="false">CO48*(AL48+AM48)+AO48+INDEX(in_sel_testing,1,C48)*X48</f>
        <v>3337.71336996337</v>
      </c>
      <c r="CQ48" s="88" t="n">
        <f aca="false">(1-CO48)*(AL48+AM48)+AR48+AU48+AZ48</f>
        <v>5056.6510989011</v>
      </c>
      <c r="CR48" s="88" t="n">
        <f aca="false">BB48+BC48+BD48+BF48+BJ48</f>
        <v>425.424283424908</v>
      </c>
      <c r="CS48" s="88" t="n">
        <f aca="false">BK48+BL48</f>
        <v>1177.5</v>
      </c>
      <c r="CT48" s="88" t="n">
        <f aca="false">IF(K48=2,AM48,0)</f>
        <v>0</v>
      </c>
      <c r="CU48" s="85" t="n">
        <f aca="false">IF(K48=2,CO48*AM48*(CN48-0)+(1-CO48)*AM48*(CN48-CJ48),0)</f>
        <v>0</v>
      </c>
      <c r="CV48" s="85" t="n">
        <f aca="false">(CP48-CO48*CT48)*(CM48-0)+(CQ48-(1-CO48)*CT48)*(CM48-CJ48)+CR48*(CM48-CK48)+CS48*(CM48-CL48)</f>
        <v>574145.338974359</v>
      </c>
      <c r="CW48" s="88" t="n">
        <f aca="false">INDEX(in_sel_fin_rate,1,C48)/365*(CU48+CV48)</f>
        <v>125.84007429575</v>
      </c>
      <c r="CX48" s="85" t="n">
        <f aca="false">CP48-IF(CN48&lt;=0,CT48,0)</f>
        <v>3337.71336996337</v>
      </c>
      <c r="CY48" s="85" t="n">
        <f aca="false">CP48+CQ48-IF(CN48&lt;=CJ48,CT48,0)</f>
        <v>8394.36446886447</v>
      </c>
      <c r="CZ48" s="85" t="n">
        <f aca="false">CP48+CQ48+CR48-IF(CN48&lt;=CK48,CT48,0)</f>
        <v>8819.78875228938</v>
      </c>
      <c r="DA48" s="85" t="n">
        <f aca="false">CP48+CQ48+CR48+CS48-IF(CN48&lt;=CL48,CT48,0)</f>
        <v>9997.28875228938</v>
      </c>
      <c r="DB48" s="88" t="n">
        <f aca="false">MAX(CX48,CY48,CZ48,DA48)</f>
        <v>9997.28875228938</v>
      </c>
      <c r="DC48" s="88" t="n">
        <f aca="false">CP48+CQ48+CR48+CS48</f>
        <v>9997.28875228938</v>
      </c>
      <c r="DD48" s="88" t="n">
        <f aca="false">CE48-CH48-CI48-CW48</f>
        <v>-832.142282585126</v>
      </c>
      <c r="DE48" s="87" t="n">
        <f aca="false">IF(CD48&gt;0,DD48/CD48,0)</f>
        <v>-0.0843830619284761</v>
      </c>
      <c r="DF48" s="86" t="n">
        <f aca="false">IF(CD48&gt;0,(BM48+CI48+CW48)/(CD48*(1-CG48)),0)</f>
        <v>1.08721763506819</v>
      </c>
      <c r="DG48" s="90" t="n">
        <f aca="false">IF(BW48&gt;0,BM48/BW48,0)</f>
        <v>0.259841990189146</v>
      </c>
      <c r="DH48" s="90" t="n">
        <f aca="false">IF(BW48&gt;0,CD48/BW48,0)</f>
        <v>0.2848</v>
      </c>
      <c r="DI48" s="90" t="n">
        <f aca="false">IF(AI48&gt;0,(AI48*IF(K48=3,INDEX(in_sup_vat_rate,1,C48),0)+AV48*BA48+(BC48+BD48)*AV48/AY48+AZ48*AI48/AL48)/AI48,0)</f>
        <v>0.0193403273016155</v>
      </c>
      <c r="DJ48" s="90" t="n">
        <f aca="false">IF(AJ48&gt;0,(AJ48*IF(K48=3,INDEX(in_sup_vat_rate,1,C48),0)+AW48*BA48+(BC48+BD48)*AW48/AY48+AZ48*AJ48/AL48)/AJ48,0)</f>
        <v>0.0193403273016155</v>
      </c>
      <c r="DK48" s="90" t="n">
        <f aca="false">IF(AK48&gt;0,(AK48*IF(K48=3,INDEX(in_sup_vat_rate,1,C48),0)+AX48*BA48+(BC48+BD48)*AX48/AY48+AZ48*AK48/AL48)/AK48,0)</f>
        <v>0.0193403273016155</v>
      </c>
      <c r="DL48" s="90" t="n">
        <f aca="false">IF(Y48&gt;0,(BP48-AI48*(1+DI48))/Y48,0)</f>
        <v>0.120834334691693</v>
      </c>
      <c r="DM48" s="90" t="n">
        <f aca="false">IF(Z48&gt;0,(BQ48-AJ48*(1+DJ48))/Z48,0)</f>
        <v>0.143436111842688</v>
      </c>
      <c r="DN48" s="90" t="n">
        <f aca="false">IF(AA48&gt;0,(BR48-AK48*(1+DK48))/AA48,0)</f>
        <v>0.100508668029216</v>
      </c>
      <c r="DO48" s="86" t="n">
        <f aca="false">IF(Y48&gt;0,(CA48*(1-thr_gm_go)*(1-R48)-DL48)/(1+DI48)*I48/((1+AH48)*J48),"")</f>
        <v>5.20386990112313</v>
      </c>
      <c r="DP48" s="86" t="n">
        <f aca="false">IF(Z48&gt;0,(CB48*(1-thr_gm_go)*(1-R48)-DM48)/(1+DJ48)*I48/((1+AH48)*J48),"")</f>
        <v>5.07397554011196</v>
      </c>
      <c r="DQ48" s="86" t="n">
        <f aca="false">IF(AA48&gt;0,(CC48*(1-thr_gm_go)*(1-R48)-DN48)/(1+DK48)*I48/((1+AH48)*J48),"")</f>
        <v>5.10444749951267</v>
      </c>
      <c r="DR48" s="92" t="n">
        <f aca="false">IF(AND(AY48*INDEX(in_cus_mpf_rate,1,C48)&gt;INDEX(in_cus_mpf_min,1,C48),AY48*INDEX(in_cus_mpf_rate,1,C48)&lt;INDEX(in_cus_mpf_max,1,C48)),INDEX(in_cus_mpf_rate,1,C48),0)</f>
        <v>0</v>
      </c>
      <c r="DS48" s="88" t="n">
        <f aca="false">IF(AZ48&gt;INDEX(in_oce_ins_min,1,C48),INDEX(in_oce_ins_rate,1,C48)*(1+INDEX(in_oce_ins_uplift,1,C48))*AL48,0)</f>
        <v>0</v>
      </c>
      <c r="DT48" s="88" t="n">
        <f aca="false">(AL48+AN48)*(1+BA48+INDEX(in_cus_hmf,1,C48)+DR48)+DS48</f>
        <v>4681.27102335165</v>
      </c>
      <c r="DU48" s="86" t="n">
        <f aca="false">IF(DT48&gt;0,(CD48*(1-thr_gm_go)-(BM48-DT48))/DT48,0)</f>
        <v>0.657961450148429</v>
      </c>
      <c r="DV48" s="86" t="n">
        <f aca="false">IF(DT48&gt;0,(CD48-(BM48-DT48))/DT48,0)</f>
        <v>1.18460713840317</v>
      </c>
      <c r="DW48" s="87" t="n">
        <f aca="false">(1+AH48)*J48*DU48-1</f>
        <v>-0.374936622358992</v>
      </c>
      <c r="DX48" s="87" t="n">
        <f aca="false">(1+AH48)*J48*DV48-1</f>
        <v>0.125376781483011</v>
      </c>
      <c r="DY48" s="85" t="n">
        <f aca="false">IF(G48&gt;0,(CD48*(1-thr_gm_go)-(BM48-AT48))/G48,"")</f>
        <v>398.824847710624</v>
      </c>
      <c r="DZ48" s="90" t="n">
        <f aca="false">IF(AB48&gt;0,(AL48+AN48+BB48+BC48+BD48)/AB48,0)</f>
        <v>0.135512960441139</v>
      </c>
      <c r="EA48" s="88" t="n">
        <f aca="false">BM48-DZ48*AB48</f>
        <v>4281.43772893773</v>
      </c>
      <c r="EB48" s="90" t="n">
        <f aca="false">IF(AB48&gt;0,CD48/AB48,0)</f>
        <v>0.283376</v>
      </c>
      <c r="EC48" s="85" t="n">
        <f aca="false">IF(EB48*(1-thr_gm_go)-DZ48&gt;0,EA48/(EB48*(1-thr_gm_go)-DZ48),"n/a")</f>
        <v>55589.3419790791</v>
      </c>
      <c r="ED48" s="85" t="n">
        <f aca="false">IF(EB48-DZ48&gt;0,EA48/(EB48-DZ48),"n/a")</f>
        <v>28955.4289003601</v>
      </c>
      <c r="EE48" s="93" t="b">
        <f aca="false">INDEX(cfg_fits,D48,C48)</f>
        <v>1</v>
      </c>
      <c r="EF48" s="87" t="n">
        <f aca="false">IF(F48=4,"",INDEX(cfg_lenutil,D48,C48))</f>
        <v>0.972413793103448</v>
      </c>
      <c r="EG48" s="31" t="str">
        <f aca="false">IF(O48&gt;1,"Check fit (units scaled up)","")</f>
        <v/>
      </c>
    </row>
    <row r="49" customFormat="false" ht="15" hidden="false" customHeight="false" outlineLevel="0" collapsed="false">
      <c r="A49" s="78" t="n">
        <v>1095</v>
      </c>
      <c r="B49" s="9" t="s">
        <v>3197</v>
      </c>
      <c r="C49" s="78" t="n">
        <v>1</v>
      </c>
      <c r="D49" s="78" t="n">
        <v>9</v>
      </c>
      <c r="E49" s="78" t="n">
        <v>5</v>
      </c>
      <c r="F49" s="79" t="n">
        <f aca="false">INDEX(cfg_ct,D49)</f>
        <v>1</v>
      </c>
      <c r="G49" s="79" t="n">
        <f aca="false">INDEX(cfg_n,D49)</f>
        <v>1</v>
      </c>
      <c r="H49" s="79" t="n">
        <f aca="false">INDEX(dest_port,E49)</f>
        <v>4</v>
      </c>
      <c r="I49" s="80" t="n">
        <f aca="false">INDEX(in_fx_cbe,1,C49)*(1-INDEX(in_fx_spread,1,C49))</f>
        <v>54.6</v>
      </c>
      <c r="J49" s="81" t="n">
        <f aca="false">1</f>
        <v>1</v>
      </c>
      <c r="K49" s="82" t="n">
        <f aca="false">INDEX(in_sup_vat_mode,1,C49)</f>
        <v>1</v>
      </c>
      <c r="L49" s="83" t="n">
        <f aca="false">INDEX(in_cus_s301,1,C49)</f>
        <v>0</v>
      </c>
      <c r="M49" s="84" t="n">
        <f aca="false">1</f>
        <v>1</v>
      </c>
      <c r="N49" s="81" t="n">
        <f aca="false">1</f>
        <v>1</v>
      </c>
      <c r="O49" s="81" t="n">
        <f aca="false">1</f>
        <v>1</v>
      </c>
      <c r="P49" s="81" t="n">
        <f aca="false">1</f>
        <v>1</v>
      </c>
      <c r="Q49" s="81" t="n">
        <f aca="false">1</f>
        <v>1</v>
      </c>
      <c r="R49" s="83" t="n">
        <f aca="false">INDEX(in_sel_damage,1,C49)</f>
        <v>0.005</v>
      </c>
      <c r="S49" s="83" t="n">
        <f aca="false">INDEX(in_mkt_dist_margin,1,C49)</f>
        <v>0.2</v>
      </c>
      <c r="T49" s="83" t="n">
        <f aca="false">INDEX(in_mkt_eflute_disc,1,C49)</f>
        <v>0.15</v>
      </c>
      <c r="U49" s="82" t="n">
        <f aca="false">INDEX(in_sel_credit_days,1,C49)</f>
        <v>30</v>
      </c>
      <c r="V49" s="81" t="n">
        <f aca="false">1</f>
        <v>1</v>
      </c>
      <c r="W49" s="83" t="n">
        <f aca="false">INDEX(in_sel_commission,1,C49)</f>
        <v>0.03</v>
      </c>
      <c r="X49" s="82" t="n">
        <f aca="false">1</f>
        <v>1</v>
      </c>
      <c r="Y49" s="85" t="n">
        <f aca="false">INDEX(cfg_u_3464,D49,C49)*O49</f>
        <v>11600</v>
      </c>
      <c r="Z49" s="85" t="n">
        <f aca="false">INDEX(cfg_u_3463,D49,C49)*O49</f>
        <v>11600</v>
      </c>
      <c r="AA49" s="85" t="n">
        <f aca="false">INDEX(cfg_u_3460,D49,C49)*O49</f>
        <v>11600</v>
      </c>
      <c r="AB49" s="85" t="n">
        <f aca="false">Y49+Z49+AA49</f>
        <v>34800</v>
      </c>
      <c r="AC49" s="86" t="n">
        <f aca="false">Y49*INDEX(lg_vpu_3464,C49)</f>
        <v>7.736388</v>
      </c>
      <c r="AD49" s="86" t="n">
        <f aca="false">Z49*INDEX(lg_vpu_3463,C49)</f>
        <v>9.464208</v>
      </c>
      <c r="AE49" s="86" t="n">
        <f aca="false">AA49*INDEX(lg_vpu_3460,C49)</f>
        <v>6.182568</v>
      </c>
      <c r="AF49" s="86" t="n">
        <f aca="false">AC49+AD49+AE49</f>
        <v>23.383164</v>
      </c>
      <c r="AG49" s="85" t="n">
        <f aca="false">Y49*INDEX(lg_kpu_3464,C49)+Z49*INDEX(lg_kpu_3463,C49)+AA49*INDEX(lg_kpu_3460,C49)</f>
        <v>5716.112512</v>
      </c>
      <c r="AH49" s="87" t="n">
        <f aca="false">INDEX(in_sup_requote,1,C49)</f>
        <v>-0.05</v>
      </c>
      <c r="AI49" s="88" t="n">
        <f aca="false">Y49*q_price_3464*(1+AH49)*J49/I49</f>
        <v>1688.32051282051</v>
      </c>
      <c r="AJ49" s="88" t="n">
        <f aca="false">Z49*q_price_3463*(1+AH49)*J49/I49</f>
        <v>1594.46886446886</v>
      </c>
      <c r="AK49" s="88" t="n">
        <f aca="false">AA49*q_price_3460*(1+AH49)*J49/I49</f>
        <v>1392.63736263736</v>
      </c>
      <c r="AL49" s="88" t="n">
        <f aca="false">AI49+AJ49+AK49</f>
        <v>4675.42673992674</v>
      </c>
      <c r="AM49" s="88" t="n">
        <f aca="false">IF(OR(K49=2,K49=3),AL49*INDEX(in_sup_vat_rate,1,C49),0)</f>
        <v>0</v>
      </c>
      <c r="AN49" s="88" t="n">
        <f aca="false">IF(K49=3,AM49,0)</f>
        <v>0</v>
      </c>
      <c r="AO49" s="88" t="n">
        <f aca="false">INDEX(in_sup_tooling_egp,1,C49)/I49</f>
        <v>0</v>
      </c>
      <c r="AP49" s="88" t="n">
        <f aca="false">IF(F49=4,INDEX(in_ori_lcl_truck,1,C49)*V49/I49+INDEX(in_ori_lcl_cfs_o,1,C49),G49*(IF(F49=1,INDEX(in_ori_truck_20,1,C49),INDEX(in_ori_truck_40,1,C49))*V49/I49+INDEX(in_ori_terminal,1,C49)+IF(F49=1,INDEX(in_ori_othc_20,1,C49),INDEX(in_ori_othc_40,1,C49))*(1-INDEX(in_ori_othc_in_freight,1,C49))+INDEX(in_ori_seal,1,C49)+INDEX(in_ori_inspection,1,C49)+INDEX(in_ori_dd_days,1,C49)*IF(F49=1,INDEX(in_ori_dd_20,1,C49),INDEX(in_ori_dd_40,1,C49))+INDEX(in_ori_loading_egp,1,C49)/I49))</f>
        <v>340.677655677656</v>
      </c>
      <c r="AQ49" s="88" t="n">
        <f aca="false">(INDEX(in_ori_clearance,1,C49)+INDEX(in_ori_coo,1,C49))/I49+INDEX(in_ori_bl_fee,1,C49)+INDEX(in_ori_fwd_fee,1,C49)+INDEX(in_ori_qc,1,C49)+INDEX(in_ori_wires,1,C49)*INDEX(in_ori_wire_fee,1,C49)</f>
        <v>298.260073260073</v>
      </c>
      <c r="AR49" s="88" t="n">
        <f aca="false">AP49+AQ49</f>
        <v>638.937728937729</v>
      </c>
      <c r="AS49" s="85" t="n">
        <f aca="false">INDEX(tbl_port_diff,H49,C49)</f>
        <v>0</v>
      </c>
      <c r="AT49" s="88" t="n">
        <f aca="false">IF(F49=4,MAX(AF49*INDEX(in_oce_lcl_factor,1,C49),AG49/1000,1)*INDEX(in_oce_lcl_rate,1,C49)*M49,G49*(INDEX(tbl_ocean_rate,MIN(F49,3),C49)+AS49)*M49)</f>
        <v>2000</v>
      </c>
      <c r="AU49" s="88" t="n">
        <f aca="false">AT49+INDEX(in_oce_ams,1,C49)</f>
        <v>2030</v>
      </c>
      <c r="AV49" s="88" t="n">
        <f aca="false">AI49*(1+IF(K49=3,INDEX(in_sup_vat_rate,1,C49),0))+AO49*Y49/AB49</f>
        <v>1688.32051282051</v>
      </c>
      <c r="AW49" s="88" t="n">
        <f aca="false">AJ49*(1+IF(K49=3,INDEX(in_sup_vat_rate,1,C49),0))+AO49*Z49/AB49</f>
        <v>1594.46886446886</v>
      </c>
      <c r="AX49" s="88" t="n">
        <f aca="false">AK49*(1+IF(K49=3,INDEX(in_sup_vat_rate,1,C49),0))+AO49*AA49/AB49</f>
        <v>1392.63736263736</v>
      </c>
      <c r="AY49" s="88" t="n">
        <f aca="false">AV49+AW49+AX49</f>
        <v>4675.42673992674</v>
      </c>
      <c r="AZ49" s="88" t="n">
        <f aca="false">MAX(INDEX(in_oce_ins_min,1,C49),INDEX(in_oce_ins_rate,1,C49)*(1+INDEX(in_oce_ins_uplift,1,C49))*(AL49+AO49+AR49+AU49))*(1-INDEX(in_oce_ins_in_other,1,C49))</f>
        <v>50</v>
      </c>
      <c r="BA49" s="87" t="n">
        <f aca="false">INDEX(in_cus_mfn,1,C49)+L49</f>
        <v>0</v>
      </c>
      <c r="BB49" s="88" t="n">
        <f aca="false">AY49*BA49</f>
        <v>0</v>
      </c>
      <c r="BC49" s="88" t="n">
        <f aca="false">MIN(MAX(AY49*INDEX(in_cus_mpf_rate,1,C49),INDEX(in_cus_mpf_min,1,C49)),INDEX(in_cus_mpf_max,1,C49))</f>
        <v>34.58</v>
      </c>
      <c r="BD49" s="88" t="n">
        <f aca="false">AY49*INDEX(in_cus_hmf,1,C49)</f>
        <v>5.84428342490843</v>
      </c>
      <c r="BE49" s="88" t="n">
        <f aca="false">MAX(INDEX(in_cus_stb_min,1,C49),INDEX(in_cus_stb_rate,1,C49)/1000*(AY49+BB49+BC49+BD49))</f>
        <v>50</v>
      </c>
      <c r="BF49" s="88" t="n">
        <f aca="false">INDEX(in_cus_broker,1,C49)+INDEX(in_cus_isf,1,C49)+INDEX(in_cus_do_fee,1,C49)+BE49+INDEX(in_cus_isf_bond,1,C49)</f>
        <v>385</v>
      </c>
      <c r="BG49" s="88" t="n">
        <f aca="false">IF(H49=1,INDEX(in_cus_cfc,1,C49)*INDEX(ct_teu,F49)*G49*(1-INDEX(in_cus_cfc_in_freight,1,C49)),0)</f>
        <v>0</v>
      </c>
      <c r="BH49" s="88" t="n">
        <f aca="false">IF(F49=4,1,G49)*(INDEX(in_cus_exam,1,C49)+INDEX(in_cus_exam_dray,1,C49))</f>
        <v>0</v>
      </c>
      <c r="BI49" s="88" t="n">
        <f aca="false">IF(F49=4,1,G49)*INDEX(in_cus_dem_days,1,C49)*INDEX(in_cus_dem_rate,1,C49)</f>
        <v>0</v>
      </c>
      <c r="BJ49" s="88" t="n">
        <f aca="false">BG49+BH49+BI49</f>
        <v>0</v>
      </c>
      <c r="BK49" s="88" t="n">
        <f aca="false">IF(F49=4,(INDEX(in_dra_lcl_cfs_d,1,C49)+INDEX(in_dra_lcl_deliv,1,C49))*P49,G49*(INDEX(tbl_dest_line,E49,C49)*P49*(1+INDEX(in_dra_fsc,1,C49))+INDEX(tbl_dest_tolls,E49,C49)+INDEX(in_dra_chassis_days,1,C49)*INDEX(tbl_dest_chassis,E49,C49)*(1-INDEX(in_dra_chassis_in_dray,1,C49))+INDEX(in_dra_wait_hours,1,C49)*INDEX(in_dra_wait_rate,1,C49)+INDEX(in_dra_split,1,C49)+INDEX(in_dra_prepull,1,C49)+INDEX(in_dra_dryrun,1,C49)))</f>
        <v>1424</v>
      </c>
      <c r="BL49" s="88" t="n">
        <f aca="false">IF(F49=4,0,G49*IF(F49=1,INDEX(in_dra_unload_20,1,C49),INDEX(in_dra_unload_40,1,C49))*Q49*(1-INDEX(in_dra_unload_in_dray,1,C49)))</f>
        <v>150</v>
      </c>
      <c r="BM49" s="88" t="n">
        <f aca="false">AL49+AN49+AO49+AR49+AU49+AZ49+BB49+BC49+BD49+BF49+BJ49+BK49+BL49</f>
        <v>9393.78875228938</v>
      </c>
      <c r="BN49" s="88" t="n">
        <f aca="false">AP49+AU49+BJ49+BK49+BL49</f>
        <v>3944.67765567766</v>
      </c>
      <c r="BO49" s="88" t="n">
        <f aca="false">AQ49+BF49</f>
        <v>683.260073260073</v>
      </c>
      <c r="BP49" s="88" t="n">
        <f aca="false">AI49*(1+IF(K49=3,INDEX(in_sup_vat_rate,1,C49),0))+AO49*Y49/AB49+AV49*BA49+(BC49+BD49)*AV49/AY49+AZ49*AI49/AL49+BN49*AC49/AF49+BO49*Y49/AB49</f>
        <v>3253.83464783589</v>
      </c>
      <c r="BQ49" s="88" t="n">
        <f aca="false">AJ49*(1+IF(K49=3,INDEX(in_sup_vat_rate,1,C49),0))+AO49*Z49/AB49+AW49*BA49+(BC49+BD49)*AW49/AY49+AZ49*AJ49/AL49+BN49*AD49/AF49+BO49*Z49/AB49</f>
        <v>3449.64652239553</v>
      </c>
      <c r="BR49" s="88" t="n">
        <f aca="false">AK49*(1+IF(K49=3,INDEX(in_sup_vat_rate,1,C49),0))+AO49*AA49/AB49+AX49*BA49+(BC49+BD49)*AX49/AY49+AZ49*AK49/AL49+BN49*AE49/AF49+BO49*AA49/AB49</f>
        <v>2690.30758205796</v>
      </c>
      <c r="BS49" s="89" t="n">
        <f aca="false">BP49+BQ49+BR49-BM49</f>
        <v>0</v>
      </c>
      <c r="BT49" s="85" t="n">
        <f aca="false">Y49*(1-R49)</f>
        <v>11542</v>
      </c>
      <c r="BU49" s="85" t="n">
        <f aca="false">Z49*(1-R49)</f>
        <v>11542</v>
      </c>
      <c r="BV49" s="85" t="n">
        <f aca="false">AA49*(1-R49)</f>
        <v>11542</v>
      </c>
      <c r="BW49" s="85" t="n">
        <f aca="false">BT49+BU49+BV49</f>
        <v>34626</v>
      </c>
      <c r="BX49" s="90" t="n">
        <f aca="false">IF(BT49&gt;0,BP49/BT49,0)</f>
        <v>0.281912549630557</v>
      </c>
      <c r="BY49" s="90" t="n">
        <f aca="false">IF(BU49&gt;0,BQ49/BU49,0)</f>
        <v>0.298877709443383</v>
      </c>
      <c r="BZ49" s="90" t="n">
        <f aca="false">IF(BV49&gt;0,BR49/BV49,0)</f>
        <v>0.233088509968632</v>
      </c>
      <c r="CA49" s="90" t="n">
        <f aca="false">INDEX(in_mkt_listing_3464,1,C49)*(1-IF(sku_flute_3464="B",T49,0))*(1-S49)*N49</f>
        <v>0.2856</v>
      </c>
      <c r="CB49" s="90" t="n">
        <f aca="false">INDEX(in_mkt_listing_3463,1,C49)*(1-IF(sku_flute_3463="B",T49,0))*(1-S49)*N49</f>
        <v>0.3128</v>
      </c>
      <c r="CC49" s="90" t="n">
        <f aca="false">INDEX(in_mkt_listing_3460,1,C49)*(1-IF(sku_flute_3460="B",T49,0))*(1-S49)*N49</f>
        <v>0.256</v>
      </c>
      <c r="CD49" s="88" t="n">
        <f aca="false">BT49*CA49+BU49*CB49+BV49*CC49</f>
        <v>9861.4848</v>
      </c>
      <c r="CE49" s="88" t="n">
        <f aca="false">CD49-BM49</f>
        <v>467.696047710624</v>
      </c>
      <c r="CF49" s="87" t="n">
        <f aca="false">IF(CD49&gt;0,CE49/CD49,0)</f>
        <v>0.0474265343602846</v>
      </c>
      <c r="CG49" s="87" t="n">
        <f aca="false">W49+INDEX(in_sel_processing,1,C49)+INDEX(in_sel_bad_debt,1,C49)</f>
        <v>0.0325</v>
      </c>
      <c r="CH49" s="88" t="n">
        <f aca="false">CD49*CG49</f>
        <v>320.498256</v>
      </c>
      <c r="CI49" s="88" t="n">
        <f aca="false">INDEX(in_sel_testing,1,C49)*X49+INDEX(in_sel_admin,1,C49)</f>
        <v>1250</v>
      </c>
      <c r="CJ49" s="79" t="n">
        <f aca="false">INDEX(in_sup_lead_days,1,C49)</f>
        <v>14</v>
      </c>
      <c r="CK49" s="79" t="n">
        <f aca="false">CJ49+INDEX(in_oce_transit,1,C49)+IF(F49=4,INDEX(in_oce_lcl_extra_days,1,C49),0)</f>
        <v>39</v>
      </c>
      <c r="CL49" s="79" t="n">
        <f aca="false">CK49+2+INDEX(in_cus_dem_days,1,C49)</f>
        <v>41</v>
      </c>
      <c r="CM49" s="79" t="n">
        <f aca="false">CL49+U49</f>
        <v>71</v>
      </c>
      <c r="CN49" s="79" t="n">
        <f aca="false">CJ49+INDEX(in_sup_vat_lag,1,C49)</f>
        <v>44</v>
      </c>
      <c r="CO49" s="91" t="n">
        <f aca="false">INDEX(in_sup_advance,1,C49)</f>
        <v>0.5</v>
      </c>
      <c r="CP49" s="88" t="n">
        <f aca="false">CO49*(AL49+AM49)+AO49+INDEX(in_sel_testing,1,C49)*X49</f>
        <v>3337.71336996337</v>
      </c>
      <c r="CQ49" s="88" t="n">
        <f aca="false">(1-CO49)*(AL49+AM49)+AR49+AU49+AZ49</f>
        <v>5056.6510989011</v>
      </c>
      <c r="CR49" s="88" t="n">
        <f aca="false">BB49+BC49+BD49+BF49+BJ49</f>
        <v>425.424283424908</v>
      </c>
      <c r="CS49" s="88" t="n">
        <f aca="false">BK49+BL49</f>
        <v>1574</v>
      </c>
      <c r="CT49" s="88" t="n">
        <f aca="false">IF(K49=2,AM49,0)</f>
        <v>0</v>
      </c>
      <c r="CU49" s="85" t="n">
        <f aca="false">IF(K49=2,CO49*AM49*(CN49-0)+(1-CO49)*AM49*(CN49-CJ49),0)</f>
        <v>0</v>
      </c>
      <c r="CV49" s="85" t="n">
        <f aca="false">(CP49-CO49*CT49)*(CM49-0)+(CQ49-(1-CO49)*CT49)*(CM49-CJ49)+CR49*(CM49-CK49)+CS49*(CM49-CL49)</f>
        <v>586040.338974359</v>
      </c>
      <c r="CW49" s="88" t="n">
        <f aca="false">INDEX(in_sel_fin_rate,1,C49)/365*(CU49+CV49)</f>
        <v>128.447197583421</v>
      </c>
      <c r="CX49" s="85" t="n">
        <f aca="false">CP49-IF(CN49&lt;=0,CT49,0)</f>
        <v>3337.71336996337</v>
      </c>
      <c r="CY49" s="85" t="n">
        <f aca="false">CP49+CQ49-IF(CN49&lt;=CJ49,CT49,0)</f>
        <v>8394.36446886447</v>
      </c>
      <c r="CZ49" s="85" t="n">
        <f aca="false">CP49+CQ49+CR49-IF(CN49&lt;=CK49,CT49,0)</f>
        <v>8819.78875228938</v>
      </c>
      <c r="DA49" s="85" t="n">
        <f aca="false">CP49+CQ49+CR49+CS49-IF(CN49&lt;=CL49,CT49,0)</f>
        <v>10393.7887522894</v>
      </c>
      <c r="DB49" s="88" t="n">
        <f aca="false">MAX(CX49,CY49,CZ49,DA49)</f>
        <v>10393.7887522894</v>
      </c>
      <c r="DC49" s="88" t="n">
        <f aca="false">CP49+CQ49+CR49+CS49</f>
        <v>10393.7887522894</v>
      </c>
      <c r="DD49" s="88" t="n">
        <f aca="false">CE49-CH49-CI49-CW49</f>
        <v>-1231.2494058728</v>
      </c>
      <c r="DE49" s="87" t="n">
        <f aca="false">IF(CD49&gt;0,DD49/CD49,0)</f>
        <v>-0.124854363297583</v>
      </c>
      <c r="DF49" s="86" t="n">
        <f aca="false">IF(CD49&gt;0,(BM49+CI49+CW49)/(CD49*(1-CG49)),0)</f>
        <v>1.12904843751688</v>
      </c>
      <c r="DG49" s="90" t="n">
        <f aca="false">IF(BW49&gt;0,BM49/BW49,0)</f>
        <v>0.271292923014191</v>
      </c>
      <c r="DH49" s="90" t="n">
        <f aca="false">IF(BW49&gt;0,CD49/BW49,0)</f>
        <v>0.2848</v>
      </c>
      <c r="DI49" s="90" t="n">
        <f aca="false">IF(AI49&gt;0,(AI49*IF(K49=3,INDEX(in_sup_vat_rate,1,C49),0)+AV49*BA49+(BC49+BD49)*AV49/AY49+AZ49*AI49/AL49)/AI49,0)</f>
        <v>0.0193403273016155</v>
      </c>
      <c r="DJ49" s="90" t="n">
        <f aca="false">IF(AJ49&gt;0,(AJ49*IF(K49=3,INDEX(in_sup_vat_rate,1,C49),0)+AW49*BA49+(BC49+BD49)*AW49/AY49+AZ49*AJ49/AL49)/AJ49,0)</f>
        <v>0.0193403273016155</v>
      </c>
      <c r="DK49" s="90" t="n">
        <f aca="false">IF(AK49&gt;0,(AK49*IF(K49=3,INDEX(in_sup_vat_rate,1,C49),0)+AX49*BA49+(BC49+BD49)*AX49/AY49+AZ49*AK49/AL49)/AK49,0)</f>
        <v>0.0193403273016155</v>
      </c>
      <c r="DL49" s="90" t="n">
        <f aca="false">IF(Y49&gt;0,(BP49-AI49*(1+DI49))/Y49,0)</f>
        <v>0.132143229629948</v>
      </c>
      <c r="DM49" s="90" t="n">
        <f aca="false">IF(Z49&gt;0,(BQ49-AJ49*(1+DJ49))/Z49,0)</f>
        <v>0.157270698984104</v>
      </c>
      <c r="DN49" s="90" t="n">
        <f aca="false">IF(AA49&gt;0,(BR49-AK49*(1+DK49))/AA49,0)</f>
        <v>0.109546220432304</v>
      </c>
      <c r="DO49" s="86" t="n">
        <f aca="false">IF(Y49&gt;0,(CA49*(1-thr_gm_go)*(1-R49)-DL49)/(1+DI49)*I49/((1+AH49)*J49),"")</f>
        <v>4.56623805330651</v>
      </c>
      <c r="DP49" s="86" t="n">
        <f aca="false">IF(Z49&gt;0,(CB49*(1-thr_gm_go)*(1-R49)-DM49)/(1+DJ49)*I49/((1+AH49)*J49),"")</f>
        <v>4.29393704732168</v>
      </c>
      <c r="DQ49" s="86" t="n">
        <f aca="false">IF(AA49&gt;0,(CC49*(1-thr_gm_go)*(1-R49)-DN49)/(1+DK49)*I49/((1+AH49)*J49),"")</f>
        <v>4.59488124480933</v>
      </c>
      <c r="DR49" s="92" t="n">
        <f aca="false">IF(AND(AY49*INDEX(in_cus_mpf_rate,1,C49)&gt;INDEX(in_cus_mpf_min,1,C49),AY49*INDEX(in_cus_mpf_rate,1,C49)&lt;INDEX(in_cus_mpf_max,1,C49)),INDEX(in_cus_mpf_rate,1,C49),0)</f>
        <v>0</v>
      </c>
      <c r="DS49" s="88" t="n">
        <f aca="false">IF(AZ49&gt;INDEX(in_oce_ins_min,1,C49),INDEX(in_oce_ins_rate,1,C49)*(1+INDEX(in_oce_ins_uplift,1,C49))*AL49,0)</f>
        <v>0</v>
      </c>
      <c r="DT49" s="88" t="n">
        <f aca="false">(AL49+AN49)*(1+BA49+INDEX(in_cus_hmf,1,C49)+DR49)+DS49</f>
        <v>4681.27102335165</v>
      </c>
      <c r="DU49" s="86" t="n">
        <f aca="false">IF(DT49&gt;0,(CD49*(1-thr_gm_go)-(BM49-DT49))/DT49,0)</f>
        <v>0.573262231064097</v>
      </c>
      <c r="DV49" s="86" t="n">
        <f aca="false">IF(DT49&gt;0,(CD49-(BM49-DT49))/DT49,0)</f>
        <v>1.09990791931884</v>
      </c>
      <c r="DW49" s="87" t="n">
        <f aca="false">(1+AH49)*J49*DU49-1</f>
        <v>-0.455400880489108</v>
      </c>
      <c r="DX49" s="87" t="n">
        <f aca="false">(1+AH49)*J49*DV49-1</f>
        <v>0.0449125233528946</v>
      </c>
      <c r="DY49" s="85" t="n">
        <f aca="false">IF(G49&gt;0,(CD49*(1-thr_gm_go)-(BM49-AT49))/G49,"")</f>
        <v>2.32484771062445</v>
      </c>
      <c r="DZ49" s="90" t="n">
        <f aca="false">IF(AB49&gt;0,(AL49+AN49+BB49+BC49+BD49)/AB49,0)</f>
        <v>0.135512960441139</v>
      </c>
      <c r="EA49" s="88" t="n">
        <f aca="false">BM49-DZ49*AB49</f>
        <v>4677.93772893773</v>
      </c>
      <c r="EB49" s="90" t="n">
        <f aca="false">IF(AB49&gt;0,CD49/AB49,0)</f>
        <v>0.283376</v>
      </c>
      <c r="EC49" s="85" t="n">
        <f aca="false">IF(EB49*(1-thr_gm_go)-DZ49&gt;0,EA49/(EB49*(1-thr_gm_go)-DZ49),"n/a")</f>
        <v>60737.4196787105</v>
      </c>
      <c r="ED49" s="85" t="n">
        <f aca="false">IF(EB49-DZ49&gt;0,EA49/(EB49-DZ49),"n/a")</f>
        <v>31636.9644699178</v>
      </c>
      <c r="EE49" s="93" t="b">
        <f aca="false">INDEX(cfg_fits,D49,C49)</f>
        <v>1</v>
      </c>
      <c r="EF49" s="87" t="n">
        <f aca="false">IF(F49=4,"",INDEX(cfg_lenutil,D49,C49))</f>
        <v>0.972413793103448</v>
      </c>
      <c r="EG49" s="31" t="str">
        <f aca="false">IF(O49&gt;1,"Check fit (units scaled up)","")</f>
        <v/>
      </c>
    </row>
    <row r="50" customFormat="false" ht="15" hidden="false" customHeight="false" outlineLevel="0" collapsed="false">
      <c r="A50" s="78" t="n">
        <v>1101</v>
      </c>
      <c r="B50" s="9" t="s">
        <v>3198</v>
      </c>
      <c r="C50" s="78" t="n">
        <v>1</v>
      </c>
      <c r="D50" s="78" t="n">
        <v>10</v>
      </c>
      <c r="E50" s="78" t="n">
        <v>1</v>
      </c>
      <c r="F50" s="79" t="n">
        <f aca="false">INDEX(cfg_ct,D50)</f>
        <v>4</v>
      </c>
      <c r="G50" s="79" t="n">
        <f aca="false">INDEX(cfg_n,D50)</f>
        <v>0</v>
      </c>
      <c r="H50" s="79" t="n">
        <f aca="false">INDEX(dest_port,E50)</f>
        <v>1</v>
      </c>
      <c r="I50" s="80" t="n">
        <f aca="false">INDEX(in_fx_cbe,1,C50)*(1-INDEX(in_fx_spread,1,C50))</f>
        <v>54.6</v>
      </c>
      <c r="J50" s="81" t="n">
        <f aca="false">1</f>
        <v>1</v>
      </c>
      <c r="K50" s="82" t="n">
        <f aca="false">INDEX(in_sup_vat_mode,1,C50)</f>
        <v>1</v>
      </c>
      <c r="L50" s="83" t="n">
        <f aca="false">INDEX(in_cus_s301,1,C50)</f>
        <v>0</v>
      </c>
      <c r="M50" s="84" t="n">
        <f aca="false">1</f>
        <v>1</v>
      </c>
      <c r="N50" s="81" t="n">
        <f aca="false">1</f>
        <v>1</v>
      </c>
      <c r="O50" s="81" t="n">
        <f aca="false">1</f>
        <v>1</v>
      </c>
      <c r="P50" s="81" t="n">
        <f aca="false">1</f>
        <v>1</v>
      </c>
      <c r="Q50" s="81" t="n">
        <f aca="false">1</f>
        <v>1</v>
      </c>
      <c r="R50" s="83" t="n">
        <f aca="false">INDEX(in_sel_damage,1,C50)</f>
        <v>0.005</v>
      </c>
      <c r="S50" s="83" t="n">
        <f aca="false">INDEX(in_mkt_dist_margin,1,C50)</f>
        <v>0.2</v>
      </c>
      <c r="T50" s="83" t="n">
        <f aca="false">INDEX(in_mkt_eflute_disc,1,C50)</f>
        <v>0.15</v>
      </c>
      <c r="U50" s="82" t="n">
        <f aca="false">INDEX(in_sel_credit_days,1,C50)</f>
        <v>30</v>
      </c>
      <c r="V50" s="81" t="n">
        <f aca="false">1</f>
        <v>1</v>
      </c>
      <c r="W50" s="83" t="n">
        <f aca="false">INDEX(in_sel_commission,1,C50)</f>
        <v>0.03</v>
      </c>
      <c r="X50" s="82" t="n">
        <f aca="false">1</f>
        <v>1</v>
      </c>
      <c r="Y50" s="85" t="n">
        <f aca="false">INDEX(cfg_u_3464,D50,C50)*O50</f>
        <v>3350</v>
      </c>
      <c r="Z50" s="85" t="n">
        <f aca="false">INDEX(cfg_u_3463,D50,C50)*O50</f>
        <v>3350</v>
      </c>
      <c r="AA50" s="85" t="n">
        <f aca="false">INDEX(cfg_u_3460,D50,C50)*O50</f>
        <v>3300</v>
      </c>
      <c r="AB50" s="85" t="n">
        <f aca="false">Y50+Z50+AA50</f>
        <v>10000</v>
      </c>
      <c r="AC50" s="86" t="n">
        <f aca="false">Y50*INDEX(lg_vpu_3464,C50)</f>
        <v>2.2342155</v>
      </c>
      <c r="AD50" s="86" t="n">
        <f aca="false">Z50*INDEX(lg_vpu_3463,C50)</f>
        <v>2.733198</v>
      </c>
      <c r="AE50" s="86" t="n">
        <f aca="false">AA50*INDEX(lg_vpu_3460,C50)</f>
        <v>1.758834</v>
      </c>
      <c r="AF50" s="86" t="n">
        <f aca="false">AC50+AD50+AE50</f>
        <v>6.7262475</v>
      </c>
      <c r="AG50" s="85" t="n">
        <f aca="false">Y50*INDEX(lg_kpu_3464,C50)+Z50*INDEX(lg_kpu_3463,C50)+AA50*INDEX(lg_kpu_3460,C50)</f>
        <v>1644.25172</v>
      </c>
      <c r="AH50" s="87" t="n">
        <f aca="false">INDEX(in_sup_requote,1,C50)</f>
        <v>-0.05</v>
      </c>
      <c r="AI50" s="88" t="n">
        <f aca="false">Y50*q_price_3464*(1+AH50)*J50/I50</f>
        <v>487.575320512821</v>
      </c>
      <c r="AJ50" s="88" t="n">
        <f aca="false">Z50*q_price_3463*(1+AH50)*J50/I50</f>
        <v>460.471611721612</v>
      </c>
      <c r="AK50" s="88" t="n">
        <f aca="false">AA50*q_price_3460*(1+AH50)*J50/I50</f>
        <v>396.181318681319</v>
      </c>
      <c r="AL50" s="88" t="n">
        <f aca="false">AI50+AJ50+AK50</f>
        <v>1344.22825091575</v>
      </c>
      <c r="AM50" s="88" t="n">
        <f aca="false">IF(OR(K50=2,K50=3),AL50*INDEX(in_sup_vat_rate,1,C50),0)</f>
        <v>0</v>
      </c>
      <c r="AN50" s="88" t="n">
        <f aca="false">IF(K50=3,AM50,0)</f>
        <v>0</v>
      </c>
      <c r="AO50" s="88" t="n">
        <f aca="false">INDEX(in_sup_tooling_egp,1,C50)/I50</f>
        <v>0</v>
      </c>
      <c r="AP50" s="88" t="n">
        <f aca="false">IF(F50=4,INDEX(in_ori_lcl_truck,1,C50)*V50/I50+INDEX(in_ori_lcl_cfs_o,1,C50),G50*(IF(F50=1,INDEX(in_ori_truck_20,1,C50),INDEX(in_ori_truck_40,1,C50))*V50/I50+INDEX(in_ori_terminal,1,C50)+IF(F50=1,INDEX(in_ori_othc_20,1,C50),INDEX(in_ori_othc_40,1,C50))*(1-INDEX(in_ori_othc_in_freight,1,C50))+INDEX(in_ori_seal,1,C50)+INDEX(in_ori_inspection,1,C50)+INDEX(in_ori_dd_days,1,C50)*IF(F50=1,INDEX(in_ori_dd_20,1,C50),INDEX(in_ori_dd_40,1,C50))+INDEX(in_ori_loading_egp,1,C50)/I50))</f>
        <v>191.575091575092</v>
      </c>
      <c r="AQ50" s="88" t="n">
        <f aca="false">(INDEX(in_ori_clearance,1,C50)+INDEX(in_ori_coo,1,C50))/I50+INDEX(in_ori_bl_fee,1,C50)+INDEX(in_ori_fwd_fee,1,C50)+INDEX(in_ori_qc,1,C50)+INDEX(in_ori_wires,1,C50)*INDEX(in_ori_wire_fee,1,C50)</f>
        <v>298.260073260073</v>
      </c>
      <c r="AR50" s="88" t="n">
        <f aca="false">AP50+AQ50</f>
        <v>489.835164835165</v>
      </c>
      <c r="AS50" s="85" t="n">
        <f aca="false">INDEX(tbl_port_diff,H50,C50)</f>
        <v>0</v>
      </c>
      <c r="AT50" s="88" t="n">
        <f aca="false">IF(F50=4,MAX(AF50*INDEX(in_oce_lcl_factor,1,C50),AG50/1000,1)*INDEX(in_oce_lcl_rate,1,C50)*M50,G50*(INDEX(tbl_ocean_rate,MIN(F50,3),C50)+AS50)*M50)</f>
        <v>887.86467</v>
      </c>
      <c r="AU50" s="88" t="n">
        <f aca="false">AT50+INDEX(in_oce_ams,1,C50)</f>
        <v>917.86467</v>
      </c>
      <c r="AV50" s="88" t="n">
        <f aca="false">AI50*(1+IF(K50=3,INDEX(in_sup_vat_rate,1,C50),0))+AO50*Y50/AB50</f>
        <v>487.575320512821</v>
      </c>
      <c r="AW50" s="88" t="n">
        <f aca="false">AJ50*(1+IF(K50=3,INDEX(in_sup_vat_rate,1,C50),0))+AO50*Z50/AB50</f>
        <v>460.471611721612</v>
      </c>
      <c r="AX50" s="88" t="n">
        <f aca="false">AK50*(1+IF(K50=3,INDEX(in_sup_vat_rate,1,C50),0))+AO50*AA50/AB50</f>
        <v>396.181318681319</v>
      </c>
      <c r="AY50" s="88" t="n">
        <f aca="false">AV50+AW50+AX50</f>
        <v>1344.22825091575</v>
      </c>
      <c r="AZ50" s="88" t="n">
        <f aca="false">MAX(INDEX(in_oce_ins_min,1,C50),INDEX(in_oce_ins_rate,1,C50)*(1+INDEX(in_oce_ins_uplift,1,C50))*(AL50+AO50+AR50+AU50))*(1-INDEX(in_oce_ins_in_other,1,C50))</f>
        <v>50</v>
      </c>
      <c r="BA50" s="87" t="n">
        <f aca="false">INDEX(in_cus_mfn,1,C50)+L50</f>
        <v>0</v>
      </c>
      <c r="BB50" s="88" t="n">
        <f aca="false">AY50*BA50</f>
        <v>0</v>
      </c>
      <c r="BC50" s="88" t="n">
        <f aca="false">MIN(MAX(AY50*INDEX(in_cus_mpf_rate,1,C50),INDEX(in_cus_mpf_min,1,C50)),INDEX(in_cus_mpf_max,1,C50))</f>
        <v>34.58</v>
      </c>
      <c r="BD50" s="88" t="n">
        <f aca="false">AY50*INDEX(in_cus_hmf,1,C50)</f>
        <v>1.68028531364469</v>
      </c>
      <c r="BE50" s="88" t="n">
        <f aca="false">MAX(INDEX(in_cus_stb_min,1,C50),INDEX(in_cus_stb_rate,1,C50)/1000*(AY50+BB50+BC50+BD50))</f>
        <v>50</v>
      </c>
      <c r="BF50" s="88" t="n">
        <f aca="false">INDEX(in_cus_broker,1,C50)+INDEX(in_cus_isf,1,C50)+INDEX(in_cus_do_fee,1,C50)+BE50+INDEX(in_cus_isf_bond,1,C50)</f>
        <v>385</v>
      </c>
      <c r="BG50" s="88" t="n">
        <f aca="false">IF(H50=1,INDEX(in_cus_cfc,1,C50)*INDEX(ct_teu,F50)*G50*(1-INDEX(in_cus_cfc_in_freight,1,C50)),0)</f>
        <v>0</v>
      </c>
      <c r="BH50" s="88" t="n">
        <f aca="false">IF(F50=4,1,G50)*(INDEX(in_cus_exam,1,C50)+INDEX(in_cus_exam_dray,1,C50))</f>
        <v>0</v>
      </c>
      <c r="BI50" s="88" t="n">
        <f aca="false">IF(F50=4,1,G50)*INDEX(in_cus_dem_days,1,C50)*INDEX(in_cus_dem_rate,1,C50)</f>
        <v>0</v>
      </c>
      <c r="BJ50" s="88" t="n">
        <f aca="false">BG50+BH50+BI50</f>
        <v>0</v>
      </c>
      <c r="BK50" s="88" t="n">
        <f aca="false">IF(F50=4,(INDEX(in_dra_lcl_cfs_d,1,C50)+INDEX(in_dra_lcl_deliv,1,C50))*P50,G50*(INDEX(tbl_dest_line,E50,C50)*P50*(1+INDEX(in_dra_fsc,1,C50))+INDEX(tbl_dest_tolls,E50,C50)+INDEX(in_dra_chassis_days,1,C50)*INDEX(tbl_dest_chassis,E50,C50)*(1-INDEX(in_dra_chassis_in_dray,1,C50))+INDEX(in_dra_wait_hours,1,C50)*INDEX(in_dra_wait_rate,1,C50)+INDEX(in_dra_split,1,C50)+INDEX(in_dra_prepull,1,C50)+INDEX(in_dra_dryrun,1,C50)))</f>
        <v>500</v>
      </c>
      <c r="BL50" s="88" t="n">
        <f aca="false">IF(F50=4,0,G50*IF(F50=1,INDEX(in_dra_unload_20,1,C50),INDEX(in_dra_unload_40,1,C50))*Q50*(1-INDEX(in_dra_unload_in_dray,1,C50)))</f>
        <v>0</v>
      </c>
      <c r="BM50" s="88" t="n">
        <f aca="false">AL50+AN50+AO50+AR50+AU50+AZ50+BB50+BC50+BD50+BF50+BJ50+BK50+BL50</f>
        <v>3723.18837106456</v>
      </c>
      <c r="BN50" s="88" t="n">
        <f aca="false">AP50+AU50+BJ50+BK50+BL50</f>
        <v>1609.43976157509</v>
      </c>
      <c r="BO50" s="88" t="n">
        <f aca="false">AQ50+BF50</f>
        <v>683.260073260073</v>
      </c>
      <c r="BP50" s="88" t="n">
        <f aca="false">AI50*(1+IF(K50=3,INDEX(in_sup_vat_rate,1,C50),0))+AO50*Y50/AB50+AV50*BA50+(BC50+BD50)*AV50/AY50+AZ50*AI50/AL50+BN50*AC50/AF50+BO50*Y50/AB50</f>
        <v>1282.35309790774</v>
      </c>
      <c r="BQ50" s="88" t="n">
        <f aca="false">AJ50*(1+IF(K50=3,INDEX(in_sup_vat_rate,1,C50),0))+AO50*Z50/AB50+AW50*BA50+(BC50+BD50)*AW50/AY50+AZ50*AJ50/AL50+BN50*AD50/AF50+BO50*Z50/AB50</f>
        <v>1372.90541150228</v>
      </c>
      <c r="BR50" s="88" t="n">
        <f aca="false">AK50*(1+IF(K50=3,INDEX(in_sup_vat_rate,1,C50),0))+AO50*AA50/AB50+AX50*BA50+(BC50+BD50)*AX50/AY50+AZ50*AK50/AL50+BN50*AE50/AF50+BO50*AA50/AB50</f>
        <v>1067.92986165454</v>
      </c>
      <c r="BS50" s="89" t="n">
        <f aca="false">BP50+BQ50+BR50-BM50</f>
        <v>0</v>
      </c>
      <c r="BT50" s="85" t="n">
        <f aca="false">Y50*(1-R50)</f>
        <v>3333.25</v>
      </c>
      <c r="BU50" s="85" t="n">
        <f aca="false">Z50*(1-R50)</f>
        <v>3333.25</v>
      </c>
      <c r="BV50" s="85" t="n">
        <f aca="false">AA50*(1-R50)</f>
        <v>3283.5</v>
      </c>
      <c r="BW50" s="85" t="n">
        <f aca="false">BT50+BU50+BV50</f>
        <v>9950</v>
      </c>
      <c r="BX50" s="90" t="n">
        <f aca="false">IF(BT50&gt;0,BP50/BT50,0)</f>
        <v>0.384715547261002</v>
      </c>
      <c r="BY50" s="90" t="n">
        <f aca="false">IF(BU50&gt;0,BQ50/BU50,0)</f>
        <v>0.411881920498698</v>
      </c>
      <c r="BZ50" s="90" t="n">
        <f aca="false">IF(BV50&gt;0,BR50/BV50,0)</f>
        <v>0.325241316173151</v>
      </c>
      <c r="CA50" s="90" t="n">
        <f aca="false">INDEX(in_mkt_listing_3464,1,C50)*(1-IF(sku_flute_3464="B",T50,0))*(1-S50)*N50</f>
        <v>0.2856</v>
      </c>
      <c r="CB50" s="90" t="n">
        <f aca="false">INDEX(in_mkt_listing_3463,1,C50)*(1-IF(sku_flute_3463="B",T50,0))*(1-S50)*N50</f>
        <v>0.3128</v>
      </c>
      <c r="CC50" s="90" t="n">
        <f aca="false">INDEX(in_mkt_listing_3460,1,C50)*(1-IF(sku_flute_3460="B",T50,0))*(1-S50)*N50</f>
        <v>0.256</v>
      </c>
      <c r="CD50" s="88" t="n">
        <f aca="false">BT50*CA50+BU50*CB50+BV50*CC50</f>
        <v>2835.1928</v>
      </c>
      <c r="CE50" s="88" t="n">
        <f aca="false">CD50-BM50</f>
        <v>-887.99557106456</v>
      </c>
      <c r="CF50" s="87" t="n">
        <f aca="false">IF(CD50&gt;0,CE50/CD50,0)</f>
        <v>-0.313204650866975</v>
      </c>
      <c r="CG50" s="87" t="n">
        <f aca="false">W50+INDEX(in_sel_processing,1,C50)+INDEX(in_sel_bad_debt,1,C50)</f>
        <v>0.0325</v>
      </c>
      <c r="CH50" s="88" t="n">
        <f aca="false">CD50*CG50</f>
        <v>92.143766</v>
      </c>
      <c r="CI50" s="88" t="n">
        <f aca="false">INDEX(in_sel_testing,1,C50)*X50+INDEX(in_sel_admin,1,C50)</f>
        <v>1250</v>
      </c>
      <c r="CJ50" s="79" t="n">
        <f aca="false">INDEX(in_sup_lead_days,1,C50)</f>
        <v>14</v>
      </c>
      <c r="CK50" s="79" t="n">
        <f aca="false">CJ50+INDEX(in_oce_transit,1,C50)+IF(F50=4,INDEX(in_oce_lcl_extra_days,1,C50),0)</f>
        <v>44</v>
      </c>
      <c r="CL50" s="79" t="n">
        <f aca="false">CK50+2+INDEX(in_cus_dem_days,1,C50)</f>
        <v>46</v>
      </c>
      <c r="CM50" s="79" t="n">
        <f aca="false">CL50+U50</f>
        <v>76</v>
      </c>
      <c r="CN50" s="79" t="n">
        <f aca="false">CJ50+INDEX(in_sup_vat_lag,1,C50)</f>
        <v>44</v>
      </c>
      <c r="CO50" s="91" t="n">
        <f aca="false">INDEX(in_sup_advance,1,C50)</f>
        <v>0.5</v>
      </c>
      <c r="CP50" s="88" t="n">
        <f aca="false">CO50*(AL50+AM50)+AO50+INDEX(in_sel_testing,1,C50)*X50</f>
        <v>1672.11412545788</v>
      </c>
      <c r="CQ50" s="88" t="n">
        <f aca="false">(1-CO50)*(AL50+AM50)+AR50+AU50+AZ50</f>
        <v>2129.81396029304</v>
      </c>
      <c r="CR50" s="88" t="n">
        <f aca="false">BB50+BC50+BD50+BF50+BJ50</f>
        <v>421.260285313645</v>
      </c>
      <c r="CS50" s="88" t="n">
        <f aca="false">BK50+BL50</f>
        <v>500</v>
      </c>
      <c r="CT50" s="88" t="n">
        <f aca="false">IF(K50=2,AM50,0)</f>
        <v>0</v>
      </c>
      <c r="CU50" s="85" t="n">
        <f aca="false">IF(K50=2,CO50*AM50*(CN50-0)+(1-CO50)*AM50*(CN50-CJ50),0)</f>
        <v>0</v>
      </c>
      <c r="CV50" s="85" t="n">
        <f aca="false">(CP50-CO50*CT50)*(CM50-0)+(CQ50-(1-CO50)*CT50)*(CM50-CJ50)+CR50*(CM50-CK50)+CS50*(CM50-CL50)</f>
        <v>287609.468203004</v>
      </c>
      <c r="CW50" s="88" t="n">
        <f aca="false">INDEX(in_sel_fin_rate,1,C50)/365*(CU50+CV50)</f>
        <v>63.0376916609323</v>
      </c>
      <c r="CX50" s="85" t="n">
        <f aca="false">CP50-IF(CN50&lt;=0,CT50,0)</f>
        <v>1672.11412545788</v>
      </c>
      <c r="CY50" s="85" t="n">
        <f aca="false">CP50+CQ50-IF(CN50&lt;=CJ50,CT50,0)</f>
        <v>3801.92808575092</v>
      </c>
      <c r="CZ50" s="85" t="n">
        <f aca="false">CP50+CQ50+CR50-IF(CN50&lt;=CK50,CT50,0)</f>
        <v>4223.18837106456</v>
      </c>
      <c r="DA50" s="85" t="n">
        <f aca="false">CP50+CQ50+CR50+CS50-IF(CN50&lt;=CL50,CT50,0)</f>
        <v>4723.18837106456</v>
      </c>
      <c r="DB50" s="88" t="n">
        <f aca="false">MAX(CX50,CY50,CZ50,DA50)</f>
        <v>4723.18837106456</v>
      </c>
      <c r="DC50" s="88" t="n">
        <f aca="false">CP50+CQ50+CR50+CS50</f>
        <v>4723.18837106456</v>
      </c>
      <c r="DD50" s="88" t="n">
        <f aca="false">CE50-CH50-CI50-CW50</f>
        <v>-2293.17702872549</v>
      </c>
      <c r="DE50" s="87" t="n">
        <f aca="false">IF(CD50&gt;0,DD50/CD50,0)</f>
        <v>-0.808825780287497</v>
      </c>
      <c r="DF50" s="86" t="n">
        <f aca="false">IF(CD50&gt;0,(BM50+CI50+CW50)/(CD50*(1-CG50)),0)</f>
        <v>1.83599563854005</v>
      </c>
      <c r="DG50" s="90" t="n">
        <f aca="false">IF(BW50&gt;0,BM50/BW50,0)</f>
        <v>0.374189786036639</v>
      </c>
      <c r="DH50" s="90" t="n">
        <f aca="false">IF(BW50&gt;0,CD50/BW50,0)</f>
        <v>0.284944</v>
      </c>
      <c r="DI50" s="90" t="n">
        <f aca="false">IF(AI50&gt;0,(AI50*IF(K50=3,INDEX(in_sup_vat_rate,1,C50),0)+AV50*BA50+(BC50+BD50)*AV50/AY50+AZ50*AI50/AL50)/AI50,0)</f>
        <v>0.0641708617973772</v>
      </c>
      <c r="DJ50" s="90" t="n">
        <f aca="false">IF(AJ50&gt;0,(AJ50*IF(K50=3,INDEX(in_sup_vat_rate,1,C50),0)+AW50*BA50+(BC50+BD50)*AW50/AY50+AZ50*AJ50/AL50)/AJ50,0)</f>
        <v>0.0641708617973772</v>
      </c>
      <c r="DK50" s="90" t="n">
        <f aca="false">IF(AK50&gt;0,(AK50*IF(K50=3,INDEX(in_sup_vat_rate,1,C50),0)+AX50*BA50+(BC50+BD50)*AX50/AY50+AZ50*AK50/AL50)/AK50,0)</f>
        <v>0.0641708617973772</v>
      </c>
      <c r="DL50" s="90" t="n">
        <f aca="false">IF(Y50&gt;0,(BP50-AI50*(1+DI50))/Y50,0)</f>
        <v>0.22790735787656</v>
      </c>
      <c r="DM50" s="90" t="n">
        <f aca="false">IF(Z50&gt;0,(BQ50-AJ50*(1+DJ50))/Z50,0)</f>
        <v>0.263547743171125</v>
      </c>
      <c r="DN50" s="90" t="n">
        <f aca="false">IF(AA50&gt;0,(BR50-AK50*(1+DK50))/AA50,0)</f>
        <v>0.195856135250127</v>
      </c>
      <c r="DO50" s="86" t="n">
        <f aca="false">IF(Y50&gt;0,(CA50*(1-thr_gm_go)*(1-R50)-DL50)/(1+DI50)*I50/((1+AH50)*J50),"")</f>
        <v>-0.798148778771255</v>
      </c>
      <c r="DP50" s="86" t="n">
        <f aca="false">IF(Z50&gt;0,(CB50*(1-thr_gm_go)*(1-R50)-DM50)/(1+DJ50)*I50/((1+AH50)*J50),"")</f>
        <v>-1.62675952081579</v>
      </c>
      <c r="DQ50" s="86" t="n">
        <f aca="false">IF(AA50&gt;0,(CC50*(1-thr_gm_go)*(1-R50)-DN50)/(1+DK50)*I50/((1+AH50)*J50),"")</f>
        <v>-0.260109580536235</v>
      </c>
      <c r="DR50" s="92" t="n">
        <f aca="false">IF(AND(AY50*INDEX(in_cus_mpf_rate,1,C50)&gt;INDEX(in_cus_mpf_min,1,C50),AY50*INDEX(in_cus_mpf_rate,1,C50)&lt;INDEX(in_cus_mpf_max,1,C50)),INDEX(in_cus_mpf_rate,1,C50),0)</f>
        <v>0</v>
      </c>
      <c r="DS50" s="88" t="n">
        <f aca="false">IF(AZ50&gt;INDEX(in_oce_ins_min,1,C50),INDEX(in_oce_ins_rate,1,C50)*(1+INDEX(in_oce_ins_uplift,1,C50))*AL50,0)</f>
        <v>0</v>
      </c>
      <c r="DT50" s="88" t="n">
        <f aca="false">(AL50+AN50)*(1+BA50+INDEX(in_cus_hmf,1,C50)+DR50)+DS50</f>
        <v>1345.9085362294</v>
      </c>
      <c r="DU50" s="86" t="n">
        <f aca="false">IF(DT50&gt;0,(CD50*(1-thr_gm_go)-(BM50-DT50))/DT50,0)</f>
        <v>-0.186405857516906</v>
      </c>
      <c r="DV50" s="86" t="n">
        <f aca="false">IF(DT50&gt;0,(CD50-(BM50-DT50))/DT50,0)</f>
        <v>0.340225916426456</v>
      </c>
      <c r="DW50" s="87" t="n">
        <f aca="false">(1+AH50)*J50*DU50-1</f>
        <v>-1.17708556464106</v>
      </c>
      <c r="DX50" s="87" t="n">
        <f aca="false">(1+AH50)*J50*DV50-1</f>
        <v>-0.676785379394867</v>
      </c>
      <c r="DY50" s="85" t="str">
        <f aca="false">IF(G50&gt;0,(CD50*(1-thr_gm_go)-(BM50-AT50))/G50,"")</f>
        <v/>
      </c>
      <c r="DZ50" s="90" t="n">
        <f aca="false">IF(AB50&gt;0,(AL50+AN50+BB50+BC50+BD50)/AB50,0)</f>
        <v>0.13804885362294</v>
      </c>
      <c r="EA50" s="88" t="n">
        <f aca="false">BM50-DZ50*AB50</f>
        <v>2342.69983483517</v>
      </c>
      <c r="EB50" s="90" t="n">
        <f aca="false">IF(AB50&gt;0,CD50/AB50,0)</f>
        <v>0.28351928</v>
      </c>
      <c r="EC50" s="85" t="n">
        <f aca="false">IF(EB50*(1-thr_gm_go)-DZ50&gt;0,EA50/(EB50*(1-thr_gm_go)-DZ50),"n/a")</f>
        <v>31407.4378614468</v>
      </c>
      <c r="ED50" s="85" t="n">
        <f aca="false">IF(EB50-DZ50&gt;0,EA50/(EB50-DZ50),"n/a")</f>
        <v>16104.3030750654</v>
      </c>
      <c r="EE50" s="93" t="b">
        <f aca="false">INDEX(cfg_fits,D50,C50)</f>
        <v>1</v>
      </c>
      <c r="EF50" s="87" t="str">
        <f aca="false">IF(F50=4,"",INDEX(cfg_lenutil,D50,C50))</f>
        <v/>
      </c>
      <c r="EG50" s="31" t="str">
        <f aca="false">IF(O50&gt;1,"Check fit (units scaled up)","")</f>
        <v/>
      </c>
    </row>
    <row r="51" customFormat="false" ht="15" hidden="false" customHeight="false" outlineLevel="0" collapsed="false">
      <c r="A51" s="78" t="n">
        <v>1102</v>
      </c>
      <c r="B51" s="9" t="s">
        <v>3199</v>
      </c>
      <c r="C51" s="78" t="n">
        <v>1</v>
      </c>
      <c r="D51" s="78" t="n">
        <v>10</v>
      </c>
      <c r="E51" s="78" t="n">
        <v>2</v>
      </c>
      <c r="F51" s="79" t="n">
        <f aca="false">INDEX(cfg_ct,D51)</f>
        <v>4</v>
      </c>
      <c r="G51" s="79" t="n">
        <f aca="false">INDEX(cfg_n,D51)</f>
        <v>0</v>
      </c>
      <c r="H51" s="79" t="n">
        <f aca="false">INDEX(dest_port,E51)</f>
        <v>1</v>
      </c>
      <c r="I51" s="80" t="n">
        <f aca="false">INDEX(in_fx_cbe,1,C51)*(1-INDEX(in_fx_spread,1,C51))</f>
        <v>54.6</v>
      </c>
      <c r="J51" s="81" t="n">
        <f aca="false">1</f>
        <v>1</v>
      </c>
      <c r="K51" s="82" t="n">
        <f aca="false">INDEX(in_sup_vat_mode,1,C51)</f>
        <v>1</v>
      </c>
      <c r="L51" s="83" t="n">
        <f aca="false">INDEX(in_cus_s301,1,C51)</f>
        <v>0</v>
      </c>
      <c r="M51" s="84" t="n">
        <f aca="false">1</f>
        <v>1</v>
      </c>
      <c r="N51" s="81" t="n">
        <f aca="false">1</f>
        <v>1</v>
      </c>
      <c r="O51" s="81" t="n">
        <f aca="false">1</f>
        <v>1</v>
      </c>
      <c r="P51" s="81" t="n">
        <f aca="false">1</f>
        <v>1</v>
      </c>
      <c r="Q51" s="81" t="n">
        <f aca="false">1</f>
        <v>1</v>
      </c>
      <c r="R51" s="83" t="n">
        <f aca="false">INDEX(in_sel_damage,1,C51)</f>
        <v>0.005</v>
      </c>
      <c r="S51" s="83" t="n">
        <f aca="false">INDEX(in_mkt_dist_margin,1,C51)</f>
        <v>0.2</v>
      </c>
      <c r="T51" s="83" t="n">
        <f aca="false">INDEX(in_mkt_eflute_disc,1,C51)</f>
        <v>0.15</v>
      </c>
      <c r="U51" s="82" t="n">
        <f aca="false">INDEX(in_sel_credit_days,1,C51)</f>
        <v>30</v>
      </c>
      <c r="V51" s="81" t="n">
        <f aca="false">1</f>
        <v>1</v>
      </c>
      <c r="W51" s="83" t="n">
        <f aca="false">INDEX(in_sel_commission,1,C51)</f>
        <v>0.03</v>
      </c>
      <c r="X51" s="82" t="n">
        <f aca="false">1</f>
        <v>1</v>
      </c>
      <c r="Y51" s="85" t="n">
        <f aca="false">INDEX(cfg_u_3464,D51,C51)*O51</f>
        <v>3350</v>
      </c>
      <c r="Z51" s="85" t="n">
        <f aca="false">INDEX(cfg_u_3463,D51,C51)*O51</f>
        <v>3350</v>
      </c>
      <c r="AA51" s="85" t="n">
        <f aca="false">INDEX(cfg_u_3460,D51,C51)*O51</f>
        <v>3300</v>
      </c>
      <c r="AB51" s="85" t="n">
        <f aca="false">Y51+Z51+AA51</f>
        <v>10000</v>
      </c>
      <c r="AC51" s="86" t="n">
        <f aca="false">Y51*INDEX(lg_vpu_3464,C51)</f>
        <v>2.2342155</v>
      </c>
      <c r="AD51" s="86" t="n">
        <f aca="false">Z51*INDEX(lg_vpu_3463,C51)</f>
        <v>2.733198</v>
      </c>
      <c r="AE51" s="86" t="n">
        <f aca="false">AA51*INDEX(lg_vpu_3460,C51)</f>
        <v>1.758834</v>
      </c>
      <c r="AF51" s="86" t="n">
        <f aca="false">AC51+AD51+AE51</f>
        <v>6.7262475</v>
      </c>
      <c r="AG51" s="85" t="n">
        <f aca="false">Y51*INDEX(lg_kpu_3464,C51)+Z51*INDEX(lg_kpu_3463,C51)+AA51*INDEX(lg_kpu_3460,C51)</f>
        <v>1644.25172</v>
      </c>
      <c r="AH51" s="87" t="n">
        <f aca="false">INDEX(in_sup_requote,1,C51)</f>
        <v>-0.05</v>
      </c>
      <c r="AI51" s="88" t="n">
        <f aca="false">Y51*q_price_3464*(1+AH51)*J51/I51</f>
        <v>487.575320512821</v>
      </c>
      <c r="AJ51" s="88" t="n">
        <f aca="false">Z51*q_price_3463*(1+AH51)*J51/I51</f>
        <v>460.471611721612</v>
      </c>
      <c r="AK51" s="88" t="n">
        <f aca="false">AA51*q_price_3460*(1+AH51)*J51/I51</f>
        <v>396.181318681319</v>
      </c>
      <c r="AL51" s="88" t="n">
        <f aca="false">AI51+AJ51+AK51</f>
        <v>1344.22825091575</v>
      </c>
      <c r="AM51" s="88" t="n">
        <f aca="false">IF(OR(K51=2,K51=3),AL51*INDEX(in_sup_vat_rate,1,C51),0)</f>
        <v>0</v>
      </c>
      <c r="AN51" s="88" t="n">
        <f aca="false">IF(K51=3,AM51,0)</f>
        <v>0</v>
      </c>
      <c r="AO51" s="88" t="n">
        <f aca="false">INDEX(in_sup_tooling_egp,1,C51)/I51</f>
        <v>0</v>
      </c>
      <c r="AP51" s="88" t="n">
        <f aca="false">IF(F51=4,INDEX(in_ori_lcl_truck,1,C51)*V51/I51+INDEX(in_ori_lcl_cfs_o,1,C51),G51*(IF(F51=1,INDEX(in_ori_truck_20,1,C51),INDEX(in_ori_truck_40,1,C51))*V51/I51+INDEX(in_ori_terminal,1,C51)+IF(F51=1,INDEX(in_ori_othc_20,1,C51),INDEX(in_ori_othc_40,1,C51))*(1-INDEX(in_ori_othc_in_freight,1,C51))+INDEX(in_ori_seal,1,C51)+INDEX(in_ori_inspection,1,C51)+INDEX(in_ori_dd_days,1,C51)*IF(F51=1,INDEX(in_ori_dd_20,1,C51),INDEX(in_ori_dd_40,1,C51))+INDEX(in_ori_loading_egp,1,C51)/I51))</f>
        <v>191.575091575092</v>
      </c>
      <c r="AQ51" s="88" t="n">
        <f aca="false">(INDEX(in_ori_clearance,1,C51)+INDEX(in_ori_coo,1,C51))/I51+INDEX(in_ori_bl_fee,1,C51)+INDEX(in_ori_fwd_fee,1,C51)+INDEX(in_ori_qc,1,C51)+INDEX(in_ori_wires,1,C51)*INDEX(in_ori_wire_fee,1,C51)</f>
        <v>298.260073260073</v>
      </c>
      <c r="AR51" s="88" t="n">
        <f aca="false">AP51+AQ51</f>
        <v>489.835164835165</v>
      </c>
      <c r="AS51" s="85" t="n">
        <f aca="false">INDEX(tbl_port_diff,H51,C51)</f>
        <v>0</v>
      </c>
      <c r="AT51" s="88" t="n">
        <f aca="false">IF(F51=4,MAX(AF51*INDEX(in_oce_lcl_factor,1,C51),AG51/1000,1)*INDEX(in_oce_lcl_rate,1,C51)*M51,G51*(INDEX(tbl_ocean_rate,MIN(F51,3),C51)+AS51)*M51)</f>
        <v>887.86467</v>
      </c>
      <c r="AU51" s="88" t="n">
        <f aca="false">AT51+INDEX(in_oce_ams,1,C51)</f>
        <v>917.86467</v>
      </c>
      <c r="AV51" s="88" t="n">
        <f aca="false">AI51*(1+IF(K51=3,INDEX(in_sup_vat_rate,1,C51),0))+AO51*Y51/AB51</f>
        <v>487.575320512821</v>
      </c>
      <c r="AW51" s="88" t="n">
        <f aca="false">AJ51*(1+IF(K51=3,INDEX(in_sup_vat_rate,1,C51),0))+AO51*Z51/AB51</f>
        <v>460.471611721612</v>
      </c>
      <c r="AX51" s="88" t="n">
        <f aca="false">AK51*(1+IF(K51=3,INDEX(in_sup_vat_rate,1,C51),0))+AO51*AA51/AB51</f>
        <v>396.181318681319</v>
      </c>
      <c r="AY51" s="88" t="n">
        <f aca="false">AV51+AW51+AX51</f>
        <v>1344.22825091575</v>
      </c>
      <c r="AZ51" s="88" t="n">
        <f aca="false">MAX(INDEX(in_oce_ins_min,1,C51),INDEX(in_oce_ins_rate,1,C51)*(1+INDEX(in_oce_ins_uplift,1,C51))*(AL51+AO51+AR51+AU51))*(1-INDEX(in_oce_ins_in_other,1,C51))</f>
        <v>50</v>
      </c>
      <c r="BA51" s="87" t="n">
        <f aca="false">INDEX(in_cus_mfn,1,C51)+L51</f>
        <v>0</v>
      </c>
      <c r="BB51" s="88" t="n">
        <f aca="false">AY51*BA51</f>
        <v>0</v>
      </c>
      <c r="BC51" s="88" t="n">
        <f aca="false">MIN(MAX(AY51*INDEX(in_cus_mpf_rate,1,C51),INDEX(in_cus_mpf_min,1,C51)),INDEX(in_cus_mpf_max,1,C51))</f>
        <v>34.58</v>
      </c>
      <c r="BD51" s="88" t="n">
        <f aca="false">AY51*INDEX(in_cus_hmf,1,C51)</f>
        <v>1.68028531364469</v>
      </c>
      <c r="BE51" s="88" t="n">
        <f aca="false">MAX(INDEX(in_cus_stb_min,1,C51),INDEX(in_cus_stb_rate,1,C51)/1000*(AY51+BB51+BC51+BD51))</f>
        <v>50</v>
      </c>
      <c r="BF51" s="88" t="n">
        <f aca="false">INDEX(in_cus_broker,1,C51)+INDEX(in_cus_isf,1,C51)+INDEX(in_cus_do_fee,1,C51)+BE51+INDEX(in_cus_isf_bond,1,C51)</f>
        <v>385</v>
      </c>
      <c r="BG51" s="88" t="n">
        <f aca="false">IF(H51=1,INDEX(in_cus_cfc,1,C51)*INDEX(ct_teu,F51)*G51*(1-INDEX(in_cus_cfc_in_freight,1,C51)),0)</f>
        <v>0</v>
      </c>
      <c r="BH51" s="88" t="n">
        <f aca="false">IF(F51=4,1,G51)*(INDEX(in_cus_exam,1,C51)+INDEX(in_cus_exam_dray,1,C51))</f>
        <v>0</v>
      </c>
      <c r="BI51" s="88" t="n">
        <f aca="false">IF(F51=4,1,G51)*INDEX(in_cus_dem_days,1,C51)*INDEX(in_cus_dem_rate,1,C51)</f>
        <v>0</v>
      </c>
      <c r="BJ51" s="88" t="n">
        <f aca="false">BG51+BH51+BI51</f>
        <v>0</v>
      </c>
      <c r="BK51" s="88" t="n">
        <f aca="false">IF(F51=4,(INDEX(in_dra_lcl_cfs_d,1,C51)+INDEX(in_dra_lcl_deliv,1,C51))*P51,G51*(INDEX(tbl_dest_line,E51,C51)*P51*(1+INDEX(in_dra_fsc,1,C51))+INDEX(tbl_dest_tolls,E51,C51)+INDEX(in_dra_chassis_days,1,C51)*INDEX(tbl_dest_chassis,E51,C51)*(1-INDEX(in_dra_chassis_in_dray,1,C51))+INDEX(in_dra_wait_hours,1,C51)*INDEX(in_dra_wait_rate,1,C51)+INDEX(in_dra_split,1,C51)+INDEX(in_dra_prepull,1,C51)+INDEX(in_dra_dryrun,1,C51)))</f>
        <v>500</v>
      </c>
      <c r="BL51" s="88" t="n">
        <f aca="false">IF(F51=4,0,G51*IF(F51=1,INDEX(in_dra_unload_20,1,C51),INDEX(in_dra_unload_40,1,C51))*Q51*(1-INDEX(in_dra_unload_in_dray,1,C51)))</f>
        <v>0</v>
      </c>
      <c r="BM51" s="88" t="n">
        <f aca="false">AL51+AN51+AO51+AR51+AU51+AZ51+BB51+BC51+BD51+BF51+BJ51+BK51+BL51</f>
        <v>3723.18837106456</v>
      </c>
      <c r="BN51" s="88" t="n">
        <f aca="false">AP51+AU51+BJ51+BK51+BL51</f>
        <v>1609.43976157509</v>
      </c>
      <c r="BO51" s="88" t="n">
        <f aca="false">AQ51+BF51</f>
        <v>683.260073260073</v>
      </c>
      <c r="BP51" s="88" t="n">
        <f aca="false">AI51*(1+IF(K51=3,INDEX(in_sup_vat_rate,1,C51),0))+AO51*Y51/AB51+AV51*BA51+(BC51+BD51)*AV51/AY51+AZ51*AI51/AL51+BN51*AC51/AF51+BO51*Y51/AB51</f>
        <v>1282.35309790774</v>
      </c>
      <c r="BQ51" s="88" t="n">
        <f aca="false">AJ51*(1+IF(K51=3,INDEX(in_sup_vat_rate,1,C51),0))+AO51*Z51/AB51+AW51*BA51+(BC51+BD51)*AW51/AY51+AZ51*AJ51/AL51+BN51*AD51/AF51+BO51*Z51/AB51</f>
        <v>1372.90541150228</v>
      </c>
      <c r="BR51" s="88" t="n">
        <f aca="false">AK51*(1+IF(K51=3,INDEX(in_sup_vat_rate,1,C51),0))+AO51*AA51/AB51+AX51*BA51+(BC51+BD51)*AX51/AY51+AZ51*AK51/AL51+BN51*AE51/AF51+BO51*AA51/AB51</f>
        <v>1067.92986165454</v>
      </c>
      <c r="BS51" s="89" t="n">
        <f aca="false">BP51+BQ51+BR51-BM51</f>
        <v>0</v>
      </c>
      <c r="BT51" s="85" t="n">
        <f aca="false">Y51*(1-R51)</f>
        <v>3333.25</v>
      </c>
      <c r="BU51" s="85" t="n">
        <f aca="false">Z51*(1-R51)</f>
        <v>3333.25</v>
      </c>
      <c r="BV51" s="85" t="n">
        <f aca="false">AA51*(1-R51)</f>
        <v>3283.5</v>
      </c>
      <c r="BW51" s="85" t="n">
        <f aca="false">BT51+BU51+BV51</f>
        <v>9950</v>
      </c>
      <c r="BX51" s="90" t="n">
        <f aca="false">IF(BT51&gt;0,BP51/BT51,0)</f>
        <v>0.384715547261002</v>
      </c>
      <c r="BY51" s="90" t="n">
        <f aca="false">IF(BU51&gt;0,BQ51/BU51,0)</f>
        <v>0.411881920498698</v>
      </c>
      <c r="BZ51" s="90" t="n">
        <f aca="false">IF(BV51&gt;0,BR51/BV51,0)</f>
        <v>0.325241316173151</v>
      </c>
      <c r="CA51" s="90" t="n">
        <f aca="false">INDEX(in_mkt_listing_3464,1,C51)*(1-IF(sku_flute_3464="B",T51,0))*(1-S51)*N51</f>
        <v>0.2856</v>
      </c>
      <c r="CB51" s="90" t="n">
        <f aca="false">INDEX(in_mkt_listing_3463,1,C51)*(1-IF(sku_flute_3463="B",T51,0))*(1-S51)*N51</f>
        <v>0.3128</v>
      </c>
      <c r="CC51" s="90" t="n">
        <f aca="false">INDEX(in_mkt_listing_3460,1,C51)*(1-IF(sku_flute_3460="B",T51,0))*(1-S51)*N51</f>
        <v>0.256</v>
      </c>
      <c r="CD51" s="88" t="n">
        <f aca="false">BT51*CA51+BU51*CB51+BV51*CC51</f>
        <v>2835.1928</v>
      </c>
      <c r="CE51" s="88" t="n">
        <f aca="false">CD51-BM51</f>
        <v>-887.99557106456</v>
      </c>
      <c r="CF51" s="87" t="n">
        <f aca="false">IF(CD51&gt;0,CE51/CD51,0)</f>
        <v>-0.313204650866975</v>
      </c>
      <c r="CG51" s="87" t="n">
        <f aca="false">W51+INDEX(in_sel_processing,1,C51)+INDEX(in_sel_bad_debt,1,C51)</f>
        <v>0.0325</v>
      </c>
      <c r="CH51" s="88" t="n">
        <f aca="false">CD51*CG51</f>
        <v>92.143766</v>
      </c>
      <c r="CI51" s="88" t="n">
        <f aca="false">INDEX(in_sel_testing,1,C51)*X51+INDEX(in_sel_admin,1,C51)</f>
        <v>1250</v>
      </c>
      <c r="CJ51" s="79" t="n">
        <f aca="false">INDEX(in_sup_lead_days,1,C51)</f>
        <v>14</v>
      </c>
      <c r="CK51" s="79" t="n">
        <f aca="false">CJ51+INDEX(in_oce_transit,1,C51)+IF(F51=4,INDEX(in_oce_lcl_extra_days,1,C51),0)</f>
        <v>44</v>
      </c>
      <c r="CL51" s="79" t="n">
        <f aca="false">CK51+2+INDEX(in_cus_dem_days,1,C51)</f>
        <v>46</v>
      </c>
      <c r="CM51" s="79" t="n">
        <f aca="false">CL51+U51</f>
        <v>76</v>
      </c>
      <c r="CN51" s="79" t="n">
        <f aca="false">CJ51+INDEX(in_sup_vat_lag,1,C51)</f>
        <v>44</v>
      </c>
      <c r="CO51" s="91" t="n">
        <f aca="false">INDEX(in_sup_advance,1,C51)</f>
        <v>0.5</v>
      </c>
      <c r="CP51" s="88" t="n">
        <f aca="false">CO51*(AL51+AM51)+AO51+INDEX(in_sel_testing,1,C51)*X51</f>
        <v>1672.11412545788</v>
      </c>
      <c r="CQ51" s="88" t="n">
        <f aca="false">(1-CO51)*(AL51+AM51)+AR51+AU51+AZ51</f>
        <v>2129.81396029304</v>
      </c>
      <c r="CR51" s="88" t="n">
        <f aca="false">BB51+BC51+BD51+BF51+BJ51</f>
        <v>421.260285313645</v>
      </c>
      <c r="CS51" s="88" t="n">
        <f aca="false">BK51+BL51</f>
        <v>500</v>
      </c>
      <c r="CT51" s="88" t="n">
        <f aca="false">IF(K51=2,AM51,0)</f>
        <v>0</v>
      </c>
      <c r="CU51" s="85" t="n">
        <f aca="false">IF(K51=2,CO51*AM51*(CN51-0)+(1-CO51)*AM51*(CN51-CJ51),0)</f>
        <v>0</v>
      </c>
      <c r="CV51" s="85" t="n">
        <f aca="false">(CP51-CO51*CT51)*(CM51-0)+(CQ51-(1-CO51)*CT51)*(CM51-CJ51)+CR51*(CM51-CK51)+CS51*(CM51-CL51)</f>
        <v>287609.468203004</v>
      </c>
      <c r="CW51" s="88" t="n">
        <f aca="false">INDEX(in_sel_fin_rate,1,C51)/365*(CU51+CV51)</f>
        <v>63.0376916609323</v>
      </c>
      <c r="CX51" s="85" t="n">
        <f aca="false">CP51-IF(CN51&lt;=0,CT51,0)</f>
        <v>1672.11412545788</v>
      </c>
      <c r="CY51" s="85" t="n">
        <f aca="false">CP51+CQ51-IF(CN51&lt;=CJ51,CT51,0)</f>
        <v>3801.92808575092</v>
      </c>
      <c r="CZ51" s="85" t="n">
        <f aca="false">CP51+CQ51+CR51-IF(CN51&lt;=CK51,CT51,0)</f>
        <v>4223.18837106456</v>
      </c>
      <c r="DA51" s="85" t="n">
        <f aca="false">CP51+CQ51+CR51+CS51-IF(CN51&lt;=CL51,CT51,0)</f>
        <v>4723.18837106456</v>
      </c>
      <c r="DB51" s="88" t="n">
        <f aca="false">MAX(CX51,CY51,CZ51,DA51)</f>
        <v>4723.18837106456</v>
      </c>
      <c r="DC51" s="88" t="n">
        <f aca="false">CP51+CQ51+CR51+CS51</f>
        <v>4723.18837106456</v>
      </c>
      <c r="DD51" s="88" t="n">
        <f aca="false">CE51-CH51-CI51-CW51</f>
        <v>-2293.17702872549</v>
      </c>
      <c r="DE51" s="87" t="n">
        <f aca="false">IF(CD51&gt;0,DD51/CD51,0)</f>
        <v>-0.808825780287497</v>
      </c>
      <c r="DF51" s="86" t="n">
        <f aca="false">IF(CD51&gt;0,(BM51+CI51+CW51)/(CD51*(1-CG51)),0)</f>
        <v>1.83599563854005</v>
      </c>
      <c r="DG51" s="90" t="n">
        <f aca="false">IF(BW51&gt;0,BM51/BW51,0)</f>
        <v>0.374189786036639</v>
      </c>
      <c r="DH51" s="90" t="n">
        <f aca="false">IF(BW51&gt;0,CD51/BW51,0)</f>
        <v>0.284944</v>
      </c>
      <c r="DI51" s="90" t="n">
        <f aca="false">IF(AI51&gt;0,(AI51*IF(K51=3,INDEX(in_sup_vat_rate,1,C51),0)+AV51*BA51+(BC51+BD51)*AV51/AY51+AZ51*AI51/AL51)/AI51,0)</f>
        <v>0.0641708617973772</v>
      </c>
      <c r="DJ51" s="90" t="n">
        <f aca="false">IF(AJ51&gt;0,(AJ51*IF(K51=3,INDEX(in_sup_vat_rate,1,C51),0)+AW51*BA51+(BC51+BD51)*AW51/AY51+AZ51*AJ51/AL51)/AJ51,0)</f>
        <v>0.0641708617973772</v>
      </c>
      <c r="DK51" s="90" t="n">
        <f aca="false">IF(AK51&gt;0,(AK51*IF(K51=3,INDEX(in_sup_vat_rate,1,C51),0)+AX51*BA51+(BC51+BD51)*AX51/AY51+AZ51*AK51/AL51)/AK51,0)</f>
        <v>0.0641708617973772</v>
      </c>
      <c r="DL51" s="90" t="n">
        <f aca="false">IF(Y51&gt;0,(BP51-AI51*(1+DI51))/Y51,0)</f>
        <v>0.22790735787656</v>
      </c>
      <c r="DM51" s="90" t="n">
        <f aca="false">IF(Z51&gt;0,(BQ51-AJ51*(1+DJ51))/Z51,0)</f>
        <v>0.263547743171125</v>
      </c>
      <c r="DN51" s="90" t="n">
        <f aca="false">IF(AA51&gt;0,(BR51-AK51*(1+DK51))/AA51,0)</f>
        <v>0.195856135250127</v>
      </c>
      <c r="DO51" s="86" t="n">
        <f aca="false">IF(Y51&gt;0,(CA51*(1-thr_gm_go)*(1-R51)-DL51)/(1+DI51)*I51/((1+AH51)*J51),"")</f>
        <v>-0.798148778771255</v>
      </c>
      <c r="DP51" s="86" t="n">
        <f aca="false">IF(Z51&gt;0,(CB51*(1-thr_gm_go)*(1-R51)-DM51)/(1+DJ51)*I51/((1+AH51)*J51),"")</f>
        <v>-1.62675952081579</v>
      </c>
      <c r="DQ51" s="86" t="n">
        <f aca="false">IF(AA51&gt;0,(CC51*(1-thr_gm_go)*(1-R51)-DN51)/(1+DK51)*I51/((1+AH51)*J51),"")</f>
        <v>-0.260109580536235</v>
      </c>
      <c r="DR51" s="92" t="n">
        <f aca="false">IF(AND(AY51*INDEX(in_cus_mpf_rate,1,C51)&gt;INDEX(in_cus_mpf_min,1,C51),AY51*INDEX(in_cus_mpf_rate,1,C51)&lt;INDEX(in_cus_mpf_max,1,C51)),INDEX(in_cus_mpf_rate,1,C51),0)</f>
        <v>0</v>
      </c>
      <c r="DS51" s="88" t="n">
        <f aca="false">IF(AZ51&gt;INDEX(in_oce_ins_min,1,C51),INDEX(in_oce_ins_rate,1,C51)*(1+INDEX(in_oce_ins_uplift,1,C51))*AL51,0)</f>
        <v>0</v>
      </c>
      <c r="DT51" s="88" t="n">
        <f aca="false">(AL51+AN51)*(1+BA51+INDEX(in_cus_hmf,1,C51)+DR51)+DS51</f>
        <v>1345.9085362294</v>
      </c>
      <c r="DU51" s="86" t="n">
        <f aca="false">IF(DT51&gt;0,(CD51*(1-thr_gm_go)-(BM51-DT51))/DT51,0)</f>
        <v>-0.186405857516906</v>
      </c>
      <c r="DV51" s="86" t="n">
        <f aca="false">IF(DT51&gt;0,(CD51-(BM51-DT51))/DT51,0)</f>
        <v>0.340225916426456</v>
      </c>
      <c r="DW51" s="87" t="n">
        <f aca="false">(1+AH51)*J51*DU51-1</f>
        <v>-1.17708556464106</v>
      </c>
      <c r="DX51" s="87" t="n">
        <f aca="false">(1+AH51)*J51*DV51-1</f>
        <v>-0.676785379394867</v>
      </c>
      <c r="DY51" s="85" t="str">
        <f aca="false">IF(G51&gt;0,(CD51*(1-thr_gm_go)-(BM51-AT51))/G51,"")</f>
        <v/>
      </c>
      <c r="DZ51" s="90" t="n">
        <f aca="false">IF(AB51&gt;0,(AL51+AN51+BB51+BC51+BD51)/AB51,0)</f>
        <v>0.13804885362294</v>
      </c>
      <c r="EA51" s="88" t="n">
        <f aca="false">BM51-DZ51*AB51</f>
        <v>2342.69983483517</v>
      </c>
      <c r="EB51" s="90" t="n">
        <f aca="false">IF(AB51&gt;0,CD51/AB51,0)</f>
        <v>0.28351928</v>
      </c>
      <c r="EC51" s="85" t="n">
        <f aca="false">IF(EB51*(1-thr_gm_go)-DZ51&gt;0,EA51/(EB51*(1-thr_gm_go)-DZ51),"n/a")</f>
        <v>31407.4378614468</v>
      </c>
      <c r="ED51" s="85" t="n">
        <f aca="false">IF(EB51-DZ51&gt;0,EA51/(EB51-DZ51),"n/a")</f>
        <v>16104.3030750654</v>
      </c>
      <c r="EE51" s="93" t="b">
        <f aca="false">INDEX(cfg_fits,D51,C51)</f>
        <v>1</v>
      </c>
      <c r="EF51" s="87" t="str">
        <f aca="false">IF(F51=4,"",INDEX(cfg_lenutil,D51,C51))</f>
        <v/>
      </c>
      <c r="EG51" s="31" t="str">
        <f aca="false">IF(O51&gt;1,"Check fit (units scaled up)","")</f>
        <v/>
      </c>
    </row>
    <row r="52" customFormat="false" ht="15" hidden="false" customHeight="false" outlineLevel="0" collapsed="false">
      <c r="A52" s="78" t="n">
        <v>1103</v>
      </c>
      <c r="B52" s="9" t="s">
        <v>3200</v>
      </c>
      <c r="C52" s="78" t="n">
        <v>1</v>
      </c>
      <c r="D52" s="78" t="n">
        <v>10</v>
      </c>
      <c r="E52" s="78" t="n">
        <v>3</v>
      </c>
      <c r="F52" s="79" t="n">
        <f aca="false">INDEX(cfg_ct,D52)</f>
        <v>4</v>
      </c>
      <c r="G52" s="79" t="n">
        <f aca="false">INDEX(cfg_n,D52)</f>
        <v>0</v>
      </c>
      <c r="H52" s="79" t="n">
        <f aca="false">INDEX(dest_port,E52)</f>
        <v>2</v>
      </c>
      <c r="I52" s="80" t="n">
        <f aca="false">INDEX(in_fx_cbe,1,C52)*(1-INDEX(in_fx_spread,1,C52))</f>
        <v>54.6</v>
      </c>
      <c r="J52" s="81" t="n">
        <f aca="false">1</f>
        <v>1</v>
      </c>
      <c r="K52" s="82" t="n">
        <f aca="false">INDEX(in_sup_vat_mode,1,C52)</f>
        <v>1</v>
      </c>
      <c r="L52" s="83" t="n">
        <f aca="false">INDEX(in_cus_s301,1,C52)</f>
        <v>0</v>
      </c>
      <c r="M52" s="84" t="n">
        <f aca="false">1</f>
        <v>1</v>
      </c>
      <c r="N52" s="81" t="n">
        <f aca="false">1</f>
        <v>1</v>
      </c>
      <c r="O52" s="81" t="n">
        <f aca="false">1</f>
        <v>1</v>
      </c>
      <c r="P52" s="81" t="n">
        <f aca="false">1</f>
        <v>1</v>
      </c>
      <c r="Q52" s="81" t="n">
        <f aca="false">1</f>
        <v>1</v>
      </c>
      <c r="R52" s="83" t="n">
        <f aca="false">INDEX(in_sel_damage,1,C52)</f>
        <v>0.005</v>
      </c>
      <c r="S52" s="83" t="n">
        <f aca="false">INDEX(in_mkt_dist_margin,1,C52)</f>
        <v>0.2</v>
      </c>
      <c r="T52" s="83" t="n">
        <f aca="false">INDEX(in_mkt_eflute_disc,1,C52)</f>
        <v>0.15</v>
      </c>
      <c r="U52" s="82" t="n">
        <f aca="false">INDEX(in_sel_credit_days,1,C52)</f>
        <v>30</v>
      </c>
      <c r="V52" s="81" t="n">
        <f aca="false">1</f>
        <v>1</v>
      </c>
      <c r="W52" s="83" t="n">
        <f aca="false">INDEX(in_sel_commission,1,C52)</f>
        <v>0.03</v>
      </c>
      <c r="X52" s="82" t="n">
        <f aca="false">1</f>
        <v>1</v>
      </c>
      <c r="Y52" s="85" t="n">
        <f aca="false">INDEX(cfg_u_3464,D52,C52)*O52</f>
        <v>3350</v>
      </c>
      <c r="Z52" s="85" t="n">
        <f aca="false">INDEX(cfg_u_3463,D52,C52)*O52</f>
        <v>3350</v>
      </c>
      <c r="AA52" s="85" t="n">
        <f aca="false">INDEX(cfg_u_3460,D52,C52)*O52</f>
        <v>3300</v>
      </c>
      <c r="AB52" s="85" t="n">
        <f aca="false">Y52+Z52+AA52</f>
        <v>10000</v>
      </c>
      <c r="AC52" s="86" t="n">
        <f aca="false">Y52*INDEX(lg_vpu_3464,C52)</f>
        <v>2.2342155</v>
      </c>
      <c r="AD52" s="86" t="n">
        <f aca="false">Z52*INDEX(lg_vpu_3463,C52)</f>
        <v>2.733198</v>
      </c>
      <c r="AE52" s="86" t="n">
        <f aca="false">AA52*INDEX(lg_vpu_3460,C52)</f>
        <v>1.758834</v>
      </c>
      <c r="AF52" s="86" t="n">
        <f aca="false">AC52+AD52+AE52</f>
        <v>6.7262475</v>
      </c>
      <c r="AG52" s="85" t="n">
        <f aca="false">Y52*INDEX(lg_kpu_3464,C52)+Z52*INDEX(lg_kpu_3463,C52)+AA52*INDEX(lg_kpu_3460,C52)</f>
        <v>1644.25172</v>
      </c>
      <c r="AH52" s="87" t="n">
        <f aca="false">INDEX(in_sup_requote,1,C52)</f>
        <v>-0.05</v>
      </c>
      <c r="AI52" s="88" t="n">
        <f aca="false">Y52*q_price_3464*(1+AH52)*J52/I52</f>
        <v>487.575320512821</v>
      </c>
      <c r="AJ52" s="88" t="n">
        <f aca="false">Z52*q_price_3463*(1+AH52)*J52/I52</f>
        <v>460.471611721612</v>
      </c>
      <c r="AK52" s="88" t="n">
        <f aca="false">AA52*q_price_3460*(1+AH52)*J52/I52</f>
        <v>396.181318681319</v>
      </c>
      <c r="AL52" s="88" t="n">
        <f aca="false">AI52+AJ52+AK52</f>
        <v>1344.22825091575</v>
      </c>
      <c r="AM52" s="88" t="n">
        <f aca="false">IF(OR(K52=2,K52=3),AL52*INDEX(in_sup_vat_rate,1,C52),0)</f>
        <v>0</v>
      </c>
      <c r="AN52" s="88" t="n">
        <f aca="false">IF(K52=3,AM52,0)</f>
        <v>0</v>
      </c>
      <c r="AO52" s="88" t="n">
        <f aca="false">INDEX(in_sup_tooling_egp,1,C52)/I52</f>
        <v>0</v>
      </c>
      <c r="AP52" s="88" t="n">
        <f aca="false">IF(F52=4,INDEX(in_ori_lcl_truck,1,C52)*V52/I52+INDEX(in_ori_lcl_cfs_o,1,C52),G52*(IF(F52=1,INDEX(in_ori_truck_20,1,C52),INDEX(in_ori_truck_40,1,C52))*V52/I52+INDEX(in_ori_terminal,1,C52)+IF(F52=1,INDEX(in_ori_othc_20,1,C52),INDEX(in_ori_othc_40,1,C52))*(1-INDEX(in_ori_othc_in_freight,1,C52))+INDEX(in_ori_seal,1,C52)+INDEX(in_ori_inspection,1,C52)+INDEX(in_ori_dd_days,1,C52)*IF(F52=1,INDEX(in_ori_dd_20,1,C52),INDEX(in_ori_dd_40,1,C52))+INDEX(in_ori_loading_egp,1,C52)/I52))</f>
        <v>191.575091575092</v>
      </c>
      <c r="AQ52" s="88" t="n">
        <f aca="false">(INDEX(in_ori_clearance,1,C52)+INDEX(in_ori_coo,1,C52))/I52+INDEX(in_ori_bl_fee,1,C52)+INDEX(in_ori_fwd_fee,1,C52)+INDEX(in_ori_qc,1,C52)+INDEX(in_ori_wires,1,C52)*INDEX(in_ori_wire_fee,1,C52)</f>
        <v>298.260073260073</v>
      </c>
      <c r="AR52" s="88" t="n">
        <f aca="false">AP52+AQ52</f>
        <v>489.835164835165</v>
      </c>
      <c r="AS52" s="85" t="n">
        <f aca="false">INDEX(tbl_port_diff,H52,C52)</f>
        <v>0</v>
      </c>
      <c r="AT52" s="88" t="n">
        <f aca="false">IF(F52=4,MAX(AF52*INDEX(in_oce_lcl_factor,1,C52),AG52/1000,1)*INDEX(in_oce_lcl_rate,1,C52)*M52,G52*(INDEX(tbl_ocean_rate,MIN(F52,3),C52)+AS52)*M52)</f>
        <v>887.86467</v>
      </c>
      <c r="AU52" s="88" t="n">
        <f aca="false">AT52+INDEX(in_oce_ams,1,C52)</f>
        <v>917.86467</v>
      </c>
      <c r="AV52" s="88" t="n">
        <f aca="false">AI52*(1+IF(K52=3,INDEX(in_sup_vat_rate,1,C52),0))+AO52*Y52/AB52</f>
        <v>487.575320512821</v>
      </c>
      <c r="AW52" s="88" t="n">
        <f aca="false">AJ52*(1+IF(K52=3,INDEX(in_sup_vat_rate,1,C52),0))+AO52*Z52/AB52</f>
        <v>460.471611721612</v>
      </c>
      <c r="AX52" s="88" t="n">
        <f aca="false">AK52*(1+IF(K52=3,INDEX(in_sup_vat_rate,1,C52),0))+AO52*AA52/AB52</f>
        <v>396.181318681319</v>
      </c>
      <c r="AY52" s="88" t="n">
        <f aca="false">AV52+AW52+AX52</f>
        <v>1344.22825091575</v>
      </c>
      <c r="AZ52" s="88" t="n">
        <f aca="false">MAX(INDEX(in_oce_ins_min,1,C52),INDEX(in_oce_ins_rate,1,C52)*(1+INDEX(in_oce_ins_uplift,1,C52))*(AL52+AO52+AR52+AU52))*(1-INDEX(in_oce_ins_in_other,1,C52))</f>
        <v>50</v>
      </c>
      <c r="BA52" s="87" t="n">
        <f aca="false">INDEX(in_cus_mfn,1,C52)+L52</f>
        <v>0</v>
      </c>
      <c r="BB52" s="88" t="n">
        <f aca="false">AY52*BA52</f>
        <v>0</v>
      </c>
      <c r="BC52" s="88" t="n">
        <f aca="false">MIN(MAX(AY52*INDEX(in_cus_mpf_rate,1,C52),INDEX(in_cus_mpf_min,1,C52)),INDEX(in_cus_mpf_max,1,C52))</f>
        <v>34.58</v>
      </c>
      <c r="BD52" s="88" t="n">
        <f aca="false">AY52*INDEX(in_cus_hmf,1,C52)</f>
        <v>1.68028531364469</v>
      </c>
      <c r="BE52" s="88" t="n">
        <f aca="false">MAX(INDEX(in_cus_stb_min,1,C52),INDEX(in_cus_stb_rate,1,C52)/1000*(AY52+BB52+BC52+BD52))</f>
        <v>50</v>
      </c>
      <c r="BF52" s="88" t="n">
        <f aca="false">INDEX(in_cus_broker,1,C52)+INDEX(in_cus_isf,1,C52)+INDEX(in_cus_do_fee,1,C52)+BE52+INDEX(in_cus_isf_bond,1,C52)</f>
        <v>385</v>
      </c>
      <c r="BG52" s="88" t="n">
        <f aca="false">IF(H52=1,INDEX(in_cus_cfc,1,C52)*INDEX(ct_teu,F52)*G52*(1-INDEX(in_cus_cfc_in_freight,1,C52)),0)</f>
        <v>0</v>
      </c>
      <c r="BH52" s="88" t="n">
        <f aca="false">IF(F52=4,1,G52)*(INDEX(in_cus_exam,1,C52)+INDEX(in_cus_exam_dray,1,C52))</f>
        <v>0</v>
      </c>
      <c r="BI52" s="88" t="n">
        <f aca="false">IF(F52=4,1,G52)*INDEX(in_cus_dem_days,1,C52)*INDEX(in_cus_dem_rate,1,C52)</f>
        <v>0</v>
      </c>
      <c r="BJ52" s="88" t="n">
        <f aca="false">BG52+BH52+BI52</f>
        <v>0</v>
      </c>
      <c r="BK52" s="88" t="n">
        <f aca="false">IF(F52=4,(INDEX(in_dra_lcl_cfs_d,1,C52)+INDEX(in_dra_lcl_deliv,1,C52))*P52,G52*(INDEX(tbl_dest_line,E52,C52)*P52*(1+INDEX(in_dra_fsc,1,C52))+INDEX(tbl_dest_tolls,E52,C52)+INDEX(in_dra_chassis_days,1,C52)*INDEX(tbl_dest_chassis,E52,C52)*(1-INDEX(in_dra_chassis_in_dray,1,C52))+INDEX(in_dra_wait_hours,1,C52)*INDEX(in_dra_wait_rate,1,C52)+INDEX(in_dra_split,1,C52)+INDEX(in_dra_prepull,1,C52)+INDEX(in_dra_dryrun,1,C52)))</f>
        <v>500</v>
      </c>
      <c r="BL52" s="88" t="n">
        <f aca="false">IF(F52=4,0,G52*IF(F52=1,INDEX(in_dra_unload_20,1,C52),INDEX(in_dra_unload_40,1,C52))*Q52*(1-INDEX(in_dra_unload_in_dray,1,C52)))</f>
        <v>0</v>
      </c>
      <c r="BM52" s="88" t="n">
        <f aca="false">AL52+AN52+AO52+AR52+AU52+AZ52+BB52+BC52+BD52+BF52+BJ52+BK52+BL52</f>
        <v>3723.18837106456</v>
      </c>
      <c r="BN52" s="88" t="n">
        <f aca="false">AP52+AU52+BJ52+BK52+BL52</f>
        <v>1609.43976157509</v>
      </c>
      <c r="BO52" s="88" t="n">
        <f aca="false">AQ52+BF52</f>
        <v>683.260073260073</v>
      </c>
      <c r="BP52" s="88" t="n">
        <f aca="false">AI52*(1+IF(K52=3,INDEX(in_sup_vat_rate,1,C52),0))+AO52*Y52/AB52+AV52*BA52+(BC52+BD52)*AV52/AY52+AZ52*AI52/AL52+BN52*AC52/AF52+BO52*Y52/AB52</f>
        <v>1282.35309790774</v>
      </c>
      <c r="BQ52" s="88" t="n">
        <f aca="false">AJ52*(1+IF(K52=3,INDEX(in_sup_vat_rate,1,C52),0))+AO52*Z52/AB52+AW52*BA52+(BC52+BD52)*AW52/AY52+AZ52*AJ52/AL52+BN52*AD52/AF52+BO52*Z52/AB52</f>
        <v>1372.90541150228</v>
      </c>
      <c r="BR52" s="88" t="n">
        <f aca="false">AK52*(1+IF(K52=3,INDEX(in_sup_vat_rate,1,C52),0))+AO52*AA52/AB52+AX52*BA52+(BC52+BD52)*AX52/AY52+AZ52*AK52/AL52+BN52*AE52/AF52+BO52*AA52/AB52</f>
        <v>1067.92986165454</v>
      </c>
      <c r="BS52" s="89" t="n">
        <f aca="false">BP52+BQ52+BR52-BM52</f>
        <v>0</v>
      </c>
      <c r="BT52" s="85" t="n">
        <f aca="false">Y52*(1-R52)</f>
        <v>3333.25</v>
      </c>
      <c r="BU52" s="85" t="n">
        <f aca="false">Z52*(1-R52)</f>
        <v>3333.25</v>
      </c>
      <c r="BV52" s="85" t="n">
        <f aca="false">AA52*(1-R52)</f>
        <v>3283.5</v>
      </c>
      <c r="BW52" s="85" t="n">
        <f aca="false">BT52+BU52+BV52</f>
        <v>9950</v>
      </c>
      <c r="BX52" s="90" t="n">
        <f aca="false">IF(BT52&gt;0,BP52/BT52,0)</f>
        <v>0.384715547261002</v>
      </c>
      <c r="BY52" s="90" t="n">
        <f aca="false">IF(BU52&gt;0,BQ52/BU52,0)</f>
        <v>0.411881920498698</v>
      </c>
      <c r="BZ52" s="90" t="n">
        <f aca="false">IF(BV52&gt;0,BR52/BV52,0)</f>
        <v>0.325241316173151</v>
      </c>
      <c r="CA52" s="90" t="n">
        <f aca="false">INDEX(in_mkt_listing_3464,1,C52)*(1-IF(sku_flute_3464="B",T52,0))*(1-S52)*N52</f>
        <v>0.2856</v>
      </c>
      <c r="CB52" s="90" t="n">
        <f aca="false">INDEX(in_mkt_listing_3463,1,C52)*(1-IF(sku_flute_3463="B",T52,0))*(1-S52)*N52</f>
        <v>0.3128</v>
      </c>
      <c r="CC52" s="90" t="n">
        <f aca="false">INDEX(in_mkt_listing_3460,1,C52)*(1-IF(sku_flute_3460="B",T52,0))*(1-S52)*N52</f>
        <v>0.256</v>
      </c>
      <c r="CD52" s="88" t="n">
        <f aca="false">BT52*CA52+BU52*CB52+BV52*CC52</f>
        <v>2835.1928</v>
      </c>
      <c r="CE52" s="88" t="n">
        <f aca="false">CD52-BM52</f>
        <v>-887.99557106456</v>
      </c>
      <c r="CF52" s="87" t="n">
        <f aca="false">IF(CD52&gt;0,CE52/CD52,0)</f>
        <v>-0.313204650866975</v>
      </c>
      <c r="CG52" s="87" t="n">
        <f aca="false">W52+INDEX(in_sel_processing,1,C52)+INDEX(in_sel_bad_debt,1,C52)</f>
        <v>0.0325</v>
      </c>
      <c r="CH52" s="88" t="n">
        <f aca="false">CD52*CG52</f>
        <v>92.143766</v>
      </c>
      <c r="CI52" s="88" t="n">
        <f aca="false">INDEX(in_sel_testing,1,C52)*X52+INDEX(in_sel_admin,1,C52)</f>
        <v>1250</v>
      </c>
      <c r="CJ52" s="79" t="n">
        <f aca="false">INDEX(in_sup_lead_days,1,C52)</f>
        <v>14</v>
      </c>
      <c r="CK52" s="79" t="n">
        <f aca="false">CJ52+INDEX(in_oce_transit,1,C52)+IF(F52=4,INDEX(in_oce_lcl_extra_days,1,C52),0)</f>
        <v>44</v>
      </c>
      <c r="CL52" s="79" t="n">
        <f aca="false">CK52+2+INDEX(in_cus_dem_days,1,C52)</f>
        <v>46</v>
      </c>
      <c r="CM52" s="79" t="n">
        <f aca="false">CL52+U52</f>
        <v>76</v>
      </c>
      <c r="CN52" s="79" t="n">
        <f aca="false">CJ52+INDEX(in_sup_vat_lag,1,C52)</f>
        <v>44</v>
      </c>
      <c r="CO52" s="91" t="n">
        <f aca="false">INDEX(in_sup_advance,1,C52)</f>
        <v>0.5</v>
      </c>
      <c r="CP52" s="88" t="n">
        <f aca="false">CO52*(AL52+AM52)+AO52+INDEX(in_sel_testing,1,C52)*X52</f>
        <v>1672.11412545788</v>
      </c>
      <c r="CQ52" s="88" t="n">
        <f aca="false">(1-CO52)*(AL52+AM52)+AR52+AU52+AZ52</f>
        <v>2129.81396029304</v>
      </c>
      <c r="CR52" s="88" t="n">
        <f aca="false">BB52+BC52+BD52+BF52+BJ52</f>
        <v>421.260285313645</v>
      </c>
      <c r="CS52" s="88" t="n">
        <f aca="false">BK52+BL52</f>
        <v>500</v>
      </c>
      <c r="CT52" s="88" t="n">
        <f aca="false">IF(K52=2,AM52,0)</f>
        <v>0</v>
      </c>
      <c r="CU52" s="85" t="n">
        <f aca="false">IF(K52=2,CO52*AM52*(CN52-0)+(1-CO52)*AM52*(CN52-CJ52),0)</f>
        <v>0</v>
      </c>
      <c r="CV52" s="85" t="n">
        <f aca="false">(CP52-CO52*CT52)*(CM52-0)+(CQ52-(1-CO52)*CT52)*(CM52-CJ52)+CR52*(CM52-CK52)+CS52*(CM52-CL52)</f>
        <v>287609.468203004</v>
      </c>
      <c r="CW52" s="88" t="n">
        <f aca="false">INDEX(in_sel_fin_rate,1,C52)/365*(CU52+CV52)</f>
        <v>63.0376916609323</v>
      </c>
      <c r="CX52" s="85" t="n">
        <f aca="false">CP52-IF(CN52&lt;=0,CT52,0)</f>
        <v>1672.11412545788</v>
      </c>
      <c r="CY52" s="85" t="n">
        <f aca="false">CP52+CQ52-IF(CN52&lt;=CJ52,CT52,0)</f>
        <v>3801.92808575092</v>
      </c>
      <c r="CZ52" s="85" t="n">
        <f aca="false">CP52+CQ52+CR52-IF(CN52&lt;=CK52,CT52,0)</f>
        <v>4223.18837106456</v>
      </c>
      <c r="DA52" s="85" t="n">
        <f aca="false">CP52+CQ52+CR52+CS52-IF(CN52&lt;=CL52,CT52,0)</f>
        <v>4723.18837106456</v>
      </c>
      <c r="DB52" s="88" t="n">
        <f aca="false">MAX(CX52,CY52,CZ52,DA52)</f>
        <v>4723.18837106456</v>
      </c>
      <c r="DC52" s="88" t="n">
        <f aca="false">CP52+CQ52+CR52+CS52</f>
        <v>4723.18837106456</v>
      </c>
      <c r="DD52" s="88" t="n">
        <f aca="false">CE52-CH52-CI52-CW52</f>
        <v>-2293.17702872549</v>
      </c>
      <c r="DE52" s="87" t="n">
        <f aca="false">IF(CD52&gt;0,DD52/CD52,0)</f>
        <v>-0.808825780287497</v>
      </c>
      <c r="DF52" s="86" t="n">
        <f aca="false">IF(CD52&gt;0,(BM52+CI52+CW52)/(CD52*(1-CG52)),0)</f>
        <v>1.83599563854005</v>
      </c>
      <c r="DG52" s="90" t="n">
        <f aca="false">IF(BW52&gt;0,BM52/BW52,0)</f>
        <v>0.374189786036639</v>
      </c>
      <c r="DH52" s="90" t="n">
        <f aca="false">IF(BW52&gt;0,CD52/BW52,0)</f>
        <v>0.284944</v>
      </c>
      <c r="DI52" s="90" t="n">
        <f aca="false">IF(AI52&gt;0,(AI52*IF(K52=3,INDEX(in_sup_vat_rate,1,C52),0)+AV52*BA52+(BC52+BD52)*AV52/AY52+AZ52*AI52/AL52)/AI52,0)</f>
        <v>0.0641708617973772</v>
      </c>
      <c r="DJ52" s="90" t="n">
        <f aca="false">IF(AJ52&gt;0,(AJ52*IF(K52=3,INDEX(in_sup_vat_rate,1,C52),0)+AW52*BA52+(BC52+BD52)*AW52/AY52+AZ52*AJ52/AL52)/AJ52,0)</f>
        <v>0.0641708617973772</v>
      </c>
      <c r="DK52" s="90" t="n">
        <f aca="false">IF(AK52&gt;0,(AK52*IF(K52=3,INDEX(in_sup_vat_rate,1,C52),0)+AX52*BA52+(BC52+BD52)*AX52/AY52+AZ52*AK52/AL52)/AK52,0)</f>
        <v>0.0641708617973772</v>
      </c>
      <c r="DL52" s="90" t="n">
        <f aca="false">IF(Y52&gt;0,(BP52-AI52*(1+DI52))/Y52,0)</f>
        <v>0.22790735787656</v>
      </c>
      <c r="DM52" s="90" t="n">
        <f aca="false">IF(Z52&gt;0,(BQ52-AJ52*(1+DJ52))/Z52,0)</f>
        <v>0.263547743171125</v>
      </c>
      <c r="DN52" s="90" t="n">
        <f aca="false">IF(AA52&gt;0,(BR52-AK52*(1+DK52))/AA52,0)</f>
        <v>0.195856135250127</v>
      </c>
      <c r="DO52" s="86" t="n">
        <f aca="false">IF(Y52&gt;0,(CA52*(1-thr_gm_go)*(1-R52)-DL52)/(1+DI52)*I52/((1+AH52)*J52),"")</f>
        <v>-0.798148778771255</v>
      </c>
      <c r="DP52" s="86" t="n">
        <f aca="false">IF(Z52&gt;0,(CB52*(1-thr_gm_go)*(1-R52)-DM52)/(1+DJ52)*I52/((1+AH52)*J52),"")</f>
        <v>-1.62675952081579</v>
      </c>
      <c r="DQ52" s="86" t="n">
        <f aca="false">IF(AA52&gt;0,(CC52*(1-thr_gm_go)*(1-R52)-DN52)/(1+DK52)*I52/((1+AH52)*J52),"")</f>
        <v>-0.260109580536235</v>
      </c>
      <c r="DR52" s="92" t="n">
        <f aca="false">IF(AND(AY52*INDEX(in_cus_mpf_rate,1,C52)&gt;INDEX(in_cus_mpf_min,1,C52),AY52*INDEX(in_cus_mpf_rate,1,C52)&lt;INDEX(in_cus_mpf_max,1,C52)),INDEX(in_cus_mpf_rate,1,C52),0)</f>
        <v>0</v>
      </c>
      <c r="DS52" s="88" t="n">
        <f aca="false">IF(AZ52&gt;INDEX(in_oce_ins_min,1,C52),INDEX(in_oce_ins_rate,1,C52)*(1+INDEX(in_oce_ins_uplift,1,C52))*AL52,0)</f>
        <v>0</v>
      </c>
      <c r="DT52" s="88" t="n">
        <f aca="false">(AL52+AN52)*(1+BA52+INDEX(in_cus_hmf,1,C52)+DR52)+DS52</f>
        <v>1345.9085362294</v>
      </c>
      <c r="DU52" s="86" t="n">
        <f aca="false">IF(DT52&gt;0,(CD52*(1-thr_gm_go)-(BM52-DT52))/DT52,0)</f>
        <v>-0.186405857516906</v>
      </c>
      <c r="DV52" s="86" t="n">
        <f aca="false">IF(DT52&gt;0,(CD52-(BM52-DT52))/DT52,0)</f>
        <v>0.340225916426456</v>
      </c>
      <c r="DW52" s="87" t="n">
        <f aca="false">(1+AH52)*J52*DU52-1</f>
        <v>-1.17708556464106</v>
      </c>
      <c r="DX52" s="87" t="n">
        <f aca="false">(1+AH52)*J52*DV52-1</f>
        <v>-0.676785379394867</v>
      </c>
      <c r="DY52" s="85" t="str">
        <f aca="false">IF(G52&gt;0,(CD52*(1-thr_gm_go)-(BM52-AT52))/G52,"")</f>
        <v/>
      </c>
      <c r="DZ52" s="90" t="n">
        <f aca="false">IF(AB52&gt;0,(AL52+AN52+BB52+BC52+BD52)/AB52,0)</f>
        <v>0.13804885362294</v>
      </c>
      <c r="EA52" s="88" t="n">
        <f aca="false">BM52-DZ52*AB52</f>
        <v>2342.69983483517</v>
      </c>
      <c r="EB52" s="90" t="n">
        <f aca="false">IF(AB52&gt;0,CD52/AB52,0)</f>
        <v>0.28351928</v>
      </c>
      <c r="EC52" s="85" t="n">
        <f aca="false">IF(EB52*(1-thr_gm_go)-DZ52&gt;0,EA52/(EB52*(1-thr_gm_go)-DZ52),"n/a")</f>
        <v>31407.4378614468</v>
      </c>
      <c r="ED52" s="85" t="n">
        <f aca="false">IF(EB52-DZ52&gt;0,EA52/(EB52-DZ52),"n/a")</f>
        <v>16104.3030750654</v>
      </c>
      <c r="EE52" s="93" t="b">
        <f aca="false">INDEX(cfg_fits,D52,C52)</f>
        <v>1</v>
      </c>
      <c r="EF52" s="87" t="str">
        <f aca="false">IF(F52=4,"",INDEX(cfg_lenutil,D52,C52))</f>
        <v/>
      </c>
      <c r="EG52" s="31" t="str">
        <f aca="false">IF(O52&gt;1,"Check fit (units scaled up)","")</f>
        <v/>
      </c>
    </row>
    <row r="53" customFormat="false" ht="15" hidden="false" customHeight="false" outlineLevel="0" collapsed="false">
      <c r="A53" s="78" t="n">
        <v>1104</v>
      </c>
      <c r="B53" s="9" t="s">
        <v>3201</v>
      </c>
      <c r="C53" s="78" t="n">
        <v>1</v>
      </c>
      <c r="D53" s="78" t="n">
        <v>10</v>
      </c>
      <c r="E53" s="78" t="n">
        <v>4</v>
      </c>
      <c r="F53" s="79" t="n">
        <f aca="false">INDEX(cfg_ct,D53)</f>
        <v>4</v>
      </c>
      <c r="G53" s="79" t="n">
        <f aca="false">INDEX(cfg_n,D53)</f>
        <v>0</v>
      </c>
      <c r="H53" s="79" t="n">
        <f aca="false">INDEX(dest_port,E53)</f>
        <v>3</v>
      </c>
      <c r="I53" s="80" t="n">
        <f aca="false">INDEX(in_fx_cbe,1,C53)*(1-INDEX(in_fx_spread,1,C53))</f>
        <v>54.6</v>
      </c>
      <c r="J53" s="81" t="n">
        <f aca="false">1</f>
        <v>1</v>
      </c>
      <c r="K53" s="82" t="n">
        <f aca="false">INDEX(in_sup_vat_mode,1,C53)</f>
        <v>1</v>
      </c>
      <c r="L53" s="83" t="n">
        <f aca="false">INDEX(in_cus_s301,1,C53)</f>
        <v>0</v>
      </c>
      <c r="M53" s="84" t="n">
        <f aca="false">1</f>
        <v>1</v>
      </c>
      <c r="N53" s="81" t="n">
        <f aca="false">1</f>
        <v>1</v>
      </c>
      <c r="O53" s="81" t="n">
        <f aca="false">1</f>
        <v>1</v>
      </c>
      <c r="P53" s="81" t="n">
        <f aca="false">1</f>
        <v>1</v>
      </c>
      <c r="Q53" s="81" t="n">
        <f aca="false">1</f>
        <v>1</v>
      </c>
      <c r="R53" s="83" t="n">
        <f aca="false">INDEX(in_sel_damage,1,C53)</f>
        <v>0.005</v>
      </c>
      <c r="S53" s="83" t="n">
        <f aca="false">INDEX(in_mkt_dist_margin,1,C53)</f>
        <v>0.2</v>
      </c>
      <c r="T53" s="83" t="n">
        <f aca="false">INDEX(in_mkt_eflute_disc,1,C53)</f>
        <v>0.15</v>
      </c>
      <c r="U53" s="82" t="n">
        <f aca="false">INDEX(in_sel_credit_days,1,C53)</f>
        <v>30</v>
      </c>
      <c r="V53" s="81" t="n">
        <f aca="false">1</f>
        <v>1</v>
      </c>
      <c r="W53" s="83" t="n">
        <f aca="false">INDEX(in_sel_commission,1,C53)</f>
        <v>0.03</v>
      </c>
      <c r="X53" s="82" t="n">
        <f aca="false">1</f>
        <v>1</v>
      </c>
      <c r="Y53" s="85" t="n">
        <f aca="false">INDEX(cfg_u_3464,D53,C53)*O53</f>
        <v>3350</v>
      </c>
      <c r="Z53" s="85" t="n">
        <f aca="false">INDEX(cfg_u_3463,D53,C53)*O53</f>
        <v>3350</v>
      </c>
      <c r="AA53" s="85" t="n">
        <f aca="false">INDEX(cfg_u_3460,D53,C53)*O53</f>
        <v>3300</v>
      </c>
      <c r="AB53" s="85" t="n">
        <f aca="false">Y53+Z53+AA53</f>
        <v>10000</v>
      </c>
      <c r="AC53" s="86" t="n">
        <f aca="false">Y53*INDEX(lg_vpu_3464,C53)</f>
        <v>2.2342155</v>
      </c>
      <c r="AD53" s="86" t="n">
        <f aca="false">Z53*INDEX(lg_vpu_3463,C53)</f>
        <v>2.733198</v>
      </c>
      <c r="AE53" s="86" t="n">
        <f aca="false">AA53*INDEX(lg_vpu_3460,C53)</f>
        <v>1.758834</v>
      </c>
      <c r="AF53" s="86" t="n">
        <f aca="false">AC53+AD53+AE53</f>
        <v>6.7262475</v>
      </c>
      <c r="AG53" s="85" t="n">
        <f aca="false">Y53*INDEX(lg_kpu_3464,C53)+Z53*INDEX(lg_kpu_3463,C53)+AA53*INDEX(lg_kpu_3460,C53)</f>
        <v>1644.25172</v>
      </c>
      <c r="AH53" s="87" t="n">
        <f aca="false">INDEX(in_sup_requote,1,C53)</f>
        <v>-0.05</v>
      </c>
      <c r="AI53" s="88" t="n">
        <f aca="false">Y53*q_price_3464*(1+AH53)*J53/I53</f>
        <v>487.575320512821</v>
      </c>
      <c r="AJ53" s="88" t="n">
        <f aca="false">Z53*q_price_3463*(1+AH53)*J53/I53</f>
        <v>460.471611721612</v>
      </c>
      <c r="AK53" s="88" t="n">
        <f aca="false">AA53*q_price_3460*(1+AH53)*J53/I53</f>
        <v>396.181318681319</v>
      </c>
      <c r="AL53" s="88" t="n">
        <f aca="false">AI53+AJ53+AK53</f>
        <v>1344.22825091575</v>
      </c>
      <c r="AM53" s="88" t="n">
        <f aca="false">IF(OR(K53=2,K53=3),AL53*INDEX(in_sup_vat_rate,1,C53),0)</f>
        <v>0</v>
      </c>
      <c r="AN53" s="88" t="n">
        <f aca="false">IF(K53=3,AM53,0)</f>
        <v>0</v>
      </c>
      <c r="AO53" s="88" t="n">
        <f aca="false">INDEX(in_sup_tooling_egp,1,C53)/I53</f>
        <v>0</v>
      </c>
      <c r="AP53" s="88" t="n">
        <f aca="false">IF(F53=4,INDEX(in_ori_lcl_truck,1,C53)*V53/I53+INDEX(in_ori_lcl_cfs_o,1,C53),G53*(IF(F53=1,INDEX(in_ori_truck_20,1,C53),INDEX(in_ori_truck_40,1,C53))*V53/I53+INDEX(in_ori_terminal,1,C53)+IF(F53=1,INDEX(in_ori_othc_20,1,C53),INDEX(in_ori_othc_40,1,C53))*(1-INDEX(in_ori_othc_in_freight,1,C53))+INDEX(in_ori_seal,1,C53)+INDEX(in_ori_inspection,1,C53)+INDEX(in_ori_dd_days,1,C53)*IF(F53=1,INDEX(in_ori_dd_20,1,C53),INDEX(in_ori_dd_40,1,C53))+INDEX(in_ori_loading_egp,1,C53)/I53))</f>
        <v>191.575091575092</v>
      </c>
      <c r="AQ53" s="88" t="n">
        <f aca="false">(INDEX(in_ori_clearance,1,C53)+INDEX(in_ori_coo,1,C53))/I53+INDEX(in_ori_bl_fee,1,C53)+INDEX(in_ori_fwd_fee,1,C53)+INDEX(in_ori_qc,1,C53)+INDEX(in_ori_wires,1,C53)*INDEX(in_ori_wire_fee,1,C53)</f>
        <v>298.260073260073</v>
      </c>
      <c r="AR53" s="88" t="n">
        <f aca="false">AP53+AQ53</f>
        <v>489.835164835165</v>
      </c>
      <c r="AS53" s="85" t="n">
        <f aca="false">INDEX(tbl_port_diff,H53,C53)</f>
        <v>0</v>
      </c>
      <c r="AT53" s="88" t="n">
        <f aca="false">IF(F53=4,MAX(AF53*INDEX(in_oce_lcl_factor,1,C53),AG53/1000,1)*INDEX(in_oce_lcl_rate,1,C53)*M53,G53*(INDEX(tbl_ocean_rate,MIN(F53,3),C53)+AS53)*M53)</f>
        <v>887.86467</v>
      </c>
      <c r="AU53" s="88" t="n">
        <f aca="false">AT53+INDEX(in_oce_ams,1,C53)</f>
        <v>917.86467</v>
      </c>
      <c r="AV53" s="88" t="n">
        <f aca="false">AI53*(1+IF(K53=3,INDEX(in_sup_vat_rate,1,C53),0))+AO53*Y53/AB53</f>
        <v>487.575320512821</v>
      </c>
      <c r="AW53" s="88" t="n">
        <f aca="false">AJ53*(1+IF(K53=3,INDEX(in_sup_vat_rate,1,C53),0))+AO53*Z53/AB53</f>
        <v>460.471611721612</v>
      </c>
      <c r="AX53" s="88" t="n">
        <f aca="false">AK53*(1+IF(K53=3,INDEX(in_sup_vat_rate,1,C53),0))+AO53*AA53/AB53</f>
        <v>396.181318681319</v>
      </c>
      <c r="AY53" s="88" t="n">
        <f aca="false">AV53+AW53+AX53</f>
        <v>1344.22825091575</v>
      </c>
      <c r="AZ53" s="88" t="n">
        <f aca="false">MAX(INDEX(in_oce_ins_min,1,C53),INDEX(in_oce_ins_rate,1,C53)*(1+INDEX(in_oce_ins_uplift,1,C53))*(AL53+AO53+AR53+AU53))*(1-INDEX(in_oce_ins_in_other,1,C53))</f>
        <v>50</v>
      </c>
      <c r="BA53" s="87" t="n">
        <f aca="false">INDEX(in_cus_mfn,1,C53)+L53</f>
        <v>0</v>
      </c>
      <c r="BB53" s="88" t="n">
        <f aca="false">AY53*BA53</f>
        <v>0</v>
      </c>
      <c r="BC53" s="88" t="n">
        <f aca="false">MIN(MAX(AY53*INDEX(in_cus_mpf_rate,1,C53),INDEX(in_cus_mpf_min,1,C53)),INDEX(in_cus_mpf_max,1,C53))</f>
        <v>34.58</v>
      </c>
      <c r="BD53" s="88" t="n">
        <f aca="false">AY53*INDEX(in_cus_hmf,1,C53)</f>
        <v>1.68028531364469</v>
      </c>
      <c r="BE53" s="88" t="n">
        <f aca="false">MAX(INDEX(in_cus_stb_min,1,C53),INDEX(in_cus_stb_rate,1,C53)/1000*(AY53+BB53+BC53+BD53))</f>
        <v>50</v>
      </c>
      <c r="BF53" s="88" t="n">
        <f aca="false">INDEX(in_cus_broker,1,C53)+INDEX(in_cus_isf,1,C53)+INDEX(in_cus_do_fee,1,C53)+BE53+INDEX(in_cus_isf_bond,1,C53)</f>
        <v>385</v>
      </c>
      <c r="BG53" s="88" t="n">
        <f aca="false">IF(H53=1,INDEX(in_cus_cfc,1,C53)*INDEX(ct_teu,F53)*G53*(1-INDEX(in_cus_cfc_in_freight,1,C53)),0)</f>
        <v>0</v>
      </c>
      <c r="BH53" s="88" t="n">
        <f aca="false">IF(F53=4,1,G53)*(INDEX(in_cus_exam,1,C53)+INDEX(in_cus_exam_dray,1,C53))</f>
        <v>0</v>
      </c>
      <c r="BI53" s="88" t="n">
        <f aca="false">IF(F53=4,1,G53)*INDEX(in_cus_dem_days,1,C53)*INDEX(in_cus_dem_rate,1,C53)</f>
        <v>0</v>
      </c>
      <c r="BJ53" s="88" t="n">
        <f aca="false">BG53+BH53+BI53</f>
        <v>0</v>
      </c>
      <c r="BK53" s="88" t="n">
        <f aca="false">IF(F53=4,(INDEX(in_dra_lcl_cfs_d,1,C53)+INDEX(in_dra_lcl_deliv,1,C53))*P53,G53*(INDEX(tbl_dest_line,E53,C53)*P53*(1+INDEX(in_dra_fsc,1,C53))+INDEX(tbl_dest_tolls,E53,C53)+INDEX(in_dra_chassis_days,1,C53)*INDEX(tbl_dest_chassis,E53,C53)*(1-INDEX(in_dra_chassis_in_dray,1,C53))+INDEX(in_dra_wait_hours,1,C53)*INDEX(in_dra_wait_rate,1,C53)+INDEX(in_dra_split,1,C53)+INDEX(in_dra_prepull,1,C53)+INDEX(in_dra_dryrun,1,C53)))</f>
        <v>500</v>
      </c>
      <c r="BL53" s="88" t="n">
        <f aca="false">IF(F53=4,0,G53*IF(F53=1,INDEX(in_dra_unload_20,1,C53),INDEX(in_dra_unload_40,1,C53))*Q53*(1-INDEX(in_dra_unload_in_dray,1,C53)))</f>
        <v>0</v>
      </c>
      <c r="BM53" s="88" t="n">
        <f aca="false">AL53+AN53+AO53+AR53+AU53+AZ53+BB53+BC53+BD53+BF53+BJ53+BK53+BL53</f>
        <v>3723.18837106456</v>
      </c>
      <c r="BN53" s="88" t="n">
        <f aca="false">AP53+AU53+BJ53+BK53+BL53</f>
        <v>1609.43976157509</v>
      </c>
      <c r="BO53" s="88" t="n">
        <f aca="false">AQ53+BF53</f>
        <v>683.260073260073</v>
      </c>
      <c r="BP53" s="88" t="n">
        <f aca="false">AI53*(1+IF(K53=3,INDEX(in_sup_vat_rate,1,C53),0))+AO53*Y53/AB53+AV53*BA53+(BC53+BD53)*AV53/AY53+AZ53*AI53/AL53+BN53*AC53/AF53+BO53*Y53/AB53</f>
        <v>1282.35309790774</v>
      </c>
      <c r="BQ53" s="88" t="n">
        <f aca="false">AJ53*(1+IF(K53=3,INDEX(in_sup_vat_rate,1,C53),0))+AO53*Z53/AB53+AW53*BA53+(BC53+BD53)*AW53/AY53+AZ53*AJ53/AL53+BN53*AD53/AF53+BO53*Z53/AB53</f>
        <v>1372.90541150228</v>
      </c>
      <c r="BR53" s="88" t="n">
        <f aca="false">AK53*(1+IF(K53=3,INDEX(in_sup_vat_rate,1,C53),0))+AO53*AA53/AB53+AX53*BA53+(BC53+BD53)*AX53/AY53+AZ53*AK53/AL53+BN53*AE53/AF53+BO53*AA53/AB53</f>
        <v>1067.92986165454</v>
      </c>
      <c r="BS53" s="89" t="n">
        <f aca="false">BP53+BQ53+BR53-BM53</f>
        <v>0</v>
      </c>
      <c r="BT53" s="85" t="n">
        <f aca="false">Y53*(1-R53)</f>
        <v>3333.25</v>
      </c>
      <c r="BU53" s="85" t="n">
        <f aca="false">Z53*(1-R53)</f>
        <v>3333.25</v>
      </c>
      <c r="BV53" s="85" t="n">
        <f aca="false">AA53*(1-R53)</f>
        <v>3283.5</v>
      </c>
      <c r="BW53" s="85" t="n">
        <f aca="false">BT53+BU53+BV53</f>
        <v>9950</v>
      </c>
      <c r="BX53" s="90" t="n">
        <f aca="false">IF(BT53&gt;0,BP53/BT53,0)</f>
        <v>0.384715547261002</v>
      </c>
      <c r="BY53" s="90" t="n">
        <f aca="false">IF(BU53&gt;0,BQ53/BU53,0)</f>
        <v>0.411881920498698</v>
      </c>
      <c r="BZ53" s="90" t="n">
        <f aca="false">IF(BV53&gt;0,BR53/BV53,0)</f>
        <v>0.325241316173151</v>
      </c>
      <c r="CA53" s="90" t="n">
        <f aca="false">INDEX(in_mkt_listing_3464,1,C53)*(1-IF(sku_flute_3464="B",T53,0))*(1-S53)*N53</f>
        <v>0.2856</v>
      </c>
      <c r="CB53" s="90" t="n">
        <f aca="false">INDEX(in_mkt_listing_3463,1,C53)*(1-IF(sku_flute_3463="B",T53,0))*(1-S53)*N53</f>
        <v>0.3128</v>
      </c>
      <c r="CC53" s="90" t="n">
        <f aca="false">INDEX(in_mkt_listing_3460,1,C53)*(1-IF(sku_flute_3460="B",T53,0))*(1-S53)*N53</f>
        <v>0.256</v>
      </c>
      <c r="CD53" s="88" t="n">
        <f aca="false">BT53*CA53+BU53*CB53+BV53*CC53</f>
        <v>2835.1928</v>
      </c>
      <c r="CE53" s="88" t="n">
        <f aca="false">CD53-BM53</f>
        <v>-887.99557106456</v>
      </c>
      <c r="CF53" s="87" t="n">
        <f aca="false">IF(CD53&gt;0,CE53/CD53,0)</f>
        <v>-0.313204650866975</v>
      </c>
      <c r="CG53" s="87" t="n">
        <f aca="false">W53+INDEX(in_sel_processing,1,C53)+INDEX(in_sel_bad_debt,1,C53)</f>
        <v>0.0325</v>
      </c>
      <c r="CH53" s="88" t="n">
        <f aca="false">CD53*CG53</f>
        <v>92.143766</v>
      </c>
      <c r="CI53" s="88" t="n">
        <f aca="false">INDEX(in_sel_testing,1,C53)*X53+INDEX(in_sel_admin,1,C53)</f>
        <v>1250</v>
      </c>
      <c r="CJ53" s="79" t="n">
        <f aca="false">INDEX(in_sup_lead_days,1,C53)</f>
        <v>14</v>
      </c>
      <c r="CK53" s="79" t="n">
        <f aca="false">CJ53+INDEX(in_oce_transit,1,C53)+IF(F53=4,INDEX(in_oce_lcl_extra_days,1,C53),0)</f>
        <v>44</v>
      </c>
      <c r="CL53" s="79" t="n">
        <f aca="false">CK53+2+INDEX(in_cus_dem_days,1,C53)</f>
        <v>46</v>
      </c>
      <c r="CM53" s="79" t="n">
        <f aca="false">CL53+U53</f>
        <v>76</v>
      </c>
      <c r="CN53" s="79" t="n">
        <f aca="false">CJ53+INDEX(in_sup_vat_lag,1,C53)</f>
        <v>44</v>
      </c>
      <c r="CO53" s="91" t="n">
        <f aca="false">INDEX(in_sup_advance,1,C53)</f>
        <v>0.5</v>
      </c>
      <c r="CP53" s="88" t="n">
        <f aca="false">CO53*(AL53+AM53)+AO53+INDEX(in_sel_testing,1,C53)*X53</f>
        <v>1672.11412545788</v>
      </c>
      <c r="CQ53" s="88" t="n">
        <f aca="false">(1-CO53)*(AL53+AM53)+AR53+AU53+AZ53</f>
        <v>2129.81396029304</v>
      </c>
      <c r="CR53" s="88" t="n">
        <f aca="false">BB53+BC53+BD53+BF53+BJ53</f>
        <v>421.260285313645</v>
      </c>
      <c r="CS53" s="88" t="n">
        <f aca="false">BK53+BL53</f>
        <v>500</v>
      </c>
      <c r="CT53" s="88" t="n">
        <f aca="false">IF(K53=2,AM53,0)</f>
        <v>0</v>
      </c>
      <c r="CU53" s="85" t="n">
        <f aca="false">IF(K53=2,CO53*AM53*(CN53-0)+(1-CO53)*AM53*(CN53-CJ53),0)</f>
        <v>0</v>
      </c>
      <c r="CV53" s="85" t="n">
        <f aca="false">(CP53-CO53*CT53)*(CM53-0)+(CQ53-(1-CO53)*CT53)*(CM53-CJ53)+CR53*(CM53-CK53)+CS53*(CM53-CL53)</f>
        <v>287609.468203004</v>
      </c>
      <c r="CW53" s="88" t="n">
        <f aca="false">INDEX(in_sel_fin_rate,1,C53)/365*(CU53+CV53)</f>
        <v>63.0376916609323</v>
      </c>
      <c r="CX53" s="85" t="n">
        <f aca="false">CP53-IF(CN53&lt;=0,CT53,0)</f>
        <v>1672.11412545788</v>
      </c>
      <c r="CY53" s="85" t="n">
        <f aca="false">CP53+CQ53-IF(CN53&lt;=CJ53,CT53,0)</f>
        <v>3801.92808575092</v>
      </c>
      <c r="CZ53" s="85" t="n">
        <f aca="false">CP53+CQ53+CR53-IF(CN53&lt;=CK53,CT53,0)</f>
        <v>4223.18837106456</v>
      </c>
      <c r="DA53" s="85" t="n">
        <f aca="false">CP53+CQ53+CR53+CS53-IF(CN53&lt;=CL53,CT53,0)</f>
        <v>4723.18837106456</v>
      </c>
      <c r="DB53" s="88" t="n">
        <f aca="false">MAX(CX53,CY53,CZ53,DA53)</f>
        <v>4723.18837106456</v>
      </c>
      <c r="DC53" s="88" t="n">
        <f aca="false">CP53+CQ53+CR53+CS53</f>
        <v>4723.18837106456</v>
      </c>
      <c r="DD53" s="88" t="n">
        <f aca="false">CE53-CH53-CI53-CW53</f>
        <v>-2293.17702872549</v>
      </c>
      <c r="DE53" s="87" t="n">
        <f aca="false">IF(CD53&gt;0,DD53/CD53,0)</f>
        <v>-0.808825780287497</v>
      </c>
      <c r="DF53" s="86" t="n">
        <f aca="false">IF(CD53&gt;0,(BM53+CI53+CW53)/(CD53*(1-CG53)),0)</f>
        <v>1.83599563854005</v>
      </c>
      <c r="DG53" s="90" t="n">
        <f aca="false">IF(BW53&gt;0,BM53/BW53,0)</f>
        <v>0.374189786036639</v>
      </c>
      <c r="DH53" s="90" t="n">
        <f aca="false">IF(BW53&gt;0,CD53/BW53,0)</f>
        <v>0.284944</v>
      </c>
      <c r="DI53" s="90" t="n">
        <f aca="false">IF(AI53&gt;0,(AI53*IF(K53=3,INDEX(in_sup_vat_rate,1,C53),0)+AV53*BA53+(BC53+BD53)*AV53/AY53+AZ53*AI53/AL53)/AI53,0)</f>
        <v>0.0641708617973772</v>
      </c>
      <c r="DJ53" s="90" t="n">
        <f aca="false">IF(AJ53&gt;0,(AJ53*IF(K53=3,INDEX(in_sup_vat_rate,1,C53),0)+AW53*BA53+(BC53+BD53)*AW53/AY53+AZ53*AJ53/AL53)/AJ53,0)</f>
        <v>0.0641708617973772</v>
      </c>
      <c r="DK53" s="90" t="n">
        <f aca="false">IF(AK53&gt;0,(AK53*IF(K53=3,INDEX(in_sup_vat_rate,1,C53),0)+AX53*BA53+(BC53+BD53)*AX53/AY53+AZ53*AK53/AL53)/AK53,0)</f>
        <v>0.0641708617973772</v>
      </c>
      <c r="DL53" s="90" t="n">
        <f aca="false">IF(Y53&gt;0,(BP53-AI53*(1+DI53))/Y53,0)</f>
        <v>0.22790735787656</v>
      </c>
      <c r="DM53" s="90" t="n">
        <f aca="false">IF(Z53&gt;0,(BQ53-AJ53*(1+DJ53))/Z53,0)</f>
        <v>0.263547743171125</v>
      </c>
      <c r="DN53" s="90" t="n">
        <f aca="false">IF(AA53&gt;0,(BR53-AK53*(1+DK53))/AA53,0)</f>
        <v>0.195856135250127</v>
      </c>
      <c r="DO53" s="86" t="n">
        <f aca="false">IF(Y53&gt;0,(CA53*(1-thr_gm_go)*(1-R53)-DL53)/(1+DI53)*I53/((1+AH53)*J53),"")</f>
        <v>-0.798148778771255</v>
      </c>
      <c r="DP53" s="86" t="n">
        <f aca="false">IF(Z53&gt;0,(CB53*(1-thr_gm_go)*(1-R53)-DM53)/(1+DJ53)*I53/((1+AH53)*J53),"")</f>
        <v>-1.62675952081579</v>
      </c>
      <c r="DQ53" s="86" t="n">
        <f aca="false">IF(AA53&gt;0,(CC53*(1-thr_gm_go)*(1-R53)-DN53)/(1+DK53)*I53/((1+AH53)*J53),"")</f>
        <v>-0.260109580536235</v>
      </c>
      <c r="DR53" s="92" t="n">
        <f aca="false">IF(AND(AY53*INDEX(in_cus_mpf_rate,1,C53)&gt;INDEX(in_cus_mpf_min,1,C53),AY53*INDEX(in_cus_mpf_rate,1,C53)&lt;INDEX(in_cus_mpf_max,1,C53)),INDEX(in_cus_mpf_rate,1,C53),0)</f>
        <v>0</v>
      </c>
      <c r="DS53" s="88" t="n">
        <f aca="false">IF(AZ53&gt;INDEX(in_oce_ins_min,1,C53),INDEX(in_oce_ins_rate,1,C53)*(1+INDEX(in_oce_ins_uplift,1,C53))*AL53,0)</f>
        <v>0</v>
      </c>
      <c r="DT53" s="88" t="n">
        <f aca="false">(AL53+AN53)*(1+BA53+INDEX(in_cus_hmf,1,C53)+DR53)+DS53</f>
        <v>1345.9085362294</v>
      </c>
      <c r="DU53" s="86" t="n">
        <f aca="false">IF(DT53&gt;0,(CD53*(1-thr_gm_go)-(BM53-DT53))/DT53,0)</f>
        <v>-0.186405857516906</v>
      </c>
      <c r="DV53" s="86" t="n">
        <f aca="false">IF(DT53&gt;0,(CD53-(BM53-DT53))/DT53,0)</f>
        <v>0.340225916426456</v>
      </c>
      <c r="DW53" s="87" t="n">
        <f aca="false">(1+AH53)*J53*DU53-1</f>
        <v>-1.17708556464106</v>
      </c>
      <c r="DX53" s="87" t="n">
        <f aca="false">(1+AH53)*J53*DV53-1</f>
        <v>-0.676785379394867</v>
      </c>
      <c r="DY53" s="85" t="str">
        <f aca="false">IF(G53&gt;0,(CD53*(1-thr_gm_go)-(BM53-AT53))/G53,"")</f>
        <v/>
      </c>
      <c r="DZ53" s="90" t="n">
        <f aca="false">IF(AB53&gt;0,(AL53+AN53+BB53+BC53+BD53)/AB53,0)</f>
        <v>0.13804885362294</v>
      </c>
      <c r="EA53" s="88" t="n">
        <f aca="false">BM53-DZ53*AB53</f>
        <v>2342.69983483517</v>
      </c>
      <c r="EB53" s="90" t="n">
        <f aca="false">IF(AB53&gt;0,CD53/AB53,0)</f>
        <v>0.28351928</v>
      </c>
      <c r="EC53" s="85" t="n">
        <f aca="false">IF(EB53*(1-thr_gm_go)-DZ53&gt;0,EA53/(EB53*(1-thr_gm_go)-DZ53),"n/a")</f>
        <v>31407.4378614468</v>
      </c>
      <c r="ED53" s="85" t="n">
        <f aca="false">IF(EB53-DZ53&gt;0,EA53/(EB53-DZ53),"n/a")</f>
        <v>16104.3030750654</v>
      </c>
      <c r="EE53" s="93" t="b">
        <f aca="false">INDEX(cfg_fits,D53,C53)</f>
        <v>1</v>
      </c>
      <c r="EF53" s="87" t="str">
        <f aca="false">IF(F53=4,"",INDEX(cfg_lenutil,D53,C53))</f>
        <v/>
      </c>
      <c r="EG53" s="31" t="str">
        <f aca="false">IF(O53&gt;1,"Check fit (units scaled up)","")</f>
        <v/>
      </c>
    </row>
    <row r="54" customFormat="false" ht="15" hidden="false" customHeight="false" outlineLevel="0" collapsed="false">
      <c r="A54" s="78" t="n">
        <v>1105</v>
      </c>
      <c r="B54" s="9" t="s">
        <v>3202</v>
      </c>
      <c r="C54" s="78" t="n">
        <v>1</v>
      </c>
      <c r="D54" s="78" t="n">
        <v>10</v>
      </c>
      <c r="E54" s="78" t="n">
        <v>5</v>
      </c>
      <c r="F54" s="79" t="n">
        <f aca="false">INDEX(cfg_ct,D54)</f>
        <v>4</v>
      </c>
      <c r="G54" s="79" t="n">
        <f aca="false">INDEX(cfg_n,D54)</f>
        <v>0</v>
      </c>
      <c r="H54" s="79" t="n">
        <f aca="false">INDEX(dest_port,E54)</f>
        <v>4</v>
      </c>
      <c r="I54" s="80" t="n">
        <f aca="false">INDEX(in_fx_cbe,1,C54)*(1-INDEX(in_fx_spread,1,C54))</f>
        <v>54.6</v>
      </c>
      <c r="J54" s="81" t="n">
        <f aca="false">1</f>
        <v>1</v>
      </c>
      <c r="K54" s="82" t="n">
        <f aca="false">INDEX(in_sup_vat_mode,1,C54)</f>
        <v>1</v>
      </c>
      <c r="L54" s="83" t="n">
        <f aca="false">INDEX(in_cus_s301,1,C54)</f>
        <v>0</v>
      </c>
      <c r="M54" s="84" t="n">
        <f aca="false">1</f>
        <v>1</v>
      </c>
      <c r="N54" s="81" t="n">
        <f aca="false">1</f>
        <v>1</v>
      </c>
      <c r="O54" s="81" t="n">
        <f aca="false">1</f>
        <v>1</v>
      </c>
      <c r="P54" s="81" t="n">
        <f aca="false">1</f>
        <v>1</v>
      </c>
      <c r="Q54" s="81" t="n">
        <f aca="false">1</f>
        <v>1</v>
      </c>
      <c r="R54" s="83" t="n">
        <f aca="false">INDEX(in_sel_damage,1,C54)</f>
        <v>0.005</v>
      </c>
      <c r="S54" s="83" t="n">
        <f aca="false">INDEX(in_mkt_dist_margin,1,C54)</f>
        <v>0.2</v>
      </c>
      <c r="T54" s="83" t="n">
        <f aca="false">INDEX(in_mkt_eflute_disc,1,C54)</f>
        <v>0.15</v>
      </c>
      <c r="U54" s="82" t="n">
        <f aca="false">INDEX(in_sel_credit_days,1,C54)</f>
        <v>30</v>
      </c>
      <c r="V54" s="81" t="n">
        <f aca="false">1</f>
        <v>1</v>
      </c>
      <c r="W54" s="83" t="n">
        <f aca="false">INDEX(in_sel_commission,1,C54)</f>
        <v>0.03</v>
      </c>
      <c r="X54" s="82" t="n">
        <f aca="false">1</f>
        <v>1</v>
      </c>
      <c r="Y54" s="85" t="n">
        <f aca="false">INDEX(cfg_u_3464,D54,C54)*O54</f>
        <v>3350</v>
      </c>
      <c r="Z54" s="85" t="n">
        <f aca="false">INDEX(cfg_u_3463,D54,C54)*O54</f>
        <v>3350</v>
      </c>
      <c r="AA54" s="85" t="n">
        <f aca="false">INDEX(cfg_u_3460,D54,C54)*O54</f>
        <v>3300</v>
      </c>
      <c r="AB54" s="85" t="n">
        <f aca="false">Y54+Z54+AA54</f>
        <v>10000</v>
      </c>
      <c r="AC54" s="86" t="n">
        <f aca="false">Y54*INDEX(lg_vpu_3464,C54)</f>
        <v>2.2342155</v>
      </c>
      <c r="AD54" s="86" t="n">
        <f aca="false">Z54*INDEX(lg_vpu_3463,C54)</f>
        <v>2.733198</v>
      </c>
      <c r="AE54" s="86" t="n">
        <f aca="false">AA54*INDEX(lg_vpu_3460,C54)</f>
        <v>1.758834</v>
      </c>
      <c r="AF54" s="86" t="n">
        <f aca="false">AC54+AD54+AE54</f>
        <v>6.7262475</v>
      </c>
      <c r="AG54" s="85" t="n">
        <f aca="false">Y54*INDEX(lg_kpu_3464,C54)+Z54*INDEX(lg_kpu_3463,C54)+AA54*INDEX(lg_kpu_3460,C54)</f>
        <v>1644.25172</v>
      </c>
      <c r="AH54" s="87" t="n">
        <f aca="false">INDEX(in_sup_requote,1,C54)</f>
        <v>-0.05</v>
      </c>
      <c r="AI54" s="88" t="n">
        <f aca="false">Y54*q_price_3464*(1+AH54)*J54/I54</f>
        <v>487.575320512821</v>
      </c>
      <c r="AJ54" s="88" t="n">
        <f aca="false">Z54*q_price_3463*(1+AH54)*J54/I54</f>
        <v>460.471611721612</v>
      </c>
      <c r="AK54" s="88" t="n">
        <f aca="false">AA54*q_price_3460*(1+AH54)*J54/I54</f>
        <v>396.181318681319</v>
      </c>
      <c r="AL54" s="88" t="n">
        <f aca="false">AI54+AJ54+AK54</f>
        <v>1344.22825091575</v>
      </c>
      <c r="AM54" s="88" t="n">
        <f aca="false">IF(OR(K54=2,K54=3),AL54*INDEX(in_sup_vat_rate,1,C54),0)</f>
        <v>0</v>
      </c>
      <c r="AN54" s="88" t="n">
        <f aca="false">IF(K54=3,AM54,0)</f>
        <v>0</v>
      </c>
      <c r="AO54" s="88" t="n">
        <f aca="false">INDEX(in_sup_tooling_egp,1,C54)/I54</f>
        <v>0</v>
      </c>
      <c r="AP54" s="88" t="n">
        <f aca="false">IF(F54=4,INDEX(in_ori_lcl_truck,1,C54)*V54/I54+INDEX(in_ori_lcl_cfs_o,1,C54),G54*(IF(F54=1,INDEX(in_ori_truck_20,1,C54),INDEX(in_ori_truck_40,1,C54))*V54/I54+INDEX(in_ori_terminal,1,C54)+IF(F54=1,INDEX(in_ori_othc_20,1,C54),INDEX(in_ori_othc_40,1,C54))*(1-INDEX(in_ori_othc_in_freight,1,C54))+INDEX(in_ori_seal,1,C54)+INDEX(in_ori_inspection,1,C54)+INDEX(in_ori_dd_days,1,C54)*IF(F54=1,INDEX(in_ori_dd_20,1,C54),INDEX(in_ori_dd_40,1,C54))+INDEX(in_ori_loading_egp,1,C54)/I54))</f>
        <v>191.575091575092</v>
      </c>
      <c r="AQ54" s="88" t="n">
        <f aca="false">(INDEX(in_ori_clearance,1,C54)+INDEX(in_ori_coo,1,C54))/I54+INDEX(in_ori_bl_fee,1,C54)+INDEX(in_ori_fwd_fee,1,C54)+INDEX(in_ori_qc,1,C54)+INDEX(in_ori_wires,1,C54)*INDEX(in_ori_wire_fee,1,C54)</f>
        <v>298.260073260073</v>
      </c>
      <c r="AR54" s="88" t="n">
        <f aca="false">AP54+AQ54</f>
        <v>489.835164835165</v>
      </c>
      <c r="AS54" s="85" t="n">
        <f aca="false">INDEX(tbl_port_diff,H54,C54)</f>
        <v>0</v>
      </c>
      <c r="AT54" s="88" t="n">
        <f aca="false">IF(F54=4,MAX(AF54*INDEX(in_oce_lcl_factor,1,C54),AG54/1000,1)*INDEX(in_oce_lcl_rate,1,C54)*M54,G54*(INDEX(tbl_ocean_rate,MIN(F54,3),C54)+AS54)*M54)</f>
        <v>887.86467</v>
      </c>
      <c r="AU54" s="88" t="n">
        <f aca="false">AT54+INDEX(in_oce_ams,1,C54)</f>
        <v>917.86467</v>
      </c>
      <c r="AV54" s="88" t="n">
        <f aca="false">AI54*(1+IF(K54=3,INDEX(in_sup_vat_rate,1,C54),0))+AO54*Y54/AB54</f>
        <v>487.575320512821</v>
      </c>
      <c r="AW54" s="88" t="n">
        <f aca="false">AJ54*(1+IF(K54=3,INDEX(in_sup_vat_rate,1,C54),0))+AO54*Z54/AB54</f>
        <v>460.471611721612</v>
      </c>
      <c r="AX54" s="88" t="n">
        <f aca="false">AK54*(1+IF(K54=3,INDEX(in_sup_vat_rate,1,C54),0))+AO54*AA54/AB54</f>
        <v>396.181318681319</v>
      </c>
      <c r="AY54" s="88" t="n">
        <f aca="false">AV54+AW54+AX54</f>
        <v>1344.22825091575</v>
      </c>
      <c r="AZ54" s="88" t="n">
        <f aca="false">MAX(INDEX(in_oce_ins_min,1,C54),INDEX(in_oce_ins_rate,1,C54)*(1+INDEX(in_oce_ins_uplift,1,C54))*(AL54+AO54+AR54+AU54))*(1-INDEX(in_oce_ins_in_other,1,C54))</f>
        <v>50</v>
      </c>
      <c r="BA54" s="87" t="n">
        <f aca="false">INDEX(in_cus_mfn,1,C54)+L54</f>
        <v>0</v>
      </c>
      <c r="BB54" s="88" t="n">
        <f aca="false">AY54*BA54</f>
        <v>0</v>
      </c>
      <c r="BC54" s="88" t="n">
        <f aca="false">MIN(MAX(AY54*INDEX(in_cus_mpf_rate,1,C54),INDEX(in_cus_mpf_min,1,C54)),INDEX(in_cus_mpf_max,1,C54))</f>
        <v>34.58</v>
      </c>
      <c r="BD54" s="88" t="n">
        <f aca="false">AY54*INDEX(in_cus_hmf,1,C54)</f>
        <v>1.68028531364469</v>
      </c>
      <c r="BE54" s="88" t="n">
        <f aca="false">MAX(INDEX(in_cus_stb_min,1,C54),INDEX(in_cus_stb_rate,1,C54)/1000*(AY54+BB54+BC54+BD54))</f>
        <v>50</v>
      </c>
      <c r="BF54" s="88" t="n">
        <f aca="false">INDEX(in_cus_broker,1,C54)+INDEX(in_cus_isf,1,C54)+INDEX(in_cus_do_fee,1,C54)+BE54+INDEX(in_cus_isf_bond,1,C54)</f>
        <v>385</v>
      </c>
      <c r="BG54" s="88" t="n">
        <f aca="false">IF(H54=1,INDEX(in_cus_cfc,1,C54)*INDEX(ct_teu,F54)*G54*(1-INDEX(in_cus_cfc_in_freight,1,C54)),0)</f>
        <v>0</v>
      </c>
      <c r="BH54" s="88" t="n">
        <f aca="false">IF(F54=4,1,G54)*(INDEX(in_cus_exam,1,C54)+INDEX(in_cus_exam_dray,1,C54))</f>
        <v>0</v>
      </c>
      <c r="BI54" s="88" t="n">
        <f aca="false">IF(F54=4,1,G54)*INDEX(in_cus_dem_days,1,C54)*INDEX(in_cus_dem_rate,1,C54)</f>
        <v>0</v>
      </c>
      <c r="BJ54" s="88" t="n">
        <f aca="false">BG54+BH54+BI54</f>
        <v>0</v>
      </c>
      <c r="BK54" s="88" t="n">
        <f aca="false">IF(F54=4,(INDEX(in_dra_lcl_cfs_d,1,C54)+INDEX(in_dra_lcl_deliv,1,C54))*P54,G54*(INDEX(tbl_dest_line,E54,C54)*P54*(1+INDEX(in_dra_fsc,1,C54))+INDEX(tbl_dest_tolls,E54,C54)+INDEX(in_dra_chassis_days,1,C54)*INDEX(tbl_dest_chassis,E54,C54)*(1-INDEX(in_dra_chassis_in_dray,1,C54))+INDEX(in_dra_wait_hours,1,C54)*INDEX(in_dra_wait_rate,1,C54)+INDEX(in_dra_split,1,C54)+INDEX(in_dra_prepull,1,C54)+INDEX(in_dra_dryrun,1,C54)))</f>
        <v>500</v>
      </c>
      <c r="BL54" s="88" t="n">
        <f aca="false">IF(F54=4,0,G54*IF(F54=1,INDEX(in_dra_unload_20,1,C54),INDEX(in_dra_unload_40,1,C54))*Q54*(1-INDEX(in_dra_unload_in_dray,1,C54)))</f>
        <v>0</v>
      </c>
      <c r="BM54" s="88" t="n">
        <f aca="false">AL54+AN54+AO54+AR54+AU54+AZ54+BB54+BC54+BD54+BF54+BJ54+BK54+BL54</f>
        <v>3723.18837106456</v>
      </c>
      <c r="BN54" s="88" t="n">
        <f aca="false">AP54+AU54+BJ54+BK54+BL54</f>
        <v>1609.43976157509</v>
      </c>
      <c r="BO54" s="88" t="n">
        <f aca="false">AQ54+BF54</f>
        <v>683.260073260073</v>
      </c>
      <c r="BP54" s="88" t="n">
        <f aca="false">AI54*(1+IF(K54=3,INDEX(in_sup_vat_rate,1,C54),0))+AO54*Y54/AB54+AV54*BA54+(BC54+BD54)*AV54/AY54+AZ54*AI54/AL54+BN54*AC54/AF54+BO54*Y54/AB54</f>
        <v>1282.35309790774</v>
      </c>
      <c r="BQ54" s="88" t="n">
        <f aca="false">AJ54*(1+IF(K54=3,INDEX(in_sup_vat_rate,1,C54),0))+AO54*Z54/AB54+AW54*BA54+(BC54+BD54)*AW54/AY54+AZ54*AJ54/AL54+BN54*AD54/AF54+BO54*Z54/AB54</f>
        <v>1372.90541150228</v>
      </c>
      <c r="BR54" s="88" t="n">
        <f aca="false">AK54*(1+IF(K54=3,INDEX(in_sup_vat_rate,1,C54),0))+AO54*AA54/AB54+AX54*BA54+(BC54+BD54)*AX54/AY54+AZ54*AK54/AL54+BN54*AE54/AF54+BO54*AA54/AB54</f>
        <v>1067.92986165454</v>
      </c>
      <c r="BS54" s="89" t="n">
        <f aca="false">BP54+BQ54+BR54-BM54</f>
        <v>0</v>
      </c>
      <c r="BT54" s="85" t="n">
        <f aca="false">Y54*(1-R54)</f>
        <v>3333.25</v>
      </c>
      <c r="BU54" s="85" t="n">
        <f aca="false">Z54*(1-R54)</f>
        <v>3333.25</v>
      </c>
      <c r="BV54" s="85" t="n">
        <f aca="false">AA54*(1-R54)</f>
        <v>3283.5</v>
      </c>
      <c r="BW54" s="85" t="n">
        <f aca="false">BT54+BU54+BV54</f>
        <v>9950</v>
      </c>
      <c r="BX54" s="90" t="n">
        <f aca="false">IF(BT54&gt;0,BP54/BT54,0)</f>
        <v>0.384715547261002</v>
      </c>
      <c r="BY54" s="90" t="n">
        <f aca="false">IF(BU54&gt;0,BQ54/BU54,0)</f>
        <v>0.411881920498698</v>
      </c>
      <c r="BZ54" s="90" t="n">
        <f aca="false">IF(BV54&gt;0,BR54/BV54,0)</f>
        <v>0.325241316173151</v>
      </c>
      <c r="CA54" s="90" t="n">
        <f aca="false">INDEX(in_mkt_listing_3464,1,C54)*(1-IF(sku_flute_3464="B",T54,0))*(1-S54)*N54</f>
        <v>0.2856</v>
      </c>
      <c r="CB54" s="90" t="n">
        <f aca="false">INDEX(in_mkt_listing_3463,1,C54)*(1-IF(sku_flute_3463="B",T54,0))*(1-S54)*N54</f>
        <v>0.3128</v>
      </c>
      <c r="CC54" s="90" t="n">
        <f aca="false">INDEX(in_mkt_listing_3460,1,C54)*(1-IF(sku_flute_3460="B",T54,0))*(1-S54)*N54</f>
        <v>0.256</v>
      </c>
      <c r="CD54" s="88" t="n">
        <f aca="false">BT54*CA54+BU54*CB54+BV54*CC54</f>
        <v>2835.1928</v>
      </c>
      <c r="CE54" s="88" t="n">
        <f aca="false">CD54-BM54</f>
        <v>-887.99557106456</v>
      </c>
      <c r="CF54" s="87" t="n">
        <f aca="false">IF(CD54&gt;0,CE54/CD54,0)</f>
        <v>-0.313204650866975</v>
      </c>
      <c r="CG54" s="87" t="n">
        <f aca="false">W54+INDEX(in_sel_processing,1,C54)+INDEX(in_sel_bad_debt,1,C54)</f>
        <v>0.0325</v>
      </c>
      <c r="CH54" s="88" t="n">
        <f aca="false">CD54*CG54</f>
        <v>92.143766</v>
      </c>
      <c r="CI54" s="88" t="n">
        <f aca="false">INDEX(in_sel_testing,1,C54)*X54+INDEX(in_sel_admin,1,C54)</f>
        <v>1250</v>
      </c>
      <c r="CJ54" s="79" t="n">
        <f aca="false">INDEX(in_sup_lead_days,1,C54)</f>
        <v>14</v>
      </c>
      <c r="CK54" s="79" t="n">
        <f aca="false">CJ54+INDEX(in_oce_transit,1,C54)+IF(F54=4,INDEX(in_oce_lcl_extra_days,1,C54),0)</f>
        <v>44</v>
      </c>
      <c r="CL54" s="79" t="n">
        <f aca="false">CK54+2+INDEX(in_cus_dem_days,1,C54)</f>
        <v>46</v>
      </c>
      <c r="CM54" s="79" t="n">
        <f aca="false">CL54+U54</f>
        <v>76</v>
      </c>
      <c r="CN54" s="79" t="n">
        <f aca="false">CJ54+INDEX(in_sup_vat_lag,1,C54)</f>
        <v>44</v>
      </c>
      <c r="CO54" s="91" t="n">
        <f aca="false">INDEX(in_sup_advance,1,C54)</f>
        <v>0.5</v>
      </c>
      <c r="CP54" s="88" t="n">
        <f aca="false">CO54*(AL54+AM54)+AO54+INDEX(in_sel_testing,1,C54)*X54</f>
        <v>1672.11412545788</v>
      </c>
      <c r="CQ54" s="88" t="n">
        <f aca="false">(1-CO54)*(AL54+AM54)+AR54+AU54+AZ54</f>
        <v>2129.81396029304</v>
      </c>
      <c r="CR54" s="88" t="n">
        <f aca="false">BB54+BC54+BD54+BF54+BJ54</f>
        <v>421.260285313645</v>
      </c>
      <c r="CS54" s="88" t="n">
        <f aca="false">BK54+BL54</f>
        <v>500</v>
      </c>
      <c r="CT54" s="88" t="n">
        <f aca="false">IF(K54=2,AM54,0)</f>
        <v>0</v>
      </c>
      <c r="CU54" s="85" t="n">
        <f aca="false">IF(K54=2,CO54*AM54*(CN54-0)+(1-CO54)*AM54*(CN54-CJ54),0)</f>
        <v>0</v>
      </c>
      <c r="CV54" s="85" t="n">
        <f aca="false">(CP54-CO54*CT54)*(CM54-0)+(CQ54-(1-CO54)*CT54)*(CM54-CJ54)+CR54*(CM54-CK54)+CS54*(CM54-CL54)</f>
        <v>287609.468203004</v>
      </c>
      <c r="CW54" s="88" t="n">
        <f aca="false">INDEX(in_sel_fin_rate,1,C54)/365*(CU54+CV54)</f>
        <v>63.0376916609323</v>
      </c>
      <c r="CX54" s="85" t="n">
        <f aca="false">CP54-IF(CN54&lt;=0,CT54,0)</f>
        <v>1672.11412545788</v>
      </c>
      <c r="CY54" s="85" t="n">
        <f aca="false">CP54+CQ54-IF(CN54&lt;=CJ54,CT54,0)</f>
        <v>3801.92808575092</v>
      </c>
      <c r="CZ54" s="85" t="n">
        <f aca="false">CP54+CQ54+CR54-IF(CN54&lt;=CK54,CT54,0)</f>
        <v>4223.18837106456</v>
      </c>
      <c r="DA54" s="85" t="n">
        <f aca="false">CP54+CQ54+CR54+CS54-IF(CN54&lt;=CL54,CT54,0)</f>
        <v>4723.18837106456</v>
      </c>
      <c r="DB54" s="88" t="n">
        <f aca="false">MAX(CX54,CY54,CZ54,DA54)</f>
        <v>4723.18837106456</v>
      </c>
      <c r="DC54" s="88" t="n">
        <f aca="false">CP54+CQ54+CR54+CS54</f>
        <v>4723.18837106456</v>
      </c>
      <c r="DD54" s="88" t="n">
        <f aca="false">CE54-CH54-CI54-CW54</f>
        <v>-2293.17702872549</v>
      </c>
      <c r="DE54" s="87" t="n">
        <f aca="false">IF(CD54&gt;0,DD54/CD54,0)</f>
        <v>-0.808825780287497</v>
      </c>
      <c r="DF54" s="86" t="n">
        <f aca="false">IF(CD54&gt;0,(BM54+CI54+CW54)/(CD54*(1-CG54)),0)</f>
        <v>1.83599563854005</v>
      </c>
      <c r="DG54" s="90" t="n">
        <f aca="false">IF(BW54&gt;0,BM54/BW54,0)</f>
        <v>0.374189786036639</v>
      </c>
      <c r="DH54" s="90" t="n">
        <f aca="false">IF(BW54&gt;0,CD54/BW54,0)</f>
        <v>0.284944</v>
      </c>
      <c r="DI54" s="90" t="n">
        <f aca="false">IF(AI54&gt;0,(AI54*IF(K54=3,INDEX(in_sup_vat_rate,1,C54),0)+AV54*BA54+(BC54+BD54)*AV54/AY54+AZ54*AI54/AL54)/AI54,0)</f>
        <v>0.0641708617973772</v>
      </c>
      <c r="DJ54" s="90" t="n">
        <f aca="false">IF(AJ54&gt;0,(AJ54*IF(K54=3,INDEX(in_sup_vat_rate,1,C54),0)+AW54*BA54+(BC54+BD54)*AW54/AY54+AZ54*AJ54/AL54)/AJ54,0)</f>
        <v>0.0641708617973772</v>
      </c>
      <c r="DK54" s="90" t="n">
        <f aca="false">IF(AK54&gt;0,(AK54*IF(K54=3,INDEX(in_sup_vat_rate,1,C54),0)+AX54*BA54+(BC54+BD54)*AX54/AY54+AZ54*AK54/AL54)/AK54,0)</f>
        <v>0.0641708617973772</v>
      </c>
      <c r="DL54" s="90" t="n">
        <f aca="false">IF(Y54&gt;0,(BP54-AI54*(1+DI54))/Y54,0)</f>
        <v>0.22790735787656</v>
      </c>
      <c r="DM54" s="90" t="n">
        <f aca="false">IF(Z54&gt;0,(BQ54-AJ54*(1+DJ54))/Z54,0)</f>
        <v>0.263547743171125</v>
      </c>
      <c r="DN54" s="90" t="n">
        <f aca="false">IF(AA54&gt;0,(BR54-AK54*(1+DK54))/AA54,0)</f>
        <v>0.195856135250127</v>
      </c>
      <c r="DO54" s="86" t="n">
        <f aca="false">IF(Y54&gt;0,(CA54*(1-thr_gm_go)*(1-R54)-DL54)/(1+DI54)*I54/((1+AH54)*J54),"")</f>
        <v>-0.798148778771255</v>
      </c>
      <c r="DP54" s="86" t="n">
        <f aca="false">IF(Z54&gt;0,(CB54*(1-thr_gm_go)*(1-R54)-DM54)/(1+DJ54)*I54/((1+AH54)*J54),"")</f>
        <v>-1.62675952081579</v>
      </c>
      <c r="DQ54" s="86" t="n">
        <f aca="false">IF(AA54&gt;0,(CC54*(1-thr_gm_go)*(1-R54)-DN54)/(1+DK54)*I54/((1+AH54)*J54),"")</f>
        <v>-0.260109580536235</v>
      </c>
      <c r="DR54" s="92" t="n">
        <f aca="false">IF(AND(AY54*INDEX(in_cus_mpf_rate,1,C54)&gt;INDEX(in_cus_mpf_min,1,C54),AY54*INDEX(in_cus_mpf_rate,1,C54)&lt;INDEX(in_cus_mpf_max,1,C54)),INDEX(in_cus_mpf_rate,1,C54),0)</f>
        <v>0</v>
      </c>
      <c r="DS54" s="88" t="n">
        <f aca="false">IF(AZ54&gt;INDEX(in_oce_ins_min,1,C54),INDEX(in_oce_ins_rate,1,C54)*(1+INDEX(in_oce_ins_uplift,1,C54))*AL54,0)</f>
        <v>0</v>
      </c>
      <c r="DT54" s="88" t="n">
        <f aca="false">(AL54+AN54)*(1+BA54+INDEX(in_cus_hmf,1,C54)+DR54)+DS54</f>
        <v>1345.9085362294</v>
      </c>
      <c r="DU54" s="86" t="n">
        <f aca="false">IF(DT54&gt;0,(CD54*(1-thr_gm_go)-(BM54-DT54))/DT54,0)</f>
        <v>-0.186405857516906</v>
      </c>
      <c r="DV54" s="86" t="n">
        <f aca="false">IF(DT54&gt;0,(CD54-(BM54-DT54))/DT54,0)</f>
        <v>0.340225916426456</v>
      </c>
      <c r="DW54" s="87" t="n">
        <f aca="false">(1+AH54)*J54*DU54-1</f>
        <v>-1.17708556464106</v>
      </c>
      <c r="DX54" s="87" t="n">
        <f aca="false">(1+AH54)*J54*DV54-1</f>
        <v>-0.676785379394867</v>
      </c>
      <c r="DY54" s="85" t="str">
        <f aca="false">IF(G54&gt;0,(CD54*(1-thr_gm_go)-(BM54-AT54))/G54,"")</f>
        <v/>
      </c>
      <c r="DZ54" s="90" t="n">
        <f aca="false">IF(AB54&gt;0,(AL54+AN54+BB54+BC54+BD54)/AB54,0)</f>
        <v>0.13804885362294</v>
      </c>
      <c r="EA54" s="88" t="n">
        <f aca="false">BM54-DZ54*AB54</f>
        <v>2342.69983483517</v>
      </c>
      <c r="EB54" s="90" t="n">
        <f aca="false">IF(AB54&gt;0,CD54/AB54,0)</f>
        <v>0.28351928</v>
      </c>
      <c r="EC54" s="85" t="n">
        <f aca="false">IF(EB54*(1-thr_gm_go)-DZ54&gt;0,EA54/(EB54*(1-thr_gm_go)-DZ54),"n/a")</f>
        <v>31407.4378614468</v>
      </c>
      <c r="ED54" s="85" t="n">
        <f aca="false">IF(EB54-DZ54&gt;0,EA54/(EB54-DZ54),"n/a")</f>
        <v>16104.3030750654</v>
      </c>
      <c r="EE54" s="93" t="b">
        <f aca="false">INDEX(cfg_fits,D54,C54)</f>
        <v>1</v>
      </c>
      <c r="EF54" s="87" t="str">
        <f aca="false">IF(F54=4,"",INDEX(cfg_lenutil,D54,C54))</f>
        <v/>
      </c>
      <c r="EG54" s="31" t="str">
        <f aca="false">IF(O54&gt;1,"Check fit (units scaled up)","")</f>
        <v/>
      </c>
    </row>
    <row r="55" customFormat="false" ht="15" hidden="false" customHeight="false" outlineLevel="0" collapsed="false">
      <c r="A55" s="78" t="n">
        <v>2011</v>
      </c>
      <c r="B55" s="9" t="s">
        <v>3203</v>
      </c>
      <c r="C55" s="78" t="n">
        <v>2</v>
      </c>
      <c r="D55" s="78" t="n">
        <v>1</v>
      </c>
      <c r="E55" s="78" t="n">
        <v>1</v>
      </c>
      <c r="F55" s="79" t="n">
        <f aca="false">INDEX(cfg_ct,D55)</f>
        <v>3</v>
      </c>
      <c r="G55" s="79" t="n">
        <f aca="false">INDEX(cfg_n,D55)</f>
        <v>1</v>
      </c>
      <c r="H55" s="79" t="n">
        <f aca="false">INDEX(dest_port,E55)</f>
        <v>1</v>
      </c>
      <c r="I55" s="80" t="n">
        <f aca="false">INDEX(in_fx_cbe,1,C55)*(1-INDEX(in_fx_spread,1,C55))</f>
        <v>52.7748</v>
      </c>
      <c r="J55" s="81" t="n">
        <f aca="false">1</f>
        <v>1</v>
      </c>
      <c r="K55" s="82" t="n">
        <f aca="false">INDEX(in_sup_vat_mode,1,C55)</f>
        <v>2</v>
      </c>
      <c r="L55" s="83" t="n">
        <f aca="false">INDEX(in_cus_s301,1,C55)</f>
        <v>0.125</v>
      </c>
      <c r="M55" s="84" t="n">
        <f aca="false">1</f>
        <v>1</v>
      </c>
      <c r="N55" s="81" t="n">
        <f aca="false">1</f>
        <v>1</v>
      </c>
      <c r="O55" s="81" t="n">
        <f aca="false">1</f>
        <v>1</v>
      </c>
      <c r="P55" s="81" t="n">
        <f aca="false">1</f>
        <v>1</v>
      </c>
      <c r="Q55" s="81" t="n">
        <f aca="false">1</f>
        <v>1</v>
      </c>
      <c r="R55" s="83" t="n">
        <f aca="false">INDEX(in_sel_damage,1,C55)</f>
        <v>0.015</v>
      </c>
      <c r="S55" s="83" t="n">
        <f aca="false">INDEX(in_mkt_dist_margin,1,C55)</f>
        <v>0.25</v>
      </c>
      <c r="T55" s="83" t="n">
        <f aca="false">INDEX(in_mkt_eflute_disc,1,C55)</f>
        <v>0.2</v>
      </c>
      <c r="U55" s="82" t="n">
        <f aca="false">INDEX(in_sel_credit_days,1,C55)</f>
        <v>45</v>
      </c>
      <c r="V55" s="81" t="n">
        <f aca="false">1</f>
        <v>1</v>
      </c>
      <c r="W55" s="83" t="n">
        <f aca="false">INDEX(in_sel_commission,1,C55)</f>
        <v>0.05</v>
      </c>
      <c r="X55" s="82" t="n">
        <f aca="false">1</f>
        <v>1</v>
      </c>
      <c r="Y55" s="85" t="n">
        <f aca="false">INDEX(cfg_u_3464,D55,C55)*O55</f>
        <v>20000</v>
      </c>
      <c r="Z55" s="85" t="n">
        <f aca="false">INDEX(cfg_u_3463,D55,C55)*O55</f>
        <v>20000</v>
      </c>
      <c r="AA55" s="85" t="n">
        <f aca="false">INDEX(cfg_u_3460,D55,C55)*O55</f>
        <v>20000</v>
      </c>
      <c r="AB55" s="85" t="n">
        <f aca="false">Y55+Z55+AA55</f>
        <v>60000</v>
      </c>
      <c r="AC55" s="86" t="n">
        <f aca="false">Y55*INDEX(lg_vpu_3464,C55)</f>
        <v>14.22784</v>
      </c>
      <c r="AD55" s="86" t="n">
        <f aca="false">Z55*INDEX(lg_vpu_3463,C55)</f>
        <v>17.40544</v>
      </c>
      <c r="AE55" s="86" t="n">
        <f aca="false">AA55*INDEX(lg_vpu_3460,C55)</f>
        <v>11.37024</v>
      </c>
      <c r="AF55" s="86" t="n">
        <f aca="false">AC55+AD55+AE55</f>
        <v>43.00352</v>
      </c>
      <c r="AG55" s="85" t="n">
        <f aca="false">Y55*INDEX(lg_kpu_3464,C55)+Z55*INDEX(lg_kpu_3463,C55)+AA55*INDEX(lg_kpu_3460,C55)</f>
        <v>10342.13472</v>
      </c>
      <c r="AH55" s="87" t="n">
        <f aca="false">INDEX(in_sup_requote,1,C55)</f>
        <v>0</v>
      </c>
      <c r="AI55" s="88" t="n">
        <f aca="false">Y55*q_price_3464*(1+AH55)*J55/I55</f>
        <v>3170.0735957313</v>
      </c>
      <c r="AJ55" s="88" t="n">
        <f aca="false">Z55*q_price_3463*(1+AH55)*J55/I55</f>
        <v>2993.85312687116</v>
      </c>
      <c r="AK55" s="88" t="n">
        <f aca="false">AA55*q_price_3460*(1+AH55)*J55/I55</f>
        <v>2614.8843766343</v>
      </c>
      <c r="AL55" s="88" t="n">
        <f aca="false">AI55+AJ55+AK55</f>
        <v>8778.81109923676</v>
      </c>
      <c r="AM55" s="88" t="n">
        <f aca="false">IF(OR(K55=2,K55=3),AL55*INDEX(in_sup_vat_rate,1,C55),0)</f>
        <v>1229.03355389315</v>
      </c>
      <c r="AN55" s="88" t="n">
        <f aca="false">IF(K55=3,AM55,0)</f>
        <v>0</v>
      </c>
      <c r="AO55" s="88" t="n">
        <f aca="false">INDEX(in_sup_tooling_egp,1,C55)/I55</f>
        <v>0</v>
      </c>
      <c r="AP55" s="88" t="n">
        <f aca="false">IF(F55=4,INDEX(in_ori_lcl_truck,1,C55)*V55/I55+INDEX(in_ori_lcl_cfs_o,1,C55),G55*(IF(F55=1,INDEX(in_ori_truck_20,1,C55),INDEX(in_ori_truck_40,1,C55))*V55/I55+INDEX(in_ori_terminal,1,C55)+IF(F55=1,INDEX(in_ori_othc_20,1,C55),INDEX(in_ori_othc_40,1,C55))*(1-INDEX(in_ori_othc_in_freight,1,C55))+INDEX(in_ori_seal,1,C55)+INDEX(in_ori_inspection,1,C55)+INDEX(in_ori_dd_days,1,C55)*IF(F55=1,INDEX(in_ori_dd_20,1,C55),INDEX(in_ori_dd_40,1,C55))+INDEX(in_ori_loading_egp,1,C55)/I55))</f>
        <v>555.278125165799</v>
      </c>
      <c r="AQ55" s="88" t="n">
        <f aca="false">(INDEX(in_ori_clearance,1,C55)+INDEX(in_ori_coo,1,C55))/I55+INDEX(in_ori_bl_fee,1,C55)+INDEX(in_ori_fwd_fee,1,C55)+INDEX(in_ori_qc,1,C55)+INDEX(in_ori_wires,1,C55)*INDEX(in_ori_wire_fee,1,C55)</f>
        <v>817.639062582899</v>
      </c>
      <c r="AR55" s="88" t="n">
        <f aca="false">AP55+AQ55</f>
        <v>1372.9171877487</v>
      </c>
      <c r="AS55" s="85" t="n">
        <f aca="false">INDEX(tbl_port_diff,H55,C55)</f>
        <v>0</v>
      </c>
      <c r="AT55" s="88" t="n">
        <f aca="false">IF(F55=4,MAX(AF55*INDEX(in_oce_lcl_factor,1,C55),AG55/1000,1)*INDEX(in_oce_lcl_rate,1,C55)*M55,G55*(INDEX(tbl_ocean_rate,MIN(F55,3),C55)+AS55)*M55)</f>
        <v>4000</v>
      </c>
      <c r="AU55" s="88" t="n">
        <f aca="false">AT55+INDEX(in_oce_ams,1,C55)</f>
        <v>4035</v>
      </c>
      <c r="AV55" s="88" t="n">
        <f aca="false">AI55*(1+IF(K55=3,INDEX(in_sup_vat_rate,1,C55),0))+AO55*Y55/AB55</f>
        <v>3170.0735957313</v>
      </c>
      <c r="AW55" s="88" t="n">
        <f aca="false">AJ55*(1+IF(K55=3,INDEX(in_sup_vat_rate,1,C55),0))+AO55*Z55/AB55</f>
        <v>2993.85312687116</v>
      </c>
      <c r="AX55" s="88" t="n">
        <f aca="false">AK55*(1+IF(K55=3,INDEX(in_sup_vat_rate,1,C55),0))+AO55*AA55/AB55</f>
        <v>2614.8843766343</v>
      </c>
      <c r="AY55" s="88" t="n">
        <f aca="false">AV55+AW55+AX55</f>
        <v>8778.81109923676</v>
      </c>
      <c r="AZ55" s="88" t="n">
        <f aca="false">MAX(INDEX(in_oce_ins_min,1,C55),INDEX(in_oce_ins_rate,1,C55)*(1+INDEX(in_oce_ins_uplift,1,C55))*(AL55+AO55+AR55+AU55))*(1-INDEX(in_oce_ins_in_other,1,C55))</f>
        <v>75</v>
      </c>
      <c r="BA55" s="87" t="n">
        <f aca="false">INDEX(in_cus_mfn,1,C55)+L55</f>
        <v>0.125</v>
      </c>
      <c r="BB55" s="88" t="n">
        <f aca="false">AY55*BA55</f>
        <v>1097.35138740459</v>
      </c>
      <c r="BC55" s="88" t="n">
        <f aca="false">MIN(MAX(AY55*INDEX(in_cus_mpf_rate,1,C55),INDEX(in_cus_mpf_min,1,C55)),INDEX(in_cus_mpf_max,1,C55))</f>
        <v>34.58</v>
      </c>
      <c r="BD55" s="88" t="n">
        <f aca="false">AY55*INDEX(in_cus_hmf,1,C55)</f>
        <v>10.9735138740459</v>
      </c>
      <c r="BE55" s="88" t="n">
        <f aca="false">MAX(INDEX(in_cus_stb_min,1,C55),INDEX(in_cus_stb_rate,1,C55)/1000*(AY55+BB55+BC55+BD55))</f>
        <v>75</v>
      </c>
      <c r="BF55" s="88" t="n">
        <f aca="false">INDEX(in_cus_broker,1,C55)+INDEX(in_cus_isf,1,C55)+INDEX(in_cus_do_fee,1,C55)+BE55+INDEX(in_cus_isf_bond,1,C55)</f>
        <v>510</v>
      </c>
      <c r="BG55" s="88" t="n">
        <f aca="false">IF(H55=1,INDEX(in_cus_cfc,1,C55)*INDEX(ct_teu,F55)*G55*(1-INDEX(in_cus_cfc_in_freight,1,C55)),0)</f>
        <v>29.6</v>
      </c>
      <c r="BH55" s="88" t="n">
        <f aca="false">IF(F55=4,1,G55)*(INDEX(in_cus_exam,1,C55)+INDEX(in_cus_exam_dray,1,C55))</f>
        <v>0</v>
      </c>
      <c r="BI55" s="88" t="n">
        <f aca="false">IF(F55=4,1,G55)*INDEX(in_cus_dem_days,1,C55)*INDEX(in_cus_dem_rate,1,C55)</f>
        <v>0</v>
      </c>
      <c r="BJ55" s="88" t="n">
        <f aca="false">BG55+BH55+BI55</f>
        <v>29.6</v>
      </c>
      <c r="BK55" s="88" t="n">
        <f aca="false">IF(F55=4,(INDEX(in_dra_lcl_cfs_d,1,C55)+INDEX(in_dra_lcl_deliv,1,C55))*P55,G55*(INDEX(tbl_dest_line,E55,C55)*P55*(1+INDEX(in_dra_fsc,1,C55))+INDEX(tbl_dest_tolls,E55,C55)+INDEX(in_dra_chassis_days,1,C55)*INDEX(tbl_dest_chassis,E55,C55)*(1-INDEX(in_dra_chassis_in_dray,1,C55))+INDEX(in_dra_wait_hours,1,C55)*INDEX(in_dra_wait_rate,1,C55)+INDEX(in_dra_split,1,C55)+INDEX(in_dra_prepull,1,C55)+INDEX(in_dra_dryrun,1,C55)))</f>
        <v>1060</v>
      </c>
      <c r="BL55" s="88" t="n">
        <f aca="false">IF(F55=4,0,G55*IF(F55=1,INDEX(in_dra_unload_20,1,C55),INDEX(in_dra_unload_40,1,C55))*Q55*(1-INDEX(in_dra_unload_in_dray,1,C55)))</f>
        <v>450</v>
      </c>
      <c r="BM55" s="88" t="n">
        <f aca="false">AL55+AN55+AO55+AR55+AU55+AZ55+BB55+BC55+BD55+BF55+BJ55+BK55+BL55</f>
        <v>17454.2331882641</v>
      </c>
      <c r="BN55" s="88" t="n">
        <f aca="false">AP55+AU55+BJ55+BK55+BL55</f>
        <v>6129.8781251658</v>
      </c>
      <c r="BO55" s="88" t="n">
        <f aca="false">AQ55+BF55</f>
        <v>1327.6390625829</v>
      </c>
      <c r="BP55" s="88" t="n">
        <f aca="false">AI55*(1+IF(K55=3,INDEX(in_sup_vat_rate,1,C55),0))+AO55*Y55/AB55+AV55*BA55+(BC55+BD55)*AV55/AY55+AZ55*AI55/AL55+BN55*AC55/AF55+BO55*Y55/AB55</f>
        <v>6080.499693764</v>
      </c>
      <c r="BQ55" s="88" t="n">
        <f aca="false">AJ55*(1+IF(K55=3,INDEX(in_sup_vat_rate,1,C55),0))+AO55*Z55/AB55+AW55*BA55+(BC55+BD55)*AW55/AY55+AZ55*AJ55/AL55+BN55*AD55/AF55+BO55*Z55/AB55</f>
        <v>6332.77840850444</v>
      </c>
      <c r="BR55" s="88" t="n">
        <f aca="false">AK55*(1+IF(K55=3,INDEX(in_sup_vat_rate,1,C55),0))+AO55*AA55/AB55+AX55*BA55+(BC55+BD55)*AX55/AY55+AZ55*AK55/AL55+BN55*AE55/AF55+BO55*AA55/AB55</f>
        <v>5040.95508599566</v>
      </c>
      <c r="BS55" s="89" t="n">
        <f aca="false">BP55+BQ55+BR55-BM55</f>
        <v>0</v>
      </c>
      <c r="BT55" s="85" t="n">
        <f aca="false">Y55*(1-R55)</f>
        <v>19700</v>
      </c>
      <c r="BU55" s="85" t="n">
        <f aca="false">Z55*(1-R55)</f>
        <v>19700</v>
      </c>
      <c r="BV55" s="85" t="n">
        <f aca="false">AA55*(1-R55)</f>
        <v>19700</v>
      </c>
      <c r="BW55" s="85" t="n">
        <f aca="false">BT55+BU55+BV55</f>
        <v>59100</v>
      </c>
      <c r="BX55" s="90" t="n">
        <f aca="false">IF(BT55&gt;0,BP55/BT55,0)</f>
        <v>0.308654806790051</v>
      </c>
      <c r="BY55" s="90" t="n">
        <f aca="false">IF(BU55&gt;0,BQ55/BU55,0)</f>
        <v>0.321460832919007</v>
      </c>
      <c r="BZ55" s="90" t="n">
        <f aca="false">IF(BV55&gt;0,BR55/BV55,0)</f>
        <v>0.255886044974399</v>
      </c>
      <c r="CA55" s="90" t="n">
        <f aca="false">INDEX(in_mkt_listing_3464,1,C55)*(1-IF(sku_flute_3464="B",T55,0))*(1-S55)*N55</f>
        <v>0.234</v>
      </c>
      <c r="CB55" s="90" t="n">
        <f aca="false">INDEX(in_mkt_listing_3463,1,C55)*(1-IF(sku_flute_3463="B",T55,0))*(1-S55)*N55</f>
        <v>0.27</v>
      </c>
      <c r="CC55" s="90" t="n">
        <f aca="false">INDEX(in_mkt_listing_3460,1,C55)*(1-IF(sku_flute_3460="B",T55,0))*(1-S55)*N55</f>
        <v>0.225</v>
      </c>
      <c r="CD55" s="88" t="n">
        <f aca="false">BT55*CA55+BU55*CB55+BV55*CC55</f>
        <v>14361.3</v>
      </c>
      <c r="CE55" s="88" t="n">
        <f aca="false">CD55-BM55</f>
        <v>-3092.93318826409</v>
      </c>
      <c r="CF55" s="87" t="n">
        <f aca="false">IF(CD55&gt;0,CE55/CD55,0)</f>
        <v>-0.215365822611051</v>
      </c>
      <c r="CG55" s="87" t="n">
        <f aca="false">W55+INDEX(in_sel_processing,1,C55)+INDEX(in_sel_bad_debt,1,C55)</f>
        <v>0.058</v>
      </c>
      <c r="CH55" s="88" t="n">
        <f aca="false">CD55*CG55</f>
        <v>832.9554</v>
      </c>
      <c r="CI55" s="88" t="n">
        <f aca="false">INDEX(in_sel_testing,1,C55)*X55+INDEX(in_sel_admin,1,C55)</f>
        <v>3000</v>
      </c>
      <c r="CJ55" s="79" t="n">
        <f aca="false">INDEX(in_sup_lead_days,1,C55)</f>
        <v>21</v>
      </c>
      <c r="CK55" s="79" t="n">
        <f aca="false">CJ55+INDEX(in_oce_transit,1,C55)+IF(F55=4,INDEX(in_oce_lcl_extra_days,1,C55),0)</f>
        <v>51</v>
      </c>
      <c r="CL55" s="79" t="n">
        <f aca="false">CK55+2+INDEX(in_cus_dem_days,1,C55)</f>
        <v>53</v>
      </c>
      <c r="CM55" s="79" t="n">
        <f aca="false">CL55+U55</f>
        <v>98</v>
      </c>
      <c r="CN55" s="79" t="n">
        <f aca="false">CJ55+INDEX(in_sup_vat_lag,1,C55)</f>
        <v>81</v>
      </c>
      <c r="CO55" s="91" t="n">
        <f aca="false">INDEX(in_sup_advance,1,C55)</f>
        <v>0.5</v>
      </c>
      <c r="CP55" s="88" t="n">
        <f aca="false">CO55*(AL55+AM55)+AO55+INDEX(in_sel_testing,1,C55)*X55</f>
        <v>7503.92232656495</v>
      </c>
      <c r="CQ55" s="88" t="n">
        <f aca="false">(1-CO55)*(AL55+AM55)+AR55+AU55+AZ55</f>
        <v>10486.8395143137</v>
      </c>
      <c r="CR55" s="88" t="n">
        <f aca="false">BB55+BC55+BD55+BF55+BJ55</f>
        <v>1682.50490127864</v>
      </c>
      <c r="CS55" s="88" t="n">
        <f aca="false">BK55+BL55</f>
        <v>1510</v>
      </c>
      <c r="CT55" s="88" t="n">
        <f aca="false">IF(K55=2,AM55,0)</f>
        <v>1229.03355389315</v>
      </c>
      <c r="CU55" s="85" t="n">
        <f aca="false">IF(K55=2,CO55*AM55*(CN55-0)+(1-CO55)*AM55*(CN55-CJ55),0)</f>
        <v>86646.8655494668</v>
      </c>
      <c r="CV55" s="85" t="n">
        <f aca="false">(CP55-CO55*CT55)*(CM55-0)+(CQ55-(1-CO55)*CT55)*(CM55-CJ55)+CR55*(CM55-CK55)+CS55*(CM55-CL55)</f>
        <v>1582358.32499996</v>
      </c>
      <c r="CW55" s="88" t="n">
        <f aca="false">INDEX(in_sel_fin_rate,1,C55)/365*(CU55+CV55)</f>
        <v>457.26169604094</v>
      </c>
      <c r="CX55" s="85" t="n">
        <f aca="false">CP55-IF(CN55&lt;=0,CT55,0)</f>
        <v>7503.92232656495</v>
      </c>
      <c r="CY55" s="85" t="n">
        <f aca="false">CP55+CQ55-IF(CN55&lt;=CJ55,CT55,0)</f>
        <v>17990.7618408786</v>
      </c>
      <c r="CZ55" s="85" t="n">
        <f aca="false">CP55+CQ55+CR55-IF(CN55&lt;=CK55,CT55,0)</f>
        <v>19673.2667421572</v>
      </c>
      <c r="DA55" s="85" t="n">
        <f aca="false">CP55+CQ55+CR55+CS55-IF(CN55&lt;=CL55,CT55,0)</f>
        <v>21183.2667421572</v>
      </c>
      <c r="DB55" s="88" t="n">
        <f aca="false">MAX(CX55,CY55,CZ55,DA55)</f>
        <v>21183.2667421572</v>
      </c>
      <c r="DC55" s="88" t="n">
        <f aca="false">CP55+CQ55+CR55+CS55</f>
        <v>21183.2667421572</v>
      </c>
      <c r="DD55" s="88" t="n">
        <f aca="false">CE55-CH55-CI55-CW55</f>
        <v>-7383.15028430503</v>
      </c>
      <c r="DE55" s="87" t="n">
        <f aca="false">IF(CD55&gt;0,DD55/CD55,0)</f>
        <v>-0.514100414607663</v>
      </c>
      <c r="DF55" s="86" t="n">
        <f aca="false">IF(CD55&gt;0,(BM55+CI55+CW55)/(CD55*(1-CG55)),0)</f>
        <v>1.54575415563446</v>
      </c>
      <c r="DG55" s="90" t="n">
        <f aca="false">IF(BW55&gt;0,BM55/BW55,0)</f>
        <v>0.295333894894486</v>
      </c>
      <c r="DH55" s="90" t="n">
        <f aca="false">IF(BW55&gt;0,CD55/BW55,0)</f>
        <v>0.243</v>
      </c>
      <c r="DI55" s="90" t="n">
        <f aca="false">IF(AI55&gt;0,(AI55*IF(K55=3,INDEX(in_sup_vat_rate,1,C55),0)+AV55*BA55+(BC55+BD55)*AV55/AY55+AZ55*AI55/AL55)/AI55,0)</f>
        <v>0.138732328046622</v>
      </c>
      <c r="DJ55" s="90" t="n">
        <f aca="false">IF(AJ55&gt;0,(AJ55*IF(K55=3,INDEX(in_sup_vat_rate,1,C55),0)+AW55*BA55+(BC55+BD55)*AW55/AY55+AZ55*AJ55/AL55)/AJ55,0)</f>
        <v>0.138732328046622</v>
      </c>
      <c r="DK55" s="90" t="n">
        <f aca="false">IF(AK55&gt;0,(AK55*IF(K55=3,INDEX(in_sup_vat_rate,1,C55),0)+AX55*BA55+(BC55+BD55)*AX55/AY55+AZ55*AK55/AL55)/AK55,0)</f>
        <v>0.138732328046622</v>
      </c>
      <c r="DL55" s="90" t="n">
        <f aca="false">IF(Y55&gt;0,(BP55-AI55*(1+DI55))/Y55,0)</f>
        <v>0.123531720400889</v>
      </c>
      <c r="DM55" s="90" t="n">
        <f aca="false">IF(Z55&gt;0,(BQ55-AJ55*(1+DJ55))/Z55,0)</f>
        <v>0.146179053375639</v>
      </c>
      <c r="DN55" s="90" t="n">
        <f aca="false">IF(AA55&gt;0,(BR55-AK55*(1+DK55))/AA55,0)</f>
        <v>0.103165085610907</v>
      </c>
      <c r="DO55" s="86" t="n">
        <f aca="false">IF(Y55&gt;0,(CA55*(1-thr_gm_go)*(1-R55)-DL55)/(1+DI55)*I55/((1+AH55)*J55),"")</f>
        <v>2.28647754793572</v>
      </c>
      <c r="DP55" s="86" t="n">
        <f aca="false">IF(Z55&gt;0,(CB55*(1-thr_gm_go)*(1-R55)-DM55)/(1+DJ55)*I55/((1+AH55)*J55),"")</f>
        <v>2.46943304379094</v>
      </c>
      <c r="DQ55" s="86" t="n">
        <f aca="false">IF(AA55&gt;0,(CC55*(1-thr_gm_go)*(1-R55)-DN55)/(1+DK55)*I55/((1+AH55)*J55),"")</f>
        <v>2.92223593327656</v>
      </c>
      <c r="DR55" s="92" t="n">
        <f aca="false">IF(AND(AY55*INDEX(in_cus_mpf_rate,1,C55)&gt;INDEX(in_cus_mpf_min,1,C55),AY55*INDEX(in_cus_mpf_rate,1,C55)&lt;INDEX(in_cus_mpf_max,1,C55)),INDEX(in_cus_mpf_rate,1,C55),0)</f>
        <v>0</v>
      </c>
      <c r="DS55" s="88" t="n">
        <f aca="false">IF(AZ55&gt;INDEX(in_oce_ins_min,1,C55),INDEX(in_oce_ins_rate,1,C55)*(1+INDEX(in_oce_ins_uplift,1,C55))*AL55,0)</f>
        <v>0</v>
      </c>
      <c r="DT55" s="88" t="n">
        <f aca="false">(AL55+AN55)*(1+BA55+INDEX(in_cus_hmf,1,C55)+DR55)+DS55</f>
        <v>9887.1360005154</v>
      </c>
      <c r="DU55" s="86" t="n">
        <f aca="false">IF(DT55&gt;0,(CD55*(1-thr_gm_go)-(BM55-DT55))/DT55,0)</f>
        <v>0.324045083640429</v>
      </c>
      <c r="DV55" s="86" t="n">
        <f aca="false">IF(DT55&gt;0,(CD55-(BM55-DT55))/DT55,0)</f>
        <v>0.687176024674601</v>
      </c>
      <c r="DW55" s="87" t="n">
        <f aca="false">(1+AH55)*J55*DU55-1</f>
        <v>-0.675954916359572</v>
      </c>
      <c r="DX55" s="87" t="n">
        <f aca="false">(1+AH55)*J55*DV55-1</f>
        <v>-0.312823975325399</v>
      </c>
      <c r="DY55" s="85" t="n">
        <f aca="false">IF(G55&gt;0,(CD55*(1-thr_gm_go)-(BM55-AT55))/G55,"")</f>
        <v>-2683.25818826409</v>
      </c>
      <c r="DZ55" s="90" t="n">
        <f aca="false">IF(AB55&gt;0,(AL55+AN55+BB55+BC55+BD55)/AB55,0)</f>
        <v>0.165361933341923</v>
      </c>
      <c r="EA55" s="88" t="n">
        <f aca="false">BM55-DZ55*AB55</f>
        <v>7532.5171877487</v>
      </c>
      <c r="EB55" s="90" t="n">
        <f aca="false">IF(AB55&gt;0,CD55/AB55,0)</f>
        <v>0.239355</v>
      </c>
      <c r="EC55" s="85" t="n">
        <f aca="false">IF(EB55*(1-thr_gm_go)-DZ55&gt;0,EA55/(EB55*(1-thr_gm_go)-DZ55),"n/a")</f>
        <v>532171.023844552</v>
      </c>
      <c r="ED55" s="85" t="n">
        <f aca="false">IF(EB55-DZ55&gt;0,EA55/(EB55-DZ55),"n/a")</f>
        <v>101800.310866376</v>
      </c>
      <c r="EE55" s="93" t="b">
        <f aca="false">INDEX(cfg_fits,D55,C55)</f>
        <v>1</v>
      </c>
      <c r="EF55" s="87" t="n">
        <f aca="false">IF(F55=4,"",INDEX(cfg_lenutil,D55,C55))</f>
        <v>0.795641240569992</v>
      </c>
      <c r="EG55" s="31" t="str">
        <f aca="false">IF(O55&gt;1,"Check fit (units scaled up)","")</f>
        <v/>
      </c>
    </row>
    <row r="56" customFormat="false" ht="15" hidden="false" customHeight="false" outlineLevel="0" collapsed="false">
      <c r="A56" s="78" t="n">
        <v>2012</v>
      </c>
      <c r="B56" s="9" t="s">
        <v>3204</v>
      </c>
      <c r="C56" s="78" t="n">
        <v>2</v>
      </c>
      <c r="D56" s="78" t="n">
        <v>1</v>
      </c>
      <c r="E56" s="78" t="n">
        <v>2</v>
      </c>
      <c r="F56" s="79" t="n">
        <f aca="false">INDEX(cfg_ct,D56)</f>
        <v>3</v>
      </c>
      <c r="G56" s="79" t="n">
        <f aca="false">INDEX(cfg_n,D56)</f>
        <v>1</v>
      </c>
      <c r="H56" s="79" t="n">
        <f aca="false">INDEX(dest_port,E56)</f>
        <v>1</v>
      </c>
      <c r="I56" s="80" t="n">
        <f aca="false">INDEX(in_fx_cbe,1,C56)*(1-INDEX(in_fx_spread,1,C56))</f>
        <v>52.7748</v>
      </c>
      <c r="J56" s="81" t="n">
        <f aca="false">1</f>
        <v>1</v>
      </c>
      <c r="K56" s="82" t="n">
        <f aca="false">INDEX(in_sup_vat_mode,1,C56)</f>
        <v>2</v>
      </c>
      <c r="L56" s="83" t="n">
        <f aca="false">INDEX(in_cus_s301,1,C56)</f>
        <v>0.125</v>
      </c>
      <c r="M56" s="84" t="n">
        <f aca="false">1</f>
        <v>1</v>
      </c>
      <c r="N56" s="81" t="n">
        <f aca="false">1</f>
        <v>1</v>
      </c>
      <c r="O56" s="81" t="n">
        <f aca="false">1</f>
        <v>1</v>
      </c>
      <c r="P56" s="81" t="n">
        <f aca="false">1</f>
        <v>1</v>
      </c>
      <c r="Q56" s="81" t="n">
        <f aca="false">1</f>
        <v>1</v>
      </c>
      <c r="R56" s="83" t="n">
        <f aca="false">INDEX(in_sel_damage,1,C56)</f>
        <v>0.015</v>
      </c>
      <c r="S56" s="83" t="n">
        <f aca="false">INDEX(in_mkt_dist_margin,1,C56)</f>
        <v>0.25</v>
      </c>
      <c r="T56" s="83" t="n">
        <f aca="false">INDEX(in_mkt_eflute_disc,1,C56)</f>
        <v>0.2</v>
      </c>
      <c r="U56" s="82" t="n">
        <f aca="false">INDEX(in_sel_credit_days,1,C56)</f>
        <v>45</v>
      </c>
      <c r="V56" s="81" t="n">
        <f aca="false">1</f>
        <v>1</v>
      </c>
      <c r="W56" s="83" t="n">
        <f aca="false">INDEX(in_sel_commission,1,C56)</f>
        <v>0.05</v>
      </c>
      <c r="X56" s="82" t="n">
        <f aca="false">1</f>
        <v>1</v>
      </c>
      <c r="Y56" s="85" t="n">
        <f aca="false">INDEX(cfg_u_3464,D56,C56)*O56</f>
        <v>20000</v>
      </c>
      <c r="Z56" s="85" t="n">
        <f aca="false">INDEX(cfg_u_3463,D56,C56)*O56</f>
        <v>20000</v>
      </c>
      <c r="AA56" s="85" t="n">
        <f aca="false">INDEX(cfg_u_3460,D56,C56)*O56</f>
        <v>20000</v>
      </c>
      <c r="AB56" s="85" t="n">
        <f aca="false">Y56+Z56+AA56</f>
        <v>60000</v>
      </c>
      <c r="AC56" s="86" t="n">
        <f aca="false">Y56*INDEX(lg_vpu_3464,C56)</f>
        <v>14.22784</v>
      </c>
      <c r="AD56" s="86" t="n">
        <f aca="false">Z56*INDEX(lg_vpu_3463,C56)</f>
        <v>17.40544</v>
      </c>
      <c r="AE56" s="86" t="n">
        <f aca="false">AA56*INDEX(lg_vpu_3460,C56)</f>
        <v>11.37024</v>
      </c>
      <c r="AF56" s="86" t="n">
        <f aca="false">AC56+AD56+AE56</f>
        <v>43.00352</v>
      </c>
      <c r="AG56" s="85" t="n">
        <f aca="false">Y56*INDEX(lg_kpu_3464,C56)+Z56*INDEX(lg_kpu_3463,C56)+AA56*INDEX(lg_kpu_3460,C56)</f>
        <v>10342.13472</v>
      </c>
      <c r="AH56" s="87" t="n">
        <f aca="false">INDEX(in_sup_requote,1,C56)</f>
        <v>0</v>
      </c>
      <c r="AI56" s="88" t="n">
        <f aca="false">Y56*q_price_3464*(1+AH56)*J56/I56</f>
        <v>3170.0735957313</v>
      </c>
      <c r="AJ56" s="88" t="n">
        <f aca="false">Z56*q_price_3463*(1+AH56)*J56/I56</f>
        <v>2993.85312687116</v>
      </c>
      <c r="AK56" s="88" t="n">
        <f aca="false">AA56*q_price_3460*(1+AH56)*J56/I56</f>
        <v>2614.8843766343</v>
      </c>
      <c r="AL56" s="88" t="n">
        <f aca="false">AI56+AJ56+AK56</f>
        <v>8778.81109923676</v>
      </c>
      <c r="AM56" s="88" t="n">
        <f aca="false">IF(OR(K56=2,K56=3),AL56*INDEX(in_sup_vat_rate,1,C56),0)</f>
        <v>1229.03355389315</v>
      </c>
      <c r="AN56" s="88" t="n">
        <f aca="false">IF(K56=3,AM56,0)</f>
        <v>0</v>
      </c>
      <c r="AO56" s="88" t="n">
        <f aca="false">INDEX(in_sup_tooling_egp,1,C56)/I56</f>
        <v>0</v>
      </c>
      <c r="AP56" s="88" t="n">
        <f aca="false">IF(F56=4,INDEX(in_ori_lcl_truck,1,C56)*V56/I56+INDEX(in_ori_lcl_cfs_o,1,C56),G56*(IF(F56=1,INDEX(in_ori_truck_20,1,C56),INDEX(in_ori_truck_40,1,C56))*V56/I56+INDEX(in_ori_terminal,1,C56)+IF(F56=1,INDEX(in_ori_othc_20,1,C56),INDEX(in_ori_othc_40,1,C56))*(1-INDEX(in_ori_othc_in_freight,1,C56))+INDEX(in_ori_seal,1,C56)+INDEX(in_ori_inspection,1,C56)+INDEX(in_ori_dd_days,1,C56)*IF(F56=1,INDEX(in_ori_dd_20,1,C56),INDEX(in_ori_dd_40,1,C56))+INDEX(in_ori_loading_egp,1,C56)/I56))</f>
        <v>555.278125165799</v>
      </c>
      <c r="AQ56" s="88" t="n">
        <f aca="false">(INDEX(in_ori_clearance,1,C56)+INDEX(in_ori_coo,1,C56))/I56+INDEX(in_ori_bl_fee,1,C56)+INDEX(in_ori_fwd_fee,1,C56)+INDEX(in_ori_qc,1,C56)+INDEX(in_ori_wires,1,C56)*INDEX(in_ori_wire_fee,1,C56)</f>
        <v>817.639062582899</v>
      </c>
      <c r="AR56" s="88" t="n">
        <f aca="false">AP56+AQ56</f>
        <v>1372.9171877487</v>
      </c>
      <c r="AS56" s="85" t="n">
        <f aca="false">INDEX(tbl_port_diff,H56,C56)</f>
        <v>0</v>
      </c>
      <c r="AT56" s="88" t="n">
        <f aca="false">IF(F56=4,MAX(AF56*INDEX(in_oce_lcl_factor,1,C56),AG56/1000,1)*INDEX(in_oce_lcl_rate,1,C56)*M56,G56*(INDEX(tbl_ocean_rate,MIN(F56,3),C56)+AS56)*M56)</f>
        <v>4000</v>
      </c>
      <c r="AU56" s="88" t="n">
        <f aca="false">AT56+INDEX(in_oce_ams,1,C56)</f>
        <v>4035</v>
      </c>
      <c r="AV56" s="88" t="n">
        <f aca="false">AI56*(1+IF(K56=3,INDEX(in_sup_vat_rate,1,C56),0))+AO56*Y56/AB56</f>
        <v>3170.0735957313</v>
      </c>
      <c r="AW56" s="88" t="n">
        <f aca="false">AJ56*(1+IF(K56=3,INDEX(in_sup_vat_rate,1,C56),0))+AO56*Z56/AB56</f>
        <v>2993.85312687116</v>
      </c>
      <c r="AX56" s="88" t="n">
        <f aca="false">AK56*(1+IF(K56=3,INDEX(in_sup_vat_rate,1,C56),0))+AO56*AA56/AB56</f>
        <v>2614.8843766343</v>
      </c>
      <c r="AY56" s="88" t="n">
        <f aca="false">AV56+AW56+AX56</f>
        <v>8778.81109923676</v>
      </c>
      <c r="AZ56" s="88" t="n">
        <f aca="false">MAX(INDEX(in_oce_ins_min,1,C56),INDEX(in_oce_ins_rate,1,C56)*(1+INDEX(in_oce_ins_uplift,1,C56))*(AL56+AO56+AR56+AU56))*(1-INDEX(in_oce_ins_in_other,1,C56))</f>
        <v>75</v>
      </c>
      <c r="BA56" s="87" t="n">
        <f aca="false">INDEX(in_cus_mfn,1,C56)+L56</f>
        <v>0.125</v>
      </c>
      <c r="BB56" s="88" t="n">
        <f aca="false">AY56*BA56</f>
        <v>1097.35138740459</v>
      </c>
      <c r="BC56" s="88" t="n">
        <f aca="false">MIN(MAX(AY56*INDEX(in_cus_mpf_rate,1,C56),INDEX(in_cus_mpf_min,1,C56)),INDEX(in_cus_mpf_max,1,C56))</f>
        <v>34.58</v>
      </c>
      <c r="BD56" s="88" t="n">
        <f aca="false">AY56*INDEX(in_cus_hmf,1,C56)</f>
        <v>10.9735138740459</v>
      </c>
      <c r="BE56" s="88" t="n">
        <f aca="false">MAX(INDEX(in_cus_stb_min,1,C56),INDEX(in_cus_stb_rate,1,C56)/1000*(AY56+BB56+BC56+BD56))</f>
        <v>75</v>
      </c>
      <c r="BF56" s="88" t="n">
        <f aca="false">INDEX(in_cus_broker,1,C56)+INDEX(in_cus_isf,1,C56)+INDEX(in_cus_do_fee,1,C56)+BE56+INDEX(in_cus_isf_bond,1,C56)</f>
        <v>510</v>
      </c>
      <c r="BG56" s="88" t="n">
        <f aca="false">IF(H56=1,INDEX(in_cus_cfc,1,C56)*INDEX(ct_teu,F56)*G56*(1-INDEX(in_cus_cfc_in_freight,1,C56)),0)</f>
        <v>29.6</v>
      </c>
      <c r="BH56" s="88" t="n">
        <f aca="false">IF(F56=4,1,G56)*(INDEX(in_cus_exam,1,C56)+INDEX(in_cus_exam_dray,1,C56))</f>
        <v>0</v>
      </c>
      <c r="BI56" s="88" t="n">
        <f aca="false">IF(F56=4,1,G56)*INDEX(in_cus_dem_days,1,C56)*INDEX(in_cus_dem_rate,1,C56)</f>
        <v>0</v>
      </c>
      <c r="BJ56" s="88" t="n">
        <f aca="false">BG56+BH56+BI56</f>
        <v>29.6</v>
      </c>
      <c r="BK56" s="88" t="n">
        <f aca="false">IF(F56=4,(INDEX(in_dra_lcl_cfs_d,1,C56)+INDEX(in_dra_lcl_deliv,1,C56))*P56,G56*(INDEX(tbl_dest_line,E56,C56)*P56*(1+INDEX(in_dra_fsc,1,C56))+INDEX(tbl_dest_tolls,E56,C56)+INDEX(in_dra_chassis_days,1,C56)*INDEX(tbl_dest_chassis,E56,C56)*(1-INDEX(in_dra_chassis_in_dray,1,C56))+INDEX(in_dra_wait_hours,1,C56)*INDEX(in_dra_wait_rate,1,C56)+INDEX(in_dra_split,1,C56)+INDEX(in_dra_prepull,1,C56)+INDEX(in_dra_dryrun,1,C56)))</f>
        <v>1350</v>
      </c>
      <c r="BL56" s="88" t="n">
        <f aca="false">IF(F56=4,0,G56*IF(F56=1,INDEX(in_dra_unload_20,1,C56),INDEX(in_dra_unload_40,1,C56))*Q56*(1-INDEX(in_dra_unload_in_dray,1,C56)))</f>
        <v>450</v>
      </c>
      <c r="BM56" s="88" t="n">
        <f aca="false">AL56+AN56+AO56+AR56+AU56+AZ56+BB56+BC56+BD56+BF56+BJ56+BK56+BL56</f>
        <v>17744.2331882641</v>
      </c>
      <c r="BN56" s="88" t="n">
        <f aca="false">AP56+AU56+BJ56+BK56+BL56</f>
        <v>6419.8781251658</v>
      </c>
      <c r="BO56" s="88" t="n">
        <f aca="false">AQ56+BF56</f>
        <v>1327.6390625829</v>
      </c>
      <c r="BP56" s="88" t="n">
        <f aca="false">AI56*(1+IF(K56=3,INDEX(in_sup_vat_rate,1,C56),0))+AO56*Y56/AB56+AV56*BA56+(BC56+BD56)*AV56/AY56+AZ56*AI56/AL56+BN56*AC56/AF56+BO56*Y56/AB56</f>
        <v>6176.44703946966</v>
      </c>
      <c r="BQ56" s="88" t="n">
        <f aca="false">AJ56*(1+IF(K56=3,INDEX(in_sup_vat_rate,1,C56),0))+AO56*Z56/AB56+AW56*BA56+(BC56+BD56)*AW56/AY56+AZ56*AJ56/AL56+BN56*AD56/AF56+BO56*Z56/AB56</f>
        <v>6450.15432563867</v>
      </c>
      <c r="BR56" s="88" t="n">
        <f aca="false">AK56*(1+IF(K56=3,INDEX(in_sup_vat_rate,1,C56),0))+AO56*AA56/AB56+AX56*BA56+(BC56+BD56)*AX56/AY56+AZ56*AK56/AL56+BN56*AE56/AF56+BO56*AA56/AB56</f>
        <v>5117.63182315578</v>
      </c>
      <c r="BS56" s="89" t="n">
        <f aca="false">BP56+BQ56+BR56-BM56</f>
        <v>0</v>
      </c>
      <c r="BT56" s="85" t="n">
        <f aca="false">Y56*(1-R56)</f>
        <v>19700</v>
      </c>
      <c r="BU56" s="85" t="n">
        <f aca="false">Z56*(1-R56)</f>
        <v>19700</v>
      </c>
      <c r="BV56" s="85" t="n">
        <f aca="false">AA56*(1-R56)</f>
        <v>19700</v>
      </c>
      <c r="BW56" s="85" t="n">
        <f aca="false">BT56+BU56+BV56</f>
        <v>59100</v>
      </c>
      <c r="BX56" s="90" t="n">
        <f aca="false">IF(BT56&gt;0,BP56/BT56,0)</f>
        <v>0.313525230429932</v>
      </c>
      <c r="BY56" s="90" t="n">
        <f aca="false">IF(BU56&gt;0,BQ56/BU56,0)</f>
        <v>0.327419001301455</v>
      </c>
      <c r="BZ56" s="90" t="n">
        <f aca="false">IF(BV56&gt;0,BR56/BV56,0)</f>
        <v>0.259778265134811</v>
      </c>
      <c r="CA56" s="90" t="n">
        <f aca="false">INDEX(in_mkt_listing_3464,1,C56)*(1-IF(sku_flute_3464="B",T56,0))*(1-S56)*N56</f>
        <v>0.234</v>
      </c>
      <c r="CB56" s="90" t="n">
        <f aca="false">INDEX(in_mkt_listing_3463,1,C56)*(1-IF(sku_flute_3463="B",T56,0))*(1-S56)*N56</f>
        <v>0.27</v>
      </c>
      <c r="CC56" s="90" t="n">
        <f aca="false">INDEX(in_mkt_listing_3460,1,C56)*(1-IF(sku_flute_3460="B",T56,0))*(1-S56)*N56</f>
        <v>0.225</v>
      </c>
      <c r="CD56" s="88" t="n">
        <f aca="false">BT56*CA56+BU56*CB56+BV56*CC56</f>
        <v>14361.3</v>
      </c>
      <c r="CE56" s="88" t="n">
        <f aca="false">CD56-BM56</f>
        <v>-3382.93318826409</v>
      </c>
      <c r="CF56" s="87" t="n">
        <f aca="false">IF(CD56&gt;0,CE56/CD56,0)</f>
        <v>-0.235558980612068</v>
      </c>
      <c r="CG56" s="87" t="n">
        <f aca="false">W56+INDEX(in_sel_processing,1,C56)+INDEX(in_sel_bad_debt,1,C56)</f>
        <v>0.058</v>
      </c>
      <c r="CH56" s="88" t="n">
        <f aca="false">CD56*CG56</f>
        <v>832.9554</v>
      </c>
      <c r="CI56" s="88" t="n">
        <f aca="false">INDEX(in_sel_testing,1,C56)*X56+INDEX(in_sel_admin,1,C56)</f>
        <v>3000</v>
      </c>
      <c r="CJ56" s="79" t="n">
        <f aca="false">INDEX(in_sup_lead_days,1,C56)</f>
        <v>21</v>
      </c>
      <c r="CK56" s="79" t="n">
        <f aca="false">CJ56+INDEX(in_oce_transit,1,C56)+IF(F56=4,INDEX(in_oce_lcl_extra_days,1,C56),0)</f>
        <v>51</v>
      </c>
      <c r="CL56" s="79" t="n">
        <f aca="false">CK56+2+INDEX(in_cus_dem_days,1,C56)</f>
        <v>53</v>
      </c>
      <c r="CM56" s="79" t="n">
        <f aca="false">CL56+U56</f>
        <v>98</v>
      </c>
      <c r="CN56" s="79" t="n">
        <f aca="false">CJ56+INDEX(in_sup_vat_lag,1,C56)</f>
        <v>81</v>
      </c>
      <c r="CO56" s="91" t="n">
        <f aca="false">INDEX(in_sup_advance,1,C56)</f>
        <v>0.5</v>
      </c>
      <c r="CP56" s="88" t="n">
        <f aca="false">CO56*(AL56+AM56)+AO56+INDEX(in_sel_testing,1,C56)*X56</f>
        <v>7503.92232656495</v>
      </c>
      <c r="CQ56" s="88" t="n">
        <f aca="false">(1-CO56)*(AL56+AM56)+AR56+AU56+AZ56</f>
        <v>10486.8395143137</v>
      </c>
      <c r="CR56" s="88" t="n">
        <f aca="false">BB56+BC56+BD56+BF56+BJ56</f>
        <v>1682.50490127864</v>
      </c>
      <c r="CS56" s="88" t="n">
        <f aca="false">BK56+BL56</f>
        <v>1800</v>
      </c>
      <c r="CT56" s="88" t="n">
        <f aca="false">IF(K56=2,AM56,0)</f>
        <v>1229.03355389315</v>
      </c>
      <c r="CU56" s="85" t="n">
        <f aca="false">IF(K56=2,CO56*AM56*(CN56-0)+(1-CO56)*AM56*(CN56-CJ56),0)</f>
        <v>86646.8655494668</v>
      </c>
      <c r="CV56" s="85" t="n">
        <f aca="false">(CP56-CO56*CT56)*(CM56-0)+(CQ56-(1-CO56)*CT56)*(CM56-CJ56)+CR56*(CM56-CK56)+CS56*(CM56-CL56)</f>
        <v>1595408.32499996</v>
      </c>
      <c r="CW56" s="88" t="n">
        <f aca="false">INDEX(in_sel_fin_rate,1,C56)/365*(CU56+CV56)</f>
        <v>460.837038506693</v>
      </c>
      <c r="CX56" s="85" t="n">
        <f aca="false">CP56-IF(CN56&lt;=0,CT56,0)</f>
        <v>7503.92232656495</v>
      </c>
      <c r="CY56" s="85" t="n">
        <f aca="false">CP56+CQ56-IF(CN56&lt;=CJ56,CT56,0)</f>
        <v>17990.7618408786</v>
      </c>
      <c r="CZ56" s="85" t="n">
        <f aca="false">CP56+CQ56+CR56-IF(CN56&lt;=CK56,CT56,0)</f>
        <v>19673.2667421572</v>
      </c>
      <c r="DA56" s="85" t="n">
        <f aca="false">CP56+CQ56+CR56+CS56-IF(CN56&lt;=CL56,CT56,0)</f>
        <v>21473.2667421572</v>
      </c>
      <c r="DB56" s="88" t="n">
        <f aca="false">MAX(CX56,CY56,CZ56,DA56)</f>
        <v>21473.2667421572</v>
      </c>
      <c r="DC56" s="88" t="n">
        <f aca="false">CP56+CQ56+CR56+CS56</f>
        <v>21473.2667421572</v>
      </c>
      <c r="DD56" s="88" t="n">
        <f aca="false">CE56-CH56-CI56-CW56</f>
        <v>-7676.72562677079</v>
      </c>
      <c r="DE56" s="87" t="n">
        <f aca="false">IF(CD56&gt;0,DD56/CD56,0)</f>
        <v>-0.534542529351158</v>
      </c>
      <c r="DF56" s="86" t="n">
        <f aca="false">IF(CD56&gt;0,(BM56+CI56+CW56)/(CD56*(1-CG56)),0)</f>
        <v>1.56745491438552</v>
      </c>
      <c r="DG56" s="90" t="n">
        <f aca="false">IF(BW56&gt;0,BM56/BW56,0)</f>
        <v>0.300240832288733</v>
      </c>
      <c r="DH56" s="90" t="n">
        <f aca="false">IF(BW56&gt;0,CD56/BW56,0)</f>
        <v>0.243</v>
      </c>
      <c r="DI56" s="90" t="n">
        <f aca="false">IF(AI56&gt;0,(AI56*IF(K56=3,INDEX(in_sup_vat_rate,1,C56),0)+AV56*BA56+(BC56+BD56)*AV56/AY56+AZ56*AI56/AL56)/AI56,0)</f>
        <v>0.138732328046622</v>
      </c>
      <c r="DJ56" s="90" t="n">
        <f aca="false">IF(AJ56&gt;0,(AJ56*IF(K56=3,INDEX(in_sup_vat_rate,1,C56),0)+AW56*BA56+(BC56+BD56)*AW56/AY56+AZ56*AJ56/AL56)/AJ56,0)</f>
        <v>0.138732328046622</v>
      </c>
      <c r="DK56" s="90" t="n">
        <f aca="false">IF(AK56&gt;0,(AK56*IF(K56=3,INDEX(in_sup_vat_rate,1,C56),0)+AX56*BA56+(BC56+BD56)*AX56/AY56+AZ56*AK56/AL56)/AK56,0)</f>
        <v>0.138732328046622</v>
      </c>
      <c r="DL56" s="90" t="n">
        <f aca="false">IF(Y56&gt;0,(BP56-AI56*(1+DI56))/Y56,0)</f>
        <v>0.128329087686172</v>
      </c>
      <c r="DM56" s="90" t="n">
        <f aca="false">IF(Z56&gt;0,(BQ56-AJ56*(1+DJ56))/Z56,0)</f>
        <v>0.152047849232351</v>
      </c>
      <c r="DN56" s="90" t="n">
        <f aca="false">IF(AA56&gt;0,(BR56-AK56*(1+DK56))/AA56,0)</f>
        <v>0.106998922468913</v>
      </c>
      <c r="DO56" s="86" t="n">
        <f aca="false">IF(Y56&gt;0,(CA56*(1-thr_gm_go)*(1-R56)-DL56)/(1+DI56)*I56/((1+AH56)*J56),"")</f>
        <v>2.06414250679252</v>
      </c>
      <c r="DP56" s="86" t="n">
        <f aca="false">IF(Z56&gt;0,(CB56*(1-thr_gm_go)*(1-R56)-DM56)/(1+DJ56)*I56/((1+AH56)*J56),"")</f>
        <v>2.1974424100394</v>
      </c>
      <c r="DQ56" s="86" t="n">
        <f aca="false">IF(AA56&gt;0,(CC56*(1-thr_gm_go)*(1-R56)-DN56)/(1+DK56)*I56/((1+AH56)*J56),"")</f>
        <v>2.74455592153845</v>
      </c>
      <c r="DR56" s="92" t="n">
        <f aca="false">IF(AND(AY56*INDEX(in_cus_mpf_rate,1,C56)&gt;INDEX(in_cus_mpf_min,1,C56),AY56*INDEX(in_cus_mpf_rate,1,C56)&lt;INDEX(in_cus_mpf_max,1,C56)),INDEX(in_cus_mpf_rate,1,C56),0)</f>
        <v>0</v>
      </c>
      <c r="DS56" s="88" t="n">
        <f aca="false">IF(AZ56&gt;INDEX(in_oce_ins_min,1,C56),INDEX(in_oce_ins_rate,1,C56)*(1+INDEX(in_oce_ins_uplift,1,C56))*AL56,0)</f>
        <v>0</v>
      </c>
      <c r="DT56" s="88" t="n">
        <f aca="false">(AL56+AN56)*(1+BA56+INDEX(in_cus_hmf,1,C56)+DR56)+DS56</f>
        <v>9887.1360005154</v>
      </c>
      <c r="DU56" s="86" t="n">
        <f aca="false">IF(DT56&gt;0,(CD56*(1-thr_gm_go)-(BM56-DT56))/DT56,0)</f>
        <v>0.294714041770985</v>
      </c>
      <c r="DV56" s="86" t="n">
        <f aca="false">IF(DT56&gt;0,(CD56-(BM56-DT56))/DT56,0)</f>
        <v>0.657844982805158</v>
      </c>
      <c r="DW56" s="87" t="n">
        <f aca="false">(1+AH56)*J56*DU56-1</f>
        <v>-0.705285958229015</v>
      </c>
      <c r="DX56" s="87" t="n">
        <f aca="false">(1+AH56)*J56*DV56-1</f>
        <v>-0.342155017194843</v>
      </c>
      <c r="DY56" s="85" t="n">
        <f aca="false">IF(G56&gt;0,(CD56*(1-thr_gm_go)-(BM56-AT56))/G56,"")</f>
        <v>-2973.25818826409</v>
      </c>
      <c r="DZ56" s="90" t="n">
        <f aca="false">IF(AB56&gt;0,(AL56+AN56+BB56+BC56+BD56)/AB56,0)</f>
        <v>0.165361933341923</v>
      </c>
      <c r="EA56" s="88" t="n">
        <f aca="false">BM56-DZ56*AB56</f>
        <v>7822.5171877487</v>
      </c>
      <c r="EB56" s="90" t="n">
        <f aca="false">IF(AB56&gt;0,CD56/AB56,0)</f>
        <v>0.239355</v>
      </c>
      <c r="EC56" s="85" t="n">
        <f aca="false">IF(EB56*(1-thr_gm_go)-DZ56&gt;0,EA56/(EB56*(1-thr_gm_go)-DZ56),"n/a")</f>
        <v>552659.473199295</v>
      </c>
      <c r="ED56" s="85" t="n">
        <f aca="false">IF(EB56-DZ56&gt;0,EA56/(EB56-DZ56),"n/a")</f>
        <v>105719.596998144</v>
      </c>
      <c r="EE56" s="93" t="b">
        <f aca="false">INDEX(cfg_fits,D56,C56)</f>
        <v>1</v>
      </c>
      <c r="EF56" s="87" t="n">
        <f aca="false">IF(F56=4,"",INDEX(cfg_lenutil,D56,C56))</f>
        <v>0.795641240569992</v>
      </c>
      <c r="EG56" s="31" t="str">
        <f aca="false">IF(O56&gt;1,"Check fit (units scaled up)","")</f>
        <v/>
      </c>
    </row>
    <row r="57" customFormat="false" ht="15" hidden="false" customHeight="false" outlineLevel="0" collapsed="false">
      <c r="A57" s="78" t="n">
        <v>2013</v>
      </c>
      <c r="B57" s="9" t="s">
        <v>3205</v>
      </c>
      <c r="C57" s="78" t="n">
        <v>2</v>
      </c>
      <c r="D57" s="78" t="n">
        <v>1</v>
      </c>
      <c r="E57" s="78" t="n">
        <v>3</v>
      </c>
      <c r="F57" s="79" t="n">
        <f aca="false">INDEX(cfg_ct,D57)</f>
        <v>3</v>
      </c>
      <c r="G57" s="79" t="n">
        <f aca="false">INDEX(cfg_n,D57)</f>
        <v>1</v>
      </c>
      <c r="H57" s="79" t="n">
        <f aca="false">INDEX(dest_port,E57)</f>
        <v>2</v>
      </c>
      <c r="I57" s="80" t="n">
        <f aca="false">INDEX(in_fx_cbe,1,C57)*(1-INDEX(in_fx_spread,1,C57))</f>
        <v>52.7748</v>
      </c>
      <c r="J57" s="81" t="n">
        <f aca="false">1</f>
        <v>1</v>
      </c>
      <c r="K57" s="82" t="n">
        <f aca="false">INDEX(in_sup_vat_mode,1,C57)</f>
        <v>2</v>
      </c>
      <c r="L57" s="83" t="n">
        <f aca="false">INDEX(in_cus_s301,1,C57)</f>
        <v>0.125</v>
      </c>
      <c r="M57" s="84" t="n">
        <f aca="false">1</f>
        <v>1</v>
      </c>
      <c r="N57" s="81" t="n">
        <f aca="false">1</f>
        <v>1</v>
      </c>
      <c r="O57" s="81" t="n">
        <f aca="false">1</f>
        <v>1</v>
      </c>
      <c r="P57" s="81" t="n">
        <f aca="false">1</f>
        <v>1</v>
      </c>
      <c r="Q57" s="81" t="n">
        <f aca="false">1</f>
        <v>1</v>
      </c>
      <c r="R57" s="83" t="n">
        <f aca="false">INDEX(in_sel_damage,1,C57)</f>
        <v>0.015</v>
      </c>
      <c r="S57" s="83" t="n">
        <f aca="false">INDEX(in_mkt_dist_margin,1,C57)</f>
        <v>0.25</v>
      </c>
      <c r="T57" s="83" t="n">
        <f aca="false">INDEX(in_mkt_eflute_disc,1,C57)</f>
        <v>0.2</v>
      </c>
      <c r="U57" s="82" t="n">
        <f aca="false">INDEX(in_sel_credit_days,1,C57)</f>
        <v>45</v>
      </c>
      <c r="V57" s="81" t="n">
        <f aca="false">1</f>
        <v>1</v>
      </c>
      <c r="W57" s="83" t="n">
        <f aca="false">INDEX(in_sel_commission,1,C57)</f>
        <v>0.05</v>
      </c>
      <c r="X57" s="82" t="n">
        <f aca="false">1</f>
        <v>1</v>
      </c>
      <c r="Y57" s="85" t="n">
        <f aca="false">INDEX(cfg_u_3464,D57,C57)*O57</f>
        <v>20000</v>
      </c>
      <c r="Z57" s="85" t="n">
        <f aca="false">INDEX(cfg_u_3463,D57,C57)*O57</f>
        <v>20000</v>
      </c>
      <c r="AA57" s="85" t="n">
        <f aca="false">INDEX(cfg_u_3460,D57,C57)*O57</f>
        <v>20000</v>
      </c>
      <c r="AB57" s="85" t="n">
        <f aca="false">Y57+Z57+AA57</f>
        <v>60000</v>
      </c>
      <c r="AC57" s="86" t="n">
        <f aca="false">Y57*INDEX(lg_vpu_3464,C57)</f>
        <v>14.22784</v>
      </c>
      <c r="AD57" s="86" t="n">
        <f aca="false">Z57*INDEX(lg_vpu_3463,C57)</f>
        <v>17.40544</v>
      </c>
      <c r="AE57" s="86" t="n">
        <f aca="false">AA57*INDEX(lg_vpu_3460,C57)</f>
        <v>11.37024</v>
      </c>
      <c r="AF57" s="86" t="n">
        <f aca="false">AC57+AD57+AE57</f>
        <v>43.00352</v>
      </c>
      <c r="AG57" s="85" t="n">
        <f aca="false">Y57*INDEX(lg_kpu_3464,C57)+Z57*INDEX(lg_kpu_3463,C57)+AA57*INDEX(lg_kpu_3460,C57)</f>
        <v>10342.13472</v>
      </c>
      <c r="AH57" s="87" t="n">
        <f aca="false">INDEX(in_sup_requote,1,C57)</f>
        <v>0</v>
      </c>
      <c r="AI57" s="88" t="n">
        <f aca="false">Y57*q_price_3464*(1+AH57)*J57/I57</f>
        <v>3170.0735957313</v>
      </c>
      <c r="AJ57" s="88" t="n">
        <f aca="false">Z57*q_price_3463*(1+AH57)*J57/I57</f>
        <v>2993.85312687116</v>
      </c>
      <c r="AK57" s="88" t="n">
        <f aca="false">AA57*q_price_3460*(1+AH57)*J57/I57</f>
        <v>2614.8843766343</v>
      </c>
      <c r="AL57" s="88" t="n">
        <f aca="false">AI57+AJ57+AK57</f>
        <v>8778.81109923676</v>
      </c>
      <c r="AM57" s="88" t="n">
        <f aca="false">IF(OR(K57=2,K57=3),AL57*INDEX(in_sup_vat_rate,1,C57),0)</f>
        <v>1229.03355389315</v>
      </c>
      <c r="AN57" s="88" t="n">
        <f aca="false">IF(K57=3,AM57,0)</f>
        <v>0</v>
      </c>
      <c r="AO57" s="88" t="n">
        <f aca="false">INDEX(in_sup_tooling_egp,1,C57)/I57</f>
        <v>0</v>
      </c>
      <c r="AP57" s="88" t="n">
        <f aca="false">IF(F57=4,INDEX(in_ori_lcl_truck,1,C57)*V57/I57+INDEX(in_ori_lcl_cfs_o,1,C57),G57*(IF(F57=1,INDEX(in_ori_truck_20,1,C57),INDEX(in_ori_truck_40,1,C57))*V57/I57+INDEX(in_ori_terminal,1,C57)+IF(F57=1,INDEX(in_ori_othc_20,1,C57),INDEX(in_ori_othc_40,1,C57))*(1-INDEX(in_ori_othc_in_freight,1,C57))+INDEX(in_ori_seal,1,C57)+INDEX(in_ori_inspection,1,C57)+INDEX(in_ori_dd_days,1,C57)*IF(F57=1,INDEX(in_ori_dd_20,1,C57),INDEX(in_ori_dd_40,1,C57))+INDEX(in_ori_loading_egp,1,C57)/I57))</f>
        <v>555.278125165799</v>
      </c>
      <c r="AQ57" s="88" t="n">
        <f aca="false">(INDEX(in_ori_clearance,1,C57)+INDEX(in_ori_coo,1,C57))/I57+INDEX(in_ori_bl_fee,1,C57)+INDEX(in_ori_fwd_fee,1,C57)+INDEX(in_ori_qc,1,C57)+INDEX(in_ori_wires,1,C57)*INDEX(in_ori_wire_fee,1,C57)</f>
        <v>817.639062582899</v>
      </c>
      <c r="AR57" s="88" t="n">
        <f aca="false">AP57+AQ57</f>
        <v>1372.9171877487</v>
      </c>
      <c r="AS57" s="85" t="n">
        <f aca="false">INDEX(tbl_port_diff,H57,C57)</f>
        <v>150</v>
      </c>
      <c r="AT57" s="88" t="n">
        <f aca="false">IF(F57=4,MAX(AF57*INDEX(in_oce_lcl_factor,1,C57),AG57/1000,1)*INDEX(in_oce_lcl_rate,1,C57)*M57,G57*(INDEX(tbl_ocean_rate,MIN(F57,3),C57)+AS57)*M57)</f>
        <v>4150</v>
      </c>
      <c r="AU57" s="88" t="n">
        <f aca="false">AT57+INDEX(in_oce_ams,1,C57)</f>
        <v>4185</v>
      </c>
      <c r="AV57" s="88" t="n">
        <f aca="false">AI57*(1+IF(K57=3,INDEX(in_sup_vat_rate,1,C57),0))+AO57*Y57/AB57</f>
        <v>3170.0735957313</v>
      </c>
      <c r="AW57" s="88" t="n">
        <f aca="false">AJ57*(1+IF(K57=3,INDEX(in_sup_vat_rate,1,C57),0))+AO57*Z57/AB57</f>
        <v>2993.85312687116</v>
      </c>
      <c r="AX57" s="88" t="n">
        <f aca="false">AK57*(1+IF(K57=3,INDEX(in_sup_vat_rate,1,C57),0))+AO57*AA57/AB57</f>
        <v>2614.8843766343</v>
      </c>
      <c r="AY57" s="88" t="n">
        <f aca="false">AV57+AW57+AX57</f>
        <v>8778.81109923676</v>
      </c>
      <c r="AZ57" s="88" t="n">
        <f aca="false">MAX(INDEX(in_oce_ins_min,1,C57),INDEX(in_oce_ins_rate,1,C57)*(1+INDEX(in_oce_ins_uplift,1,C57))*(AL57+AO57+AR57+AU57))*(1-INDEX(in_oce_ins_in_other,1,C57))</f>
        <v>75</v>
      </c>
      <c r="BA57" s="87" t="n">
        <f aca="false">INDEX(in_cus_mfn,1,C57)+L57</f>
        <v>0.125</v>
      </c>
      <c r="BB57" s="88" t="n">
        <f aca="false">AY57*BA57</f>
        <v>1097.35138740459</v>
      </c>
      <c r="BC57" s="88" t="n">
        <f aca="false">MIN(MAX(AY57*INDEX(in_cus_mpf_rate,1,C57),INDEX(in_cus_mpf_min,1,C57)),INDEX(in_cus_mpf_max,1,C57))</f>
        <v>34.58</v>
      </c>
      <c r="BD57" s="88" t="n">
        <f aca="false">AY57*INDEX(in_cus_hmf,1,C57)</f>
        <v>10.9735138740459</v>
      </c>
      <c r="BE57" s="88" t="n">
        <f aca="false">MAX(INDEX(in_cus_stb_min,1,C57),INDEX(in_cus_stb_rate,1,C57)/1000*(AY57+BB57+BC57+BD57))</f>
        <v>75</v>
      </c>
      <c r="BF57" s="88" t="n">
        <f aca="false">INDEX(in_cus_broker,1,C57)+INDEX(in_cus_isf,1,C57)+INDEX(in_cus_do_fee,1,C57)+BE57+INDEX(in_cus_isf_bond,1,C57)</f>
        <v>510</v>
      </c>
      <c r="BG57" s="88" t="n">
        <f aca="false">IF(H57=1,INDEX(in_cus_cfc,1,C57)*INDEX(ct_teu,F57)*G57*(1-INDEX(in_cus_cfc_in_freight,1,C57)),0)</f>
        <v>0</v>
      </c>
      <c r="BH57" s="88" t="n">
        <f aca="false">IF(F57=4,1,G57)*(INDEX(in_cus_exam,1,C57)+INDEX(in_cus_exam_dray,1,C57))</f>
        <v>0</v>
      </c>
      <c r="BI57" s="88" t="n">
        <f aca="false">IF(F57=4,1,G57)*INDEX(in_cus_dem_days,1,C57)*INDEX(in_cus_dem_rate,1,C57)</f>
        <v>0</v>
      </c>
      <c r="BJ57" s="88" t="n">
        <f aca="false">BG57+BH57+BI57</f>
        <v>0</v>
      </c>
      <c r="BK57" s="88" t="n">
        <f aca="false">IF(F57=4,(INDEX(in_dra_lcl_cfs_d,1,C57)+INDEX(in_dra_lcl_deliv,1,C57))*P57,G57*(INDEX(tbl_dest_line,E57,C57)*P57*(1+INDEX(in_dra_fsc,1,C57))+INDEX(tbl_dest_tolls,E57,C57)+INDEX(in_dra_chassis_days,1,C57)*INDEX(tbl_dest_chassis,E57,C57)*(1-INDEX(in_dra_chassis_in_dray,1,C57))+INDEX(in_dra_wait_hours,1,C57)*INDEX(in_dra_wait_rate,1,C57)+INDEX(in_dra_split,1,C57)+INDEX(in_dra_prepull,1,C57)+INDEX(in_dra_dryrun,1,C57)))</f>
        <v>904</v>
      </c>
      <c r="BL57" s="88" t="n">
        <f aca="false">IF(F57=4,0,G57*IF(F57=1,INDEX(in_dra_unload_20,1,C57),INDEX(in_dra_unload_40,1,C57))*Q57*(1-INDEX(in_dra_unload_in_dray,1,C57)))</f>
        <v>450</v>
      </c>
      <c r="BM57" s="88" t="n">
        <f aca="false">AL57+AN57+AO57+AR57+AU57+AZ57+BB57+BC57+BD57+BF57+BJ57+BK57+BL57</f>
        <v>17418.6331882641</v>
      </c>
      <c r="BN57" s="88" t="n">
        <f aca="false">AP57+AU57+BJ57+BK57+BL57</f>
        <v>6094.2781251658</v>
      </c>
      <c r="BO57" s="88" t="n">
        <f aca="false">AQ57+BF57</f>
        <v>1327.6390625829</v>
      </c>
      <c r="BP57" s="88" t="n">
        <f aca="false">AI57*(1+IF(K57=3,INDEX(in_sup_vat_rate,1,C57),0))+AO57*Y57/AB57+AV57*BA57+(BC57+BD57)*AV57/AY57+AZ57*AI57/AL57+BN57*AC57/AF57+BO57*Y57/AB57</f>
        <v>6068.72132994634</v>
      </c>
      <c r="BQ57" s="88" t="n">
        <f aca="false">AJ57*(1+IF(K57=3,INDEX(in_sup_vat_rate,1,C57),0))+AO57*Z57/AB57+AW57*BA57+(BC57+BD57)*AW57/AY57+AZ57*AJ57/AL57+BN57*AD57/AF57+BO57*Z57/AB57</f>
        <v>6318.36950281486</v>
      </c>
      <c r="BR57" s="88" t="n">
        <f aca="false">AK57*(1+IF(K57=3,INDEX(in_sup_vat_rate,1,C57),0))+AO57*AA57/AB57+AX57*BA57+(BC57+BD57)*AX57/AY57+AZ57*AK57/AL57+BN57*AE57/AF57+BO57*AA57/AB57</f>
        <v>5031.5423555029</v>
      </c>
      <c r="BS57" s="89" t="n">
        <f aca="false">BP57+BQ57+BR57-BM57</f>
        <v>0</v>
      </c>
      <c r="BT57" s="85" t="n">
        <f aca="false">Y57*(1-R57)</f>
        <v>19700</v>
      </c>
      <c r="BU57" s="85" t="n">
        <f aca="false">Z57*(1-R57)</f>
        <v>19700</v>
      </c>
      <c r="BV57" s="85" t="n">
        <f aca="false">AA57*(1-R57)</f>
        <v>19700</v>
      </c>
      <c r="BW57" s="85" t="n">
        <f aca="false">BT57+BU57+BV57</f>
        <v>59100</v>
      </c>
      <c r="BX57" s="90" t="n">
        <f aca="false">IF(BT57&gt;0,BP57/BT57,0)</f>
        <v>0.308056920301845</v>
      </c>
      <c r="BY57" s="90" t="n">
        <f aca="false">IF(BU57&gt;0,BQ57/BU57,0)</f>
        <v>0.320729416386541</v>
      </c>
      <c r="BZ57" s="90" t="n">
        <f aca="false">IF(BV57&gt;0,BR57/BV57,0)</f>
        <v>0.255408241396086</v>
      </c>
      <c r="CA57" s="90" t="n">
        <f aca="false">INDEX(in_mkt_listing_3464,1,C57)*(1-IF(sku_flute_3464="B",T57,0))*(1-S57)*N57</f>
        <v>0.234</v>
      </c>
      <c r="CB57" s="90" t="n">
        <f aca="false">INDEX(in_mkt_listing_3463,1,C57)*(1-IF(sku_flute_3463="B",T57,0))*(1-S57)*N57</f>
        <v>0.27</v>
      </c>
      <c r="CC57" s="90" t="n">
        <f aca="false">INDEX(in_mkt_listing_3460,1,C57)*(1-IF(sku_flute_3460="B",T57,0))*(1-S57)*N57</f>
        <v>0.225</v>
      </c>
      <c r="CD57" s="88" t="n">
        <f aca="false">BT57*CA57+BU57*CB57+BV57*CC57</f>
        <v>14361.3</v>
      </c>
      <c r="CE57" s="88" t="n">
        <f aca="false">CD57-BM57</f>
        <v>-3057.33318826409</v>
      </c>
      <c r="CF57" s="87" t="n">
        <f aca="false">IF(CD57&gt;0,CE57/CD57,0)</f>
        <v>-0.212886938387478</v>
      </c>
      <c r="CG57" s="87" t="n">
        <f aca="false">W57+INDEX(in_sel_processing,1,C57)+INDEX(in_sel_bad_debt,1,C57)</f>
        <v>0.058</v>
      </c>
      <c r="CH57" s="88" t="n">
        <f aca="false">CD57*CG57</f>
        <v>832.9554</v>
      </c>
      <c r="CI57" s="88" t="n">
        <f aca="false">INDEX(in_sel_testing,1,C57)*X57+INDEX(in_sel_admin,1,C57)</f>
        <v>3000</v>
      </c>
      <c r="CJ57" s="79" t="n">
        <f aca="false">INDEX(in_sup_lead_days,1,C57)</f>
        <v>21</v>
      </c>
      <c r="CK57" s="79" t="n">
        <f aca="false">CJ57+INDEX(in_oce_transit,1,C57)+IF(F57=4,INDEX(in_oce_lcl_extra_days,1,C57),0)</f>
        <v>51</v>
      </c>
      <c r="CL57" s="79" t="n">
        <f aca="false">CK57+2+INDEX(in_cus_dem_days,1,C57)</f>
        <v>53</v>
      </c>
      <c r="CM57" s="79" t="n">
        <f aca="false">CL57+U57</f>
        <v>98</v>
      </c>
      <c r="CN57" s="79" t="n">
        <f aca="false">CJ57+INDEX(in_sup_vat_lag,1,C57)</f>
        <v>81</v>
      </c>
      <c r="CO57" s="91" t="n">
        <f aca="false">INDEX(in_sup_advance,1,C57)</f>
        <v>0.5</v>
      </c>
      <c r="CP57" s="88" t="n">
        <f aca="false">CO57*(AL57+AM57)+AO57+INDEX(in_sel_testing,1,C57)*X57</f>
        <v>7503.92232656495</v>
      </c>
      <c r="CQ57" s="88" t="n">
        <f aca="false">(1-CO57)*(AL57+AM57)+AR57+AU57+AZ57</f>
        <v>10636.8395143137</v>
      </c>
      <c r="CR57" s="88" t="n">
        <f aca="false">BB57+BC57+BD57+BF57+BJ57</f>
        <v>1652.90490127864</v>
      </c>
      <c r="CS57" s="88" t="n">
        <f aca="false">BK57+BL57</f>
        <v>1354</v>
      </c>
      <c r="CT57" s="88" t="n">
        <f aca="false">IF(K57=2,AM57,0)</f>
        <v>1229.03355389315</v>
      </c>
      <c r="CU57" s="85" t="n">
        <f aca="false">IF(K57=2,CO57*AM57*(CN57-0)+(1-CO57)*AM57*(CN57-CJ57),0)</f>
        <v>86646.8655494668</v>
      </c>
      <c r="CV57" s="85" t="n">
        <f aca="false">(CP57-CO57*CT57)*(CM57-0)+(CQ57-(1-CO57)*CT57)*(CM57-CJ57)+CR57*(CM57-CK57)+CS57*(CM57-CL57)</f>
        <v>1585497.12499996</v>
      </c>
      <c r="CW57" s="88" t="n">
        <f aca="false">INDEX(in_sel_fin_rate,1,C57)/365*(CU57+CV57)</f>
        <v>458.121641246419</v>
      </c>
      <c r="CX57" s="85" t="n">
        <f aca="false">CP57-IF(CN57&lt;=0,CT57,0)</f>
        <v>7503.92232656495</v>
      </c>
      <c r="CY57" s="85" t="n">
        <f aca="false">CP57+CQ57-IF(CN57&lt;=CJ57,CT57,0)</f>
        <v>18140.7618408786</v>
      </c>
      <c r="CZ57" s="85" t="n">
        <f aca="false">CP57+CQ57+CR57-IF(CN57&lt;=CK57,CT57,0)</f>
        <v>19793.6667421572</v>
      </c>
      <c r="DA57" s="85" t="n">
        <f aca="false">CP57+CQ57+CR57+CS57-IF(CN57&lt;=CL57,CT57,0)</f>
        <v>21147.6667421572</v>
      </c>
      <c r="DB57" s="88" t="n">
        <f aca="false">MAX(CX57,CY57,CZ57,DA57)</f>
        <v>21147.6667421572</v>
      </c>
      <c r="DC57" s="88" t="n">
        <f aca="false">CP57+CQ57+CR57+CS57</f>
        <v>21147.6667421572</v>
      </c>
      <c r="DD57" s="88" t="n">
        <f aca="false">CE57-CH57-CI57-CW57</f>
        <v>-7348.41022951051</v>
      </c>
      <c r="DE57" s="87" t="n">
        <f aca="false">IF(CD57&gt;0,DD57/CD57,0)</f>
        <v>-0.511681409726871</v>
      </c>
      <c r="DF57" s="86" t="n">
        <f aca="false">IF(CD57&gt;0,(BM57+CI57+CW57)/(CD57*(1-CG57)),0)</f>
        <v>1.54318620990114</v>
      </c>
      <c r="DG57" s="90" t="n">
        <f aca="false">IF(BW57&gt;0,BM57/BW57,0)</f>
        <v>0.294731526028157</v>
      </c>
      <c r="DH57" s="90" t="n">
        <f aca="false">IF(BW57&gt;0,CD57/BW57,0)</f>
        <v>0.243</v>
      </c>
      <c r="DI57" s="90" t="n">
        <f aca="false">IF(AI57&gt;0,(AI57*IF(K57=3,INDEX(in_sup_vat_rate,1,C57),0)+AV57*BA57+(BC57+BD57)*AV57/AY57+AZ57*AI57/AL57)/AI57,0)</f>
        <v>0.138732328046622</v>
      </c>
      <c r="DJ57" s="90" t="n">
        <f aca="false">IF(AJ57&gt;0,(AJ57*IF(K57=3,INDEX(in_sup_vat_rate,1,C57),0)+AW57*BA57+(BC57+BD57)*AW57/AY57+AZ57*AJ57/AL57)/AJ57,0)</f>
        <v>0.138732328046622</v>
      </c>
      <c r="DK57" s="90" t="n">
        <f aca="false">IF(AK57&gt;0,(AK57*IF(K57=3,INDEX(in_sup_vat_rate,1,C57),0)+AX57*BA57+(BC57+BD57)*AX57/AY57+AZ57*AK57/AL57)/AK57,0)</f>
        <v>0.138732328046622</v>
      </c>
      <c r="DL57" s="90" t="n">
        <f aca="false">IF(Y57&gt;0,(BP57-AI57*(1+DI57))/Y57,0)</f>
        <v>0.122942802210006</v>
      </c>
      <c r="DM57" s="90" t="n">
        <f aca="false">IF(Z57&gt;0,(BQ57-AJ57*(1+DJ57))/Z57,0)</f>
        <v>0.14545860809116</v>
      </c>
      <c r="DN57" s="90" t="n">
        <f aca="false">IF(AA57&gt;0,(BR57-AK57*(1+DK57))/AA57,0)</f>
        <v>0.102694449086269</v>
      </c>
      <c r="DO57" s="86" t="n">
        <f aca="false">IF(Y57&gt;0,(CA57*(1-thr_gm_go)*(1-R57)-DL57)/(1+DI57)*I57/((1+AH57)*J57),"")</f>
        <v>2.31377109091743</v>
      </c>
      <c r="DP57" s="86" t="n">
        <f aca="false">IF(Z57&gt;0,(CB57*(1-thr_gm_go)*(1-R57)-DM57)/(1+DJ57)*I57/((1+AH57)*J57),"")</f>
        <v>2.50282223883078</v>
      </c>
      <c r="DQ57" s="86" t="n">
        <f aca="false">IF(AA57&gt;0,(CC57*(1-thr_gm_go)*(1-R57)-DN57)/(1+DK57)*I57/((1+AH57)*J57),"")</f>
        <v>2.94404768644166</v>
      </c>
      <c r="DR57" s="92" t="n">
        <f aca="false">IF(AND(AY57*INDEX(in_cus_mpf_rate,1,C57)&gt;INDEX(in_cus_mpf_min,1,C57),AY57*INDEX(in_cus_mpf_rate,1,C57)&lt;INDEX(in_cus_mpf_max,1,C57)),INDEX(in_cus_mpf_rate,1,C57),0)</f>
        <v>0</v>
      </c>
      <c r="DS57" s="88" t="n">
        <f aca="false">IF(AZ57&gt;INDEX(in_oce_ins_min,1,C57),INDEX(in_oce_ins_rate,1,C57)*(1+INDEX(in_oce_ins_uplift,1,C57))*AL57,0)</f>
        <v>0</v>
      </c>
      <c r="DT57" s="88" t="n">
        <f aca="false">(AL57+AN57)*(1+BA57+INDEX(in_cus_hmf,1,C57)+DR57)+DS57</f>
        <v>9887.1360005154</v>
      </c>
      <c r="DU57" s="86" t="n">
        <f aca="false">IF(DT57&gt;0,(CD57*(1-thr_gm_go)-(BM57-DT57))/DT57,0)</f>
        <v>0.327645721883712</v>
      </c>
      <c r="DV57" s="86" t="n">
        <f aca="false">IF(DT57&gt;0,(CD57-(BM57-DT57))/DT57,0)</f>
        <v>0.690776662917884</v>
      </c>
      <c r="DW57" s="87" t="n">
        <f aca="false">(1+AH57)*J57*DU57-1</f>
        <v>-0.672354278116288</v>
      </c>
      <c r="DX57" s="87" t="n">
        <f aca="false">(1+AH57)*J57*DV57-1</f>
        <v>-0.309223337082116</v>
      </c>
      <c r="DY57" s="85" t="n">
        <f aca="false">IF(G57&gt;0,(CD57*(1-thr_gm_go)-(BM57-AT57))/G57,"")</f>
        <v>-2497.6581882641</v>
      </c>
      <c r="DZ57" s="90" t="n">
        <f aca="false">IF(AB57&gt;0,(AL57+AN57+BB57+BC57+BD57)/AB57,0)</f>
        <v>0.165361933341923</v>
      </c>
      <c r="EA57" s="88" t="n">
        <f aca="false">BM57-DZ57*AB57</f>
        <v>7496.9171877487</v>
      </c>
      <c r="EB57" s="90" t="n">
        <f aca="false">IF(AB57&gt;0,CD57/AB57,0)</f>
        <v>0.239355</v>
      </c>
      <c r="EC57" s="85" t="n">
        <f aca="false">IF(EB57*(1-thr_gm_go)-DZ57&gt;0,EA57/(EB57*(1-thr_gm_go)-DZ57),"n/a")</f>
        <v>529655.890061694</v>
      </c>
      <c r="ED57" s="85" t="n">
        <f aca="false">IF(EB57-DZ57&gt;0,EA57/(EB57-DZ57),"n/a")</f>
        <v>101319.184706752</v>
      </c>
      <c r="EE57" s="93" t="b">
        <f aca="false">INDEX(cfg_fits,D57,C57)</f>
        <v>1</v>
      </c>
      <c r="EF57" s="87" t="n">
        <f aca="false">IF(F57=4,"",INDEX(cfg_lenutil,D57,C57))</f>
        <v>0.795641240569992</v>
      </c>
      <c r="EG57" s="31" t="str">
        <f aca="false">IF(O57&gt;1,"Check fit (units scaled up)","")</f>
        <v/>
      </c>
    </row>
    <row r="58" customFormat="false" ht="15" hidden="false" customHeight="false" outlineLevel="0" collapsed="false">
      <c r="A58" s="78" t="n">
        <v>2014</v>
      </c>
      <c r="B58" s="9" t="s">
        <v>3206</v>
      </c>
      <c r="C58" s="78" t="n">
        <v>2</v>
      </c>
      <c r="D58" s="78" t="n">
        <v>1</v>
      </c>
      <c r="E58" s="78" t="n">
        <v>4</v>
      </c>
      <c r="F58" s="79" t="n">
        <f aca="false">INDEX(cfg_ct,D58)</f>
        <v>3</v>
      </c>
      <c r="G58" s="79" t="n">
        <f aca="false">INDEX(cfg_n,D58)</f>
        <v>1</v>
      </c>
      <c r="H58" s="79" t="n">
        <f aca="false">INDEX(dest_port,E58)</f>
        <v>3</v>
      </c>
      <c r="I58" s="80" t="n">
        <f aca="false">INDEX(in_fx_cbe,1,C58)*(1-INDEX(in_fx_spread,1,C58))</f>
        <v>52.7748</v>
      </c>
      <c r="J58" s="81" t="n">
        <f aca="false">1</f>
        <v>1</v>
      </c>
      <c r="K58" s="82" t="n">
        <f aca="false">INDEX(in_sup_vat_mode,1,C58)</f>
        <v>2</v>
      </c>
      <c r="L58" s="83" t="n">
        <f aca="false">INDEX(in_cus_s301,1,C58)</f>
        <v>0.125</v>
      </c>
      <c r="M58" s="84" t="n">
        <f aca="false">1</f>
        <v>1</v>
      </c>
      <c r="N58" s="81" t="n">
        <f aca="false">1</f>
        <v>1</v>
      </c>
      <c r="O58" s="81" t="n">
        <f aca="false">1</f>
        <v>1</v>
      </c>
      <c r="P58" s="81" t="n">
        <f aca="false">1</f>
        <v>1</v>
      </c>
      <c r="Q58" s="81" t="n">
        <f aca="false">1</f>
        <v>1</v>
      </c>
      <c r="R58" s="83" t="n">
        <f aca="false">INDEX(in_sel_damage,1,C58)</f>
        <v>0.015</v>
      </c>
      <c r="S58" s="83" t="n">
        <f aca="false">INDEX(in_mkt_dist_margin,1,C58)</f>
        <v>0.25</v>
      </c>
      <c r="T58" s="83" t="n">
        <f aca="false">INDEX(in_mkt_eflute_disc,1,C58)</f>
        <v>0.2</v>
      </c>
      <c r="U58" s="82" t="n">
        <f aca="false">INDEX(in_sel_credit_days,1,C58)</f>
        <v>45</v>
      </c>
      <c r="V58" s="81" t="n">
        <f aca="false">1</f>
        <v>1</v>
      </c>
      <c r="W58" s="83" t="n">
        <f aca="false">INDEX(in_sel_commission,1,C58)</f>
        <v>0.05</v>
      </c>
      <c r="X58" s="82" t="n">
        <f aca="false">1</f>
        <v>1</v>
      </c>
      <c r="Y58" s="85" t="n">
        <f aca="false">INDEX(cfg_u_3464,D58,C58)*O58</f>
        <v>20000</v>
      </c>
      <c r="Z58" s="85" t="n">
        <f aca="false">INDEX(cfg_u_3463,D58,C58)*O58</f>
        <v>20000</v>
      </c>
      <c r="AA58" s="85" t="n">
        <f aca="false">INDEX(cfg_u_3460,D58,C58)*O58</f>
        <v>20000</v>
      </c>
      <c r="AB58" s="85" t="n">
        <f aca="false">Y58+Z58+AA58</f>
        <v>60000</v>
      </c>
      <c r="AC58" s="86" t="n">
        <f aca="false">Y58*INDEX(lg_vpu_3464,C58)</f>
        <v>14.22784</v>
      </c>
      <c r="AD58" s="86" t="n">
        <f aca="false">Z58*INDEX(lg_vpu_3463,C58)</f>
        <v>17.40544</v>
      </c>
      <c r="AE58" s="86" t="n">
        <f aca="false">AA58*INDEX(lg_vpu_3460,C58)</f>
        <v>11.37024</v>
      </c>
      <c r="AF58" s="86" t="n">
        <f aca="false">AC58+AD58+AE58</f>
        <v>43.00352</v>
      </c>
      <c r="AG58" s="85" t="n">
        <f aca="false">Y58*INDEX(lg_kpu_3464,C58)+Z58*INDEX(lg_kpu_3463,C58)+AA58*INDEX(lg_kpu_3460,C58)</f>
        <v>10342.13472</v>
      </c>
      <c r="AH58" s="87" t="n">
        <f aca="false">INDEX(in_sup_requote,1,C58)</f>
        <v>0</v>
      </c>
      <c r="AI58" s="88" t="n">
        <f aca="false">Y58*q_price_3464*(1+AH58)*J58/I58</f>
        <v>3170.0735957313</v>
      </c>
      <c r="AJ58" s="88" t="n">
        <f aca="false">Z58*q_price_3463*(1+AH58)*J58/I58</f>
        <v>2993.85312687116</v>
      </c>
      <c r="AK58" s="88" t="n">
        <f aca="false">AA58*q_price_3460*(1+AH58)*J58/I58</f>
        <v>2614.8843766343</v>
      </c>
      <c r="AL58" s="88" t="n">
        <f aca="false">AI58+AJ58+AK58</f>
        <v>8778.81109923676</v>
      </c>
      <c r="AM58" s="88" t="n">
        <f aca="false">IF(OR(K58=2,K58=3),AL58*INDEX(in_sup_vat_rate,1,C58),0)</f>
        <v>1229.03355389315</v>
      </c>
      <c r="AN58" s="88" t="n">
        <f aca="false">IF(K58=3,AM58,0)</f>
        <v>0</v>
      </c>
      <c r="AO58" s="88" t="n">
        <f aca="false">INDEX(in_sup_tooling_egp,1,C58)/I58</f>
        <v>0</v>
      </c>
      <c r="AP58" s="88" t="n">
        <f aca="false">IF(F58=4,INDEX(in_ori_lcl_truck,1,C58)*V58/I58+INDEX(in_ori_lcl_cfs_o,1,C58),G58*(IF(F58=1,INDEX(in_ori_truck_20,1,C58),INDEX(in_ori_truck_40,1,C58))*V58/I58+INDEX(in_ori_terminal,1,C58)+IF(F58=1,INDEX(in_ori_othc_20,1,C58),INDEX(in_ori_othc_40,1,C58))*(1-INDEX(in_ori_othc_in_freight,1,C58))+INDEX(in_ori_seal,1,C58)+INDEX(in_ori_inspection,1,C58)+INDEX(in_ori_dd_days,1,C58)*IF(F58=1,INDEX(in_ori_dd_20,1,C58),INDEX(in_ori_dd_40,1,C58))+INDEX(in_ori_loading_egp,1,C58)/I58))</f>
        <v>555.278125165799</v>
      </c>
      <c r="AQ58" s="88" t="n">
        <f aca="false">(INDEX(in_ori_clearance,1,C58)+INDEX(in_ori_coo,1,C58))/I58+INDEX(in_ori_bl_fee,1,C58)+INDEX(in_ori_fwd_fee,1,C58)+INDEX(in_ori_qc,1,C58)+INDEX(in_ori_wires,1,C58)*INDEX(in_ori_wire_fee,1,C58)</f>
        <v>817.639062582899</v>
      </c>
      <c r="AR58" s="88" t="n">
        <f aca="false">AP58+AQ58</f>
        <v>1372.9171877487</v>
      </c>
      <c r="AS58" s="85" t="n">
        <f aca="false">INDEX(tbl_port_diff,H58,C58)</f>
        <v>0</v>
      </c>
      <c r="AT58" s="88" t="n">
        <f aca="false">IF(F58=4,MAX(AF58*INDEX(in_oce_lcl_factor,1,C58),AG58/1000,1)*INDEX(in_oce_lcl_rate,1,C58)*M58,G58*(INDEX(tbl_ocean_rate,MIN(F58,3),C58)+AS58)*M58)</f>
        <v>4000</v>
      </c>
      <c r="AU58" s="88" t="n">
        <f aca="false">AT58+INDEX(in_oce_ams,1,C58)</f>
        <v>4035</v>
      </c>
      <c r="AV58" s="88" t="n">
        <f aca="false">AI58*(1+IF(K58=3,INDEX(in_sup_vat_rate,1,C58),0))+AO58*Y58/AB58</f>
        <v>3170.0735957313</v>
      </c>
      <c r="AW58" s="88" t="n">
        <f aca="false">AJ58*(1+IF(K58=3,INDEX(in_sup_vat_rate,1,C58),0))+AO58*Z58/AB58</f>
        <v>2993.85312687116</v>
      </c>
      <c r="AX58" s="88" t="n">
        <f aca="false">AK58*(1+IF(K58=3,INDEX(in_sup_vat_rate,1,C58),0))+AO58*AA58/AB58</f>
        <v>2614.8843766343</v>
      </c>
      <c r="AY58" s="88" t="n">
        <f aca="false">AV58+AW58+AX58</f>
        <v>8778.81109923676</v>
      </c>
      <c r="AZ58" s="88" t="n">
        <f aca="false">MAX(INDEX(in_oce_ins_min,1,C58),INDEX(in_oce_ins_rate,1,C58)*(1+INDEX(in_oce_ins_uplift,1,C58))*(AL58+AO58+AR58+AU58))*(1-INDEX(in_oce_ins_in_other,1,C58))</f>
        <v>75</v>
      </c>
      <c r="BA58" s="87" t="n">
        <f aca="false">INDEX(in_cus_mfn,1,C58)+L58</f>
        <v>0.125</v>
      </c>
      <c r="BB58" s="88" t="n">
        <f aca="false">AY58*BA58</f>
        <v>1097.35138740459</v>
      </c>
      <c r="BC58" s="88" t="n">
        <f aca="false">MIN(MAX(AY58*INDEX(in_cus_mpf_rate,1,C58),INDEX(in_cus_mpf_min,1,C58)),INDEX(in_cus_mpf_max,1,C58))</f>
        <v>34.58</v>
      </c>
      <c r="BD58" s="88" t="n">
        <f aca="false">AY58*INDEX(in_cus_hmf,1,C58)</f>
        <v>10.9735138740459</v>
      </c>
      <c r="BE58" s="88" t="n">
        <f aca="false">MAX(INDEX(in_cus_stb_min,1,C58),INDEX(in_cus_stb_rate,1,C58)/1000*(AY58+BB58+BC58+BD58))</f>
        <v>75</v>
      </c>
      <c r="BF58" s="88" t="n">
        <f aca="false">INDEX(in_cus_broker,1,C58)+INDEX(in_cus_isf,1,C58)+INDEX(in_cus_do_fee,1,C58)+BE58+INDEX(in_cus_isf_bond,1,C58)</f>
        <v>510</v>
      </c>
      <c r="BG58" s="88" t="n">
        <f aca="false">IF(H58=1,INDEX(in_cus_cfc,1,C58)*INDEX(ct_teu,F58)*G58*(1-INDEX(in_cus_cfc_in_freight,1,C58)),0)</f>
        <v>0</v>
      </c>
      <c r="BH58" s="88" t="n">
        <f aca="false">IF(F58=4,1,G58)*(INDEX(in_cus_exam,1,C58)+INDEX(in_cus_exam_dray,1,C58))</f>
        <v>0</v>
      </c>
      <c r="BI58" s="88" t="n">
        <f aca="false">IF(F58=4,1,G58)*INDEX(in_cus_dem_days,1,C58)*INDEX(in_cus_dem_rate,1,C58)</f>
        <v>0</v>
      </c>
      <c r="BJ58" s="88" t="n">
        <f aca="false">BG58+BH58+BI58</f>
        <v>0</v>
      </c>
      <c r="BK58" s="88" t="n">
        <f aca="false">IF(F58=4,(INDEX(in_dra_lcl_cfs_d,1,C58)+INDEX(in_dra_lcl_deliv,1,C58))*P58,G58*(INDEX(tbl_dest_line,E58,C58)*P58*(1+INDEX(in_dra_fsc,1,C58))+INDEX(tbl_dest_tolls,E58,C58)+INDEX(in_dra_chassis_days,1,C58)*INDEX(tbl_dest_chassis,E58,C58)*(1-INDEX(in_dra_chassis_in_dray,1,C58))+INDEX(in_dra_wait_hours,1,C58)*INDEX(in_dra_wait_rate,1,C58)+INDEX(in_dra_split,1,C58)+INDEX(in_dra_prepull,1,C58)+INDEX(in_dra_dryrun,1,C58)))</f>
        <v>1504</v>
      </c>
      <c r="BL58" s="88" t="n">
        <f aca="false">IF(F58=4,0,G58*IF(F58=1,INDEX(in_dra_unload_20,1,C58),INDEX(in_dra_unload_40,1,C58))*Q58*(1-INDEX(in_dra_unload_in_dray,1,C58)))</f>
        <v>450</v>
      </c>
      <c r="BM58" s="88" t="n">
        <f aca="false">AL58+AN58+AO58+AR58+AU58+AZ58+BB58+BC58+BD58+BF58+BJ58+BK58+BL58</f>
        <v>17868.6331882641</v>
      </c>
      <c r="BN58" s="88" t="n">
        <f aca="false">AP58+AU58+BJ58+BK58+BL58</f>
        <v>6544.2781251658</v>
      </c>
      <c r="BO58" s="88" t="n">
        <f aca="false">AQ58+BF58</f>
        <v>1327.6390625829</v>
      </c>
      <c r="BP58" s="88" t="n">
        <f aca="false">AI58*(1+IF(K58=3,INDEX(in_sup_vat_rate,1,C58),0))+AO58*Y58/AB58+AV58*BA58+(BC58+BD58)*AV58/AY58+AZ58*AI58/AL58+BN58*AC58/AF58+BO58*Y58/AB58</f>
        <v>6217.60514224822</v>
      </c>
      <c r="BQ58" s="88" t="n">
        <f aca="false">AJ58*(1+IF(K58=3,INDEX(in_sup_vat_rate,1,C58),0))+AO58*Z58/AB58+AW58*BA58+(BC58+BD58)*AW58/AY58+AZ58*AJ58/AL58+BN58*AD58/AF58+BO58*Z58/AB58</f>
        <v>6500.50454664383</v>
      </c>
      <c r="BR58" s="88" t="n">
        <f aca="false">AK58*(1+IF(K58=3,INDEX(in_sup_vat_rate,1,C58),0))+AO58*AA58/AB58+AX58*BA58+(BC58+BD58)*AX58/AY58+AZ58*AK58/AL58+BN58*AE58/AF58+BO58*AA58/AB58</f>
        <v>5150.52349937205</v>
      </c>
      <c r="BS58" s="89" t="n">
        <f aca="false">BP58+BQ58+BR58-BM58</f>
        <v>0</v>
      </c>
      <c r="BT58" s="85" t="n">
        <f aca="false">Y58*(1-R58)</f>
        <v>19700</v>
      </c>
      <c r="BU58" s="85" t="n">
        <f aca="false">Z58*(1-R58)</f>
        <v>19700</v>
      </c>
      <c r="BV58" s="85" t="n">
        <f aca="false">AA58*(1-R58)</f>
        <v>19700</v>
      </c>
      <c r="BW58" s="85" t="n">
        <f aca="false">BT58+BU58+BV58</f>
        <v>59100</v>
      </c>
      <c r="BX58" s="90" t="n">
        <f aca="false">IF(BT58&gt;0,BP58/BT58,0)</f>
        <v>0.315614474225798</v>
      </c>
      <c r="BY58" s="90" t="n">
        <f aca="false">IF(BU58&gt;0,BQ58/BU58,0)</f>
        <v>0.329974850083443</v>
      </c>
      <c r="BZ58" s="90" t="n">
        <f aca="false">IF(BV58&gt;0,BR58/BV58,0)</f>
        <v>0.26144789336914</v>
      </c>
      <c r="CA58" s="90" t="n">
        <f aca="false">INDEX(in_mkt_listing_3464,1,C58)*(1-IF(sku_flute_3464="B",T58,0))*(1-S58)*N58</f>
        <v>0.234</v>
      </c>
      <c r="CB58" s="90" t="n">
        <f aca="false">INDEX(in_mkt_listing_3463,1,C58)*(1-IF(sku_flute_3463="B",T58,0))*(1-S58)*N58</f>
        <v>0.27</v>
      </c>
      <c r="CC58" s="90" t="n">
        <f aca="false">INDEX(in_mkt_listing_3460,1,C58)*(1-IF(sku_flute_3460="B",T58,0))*(1-S58)*N58</f>
        <v>0.225</v>
      </c>
      <c r="CD58" s="88" t="n">
        <f aca="false">BT58*CA58+BU58*CB58+BV58*CC58</f>
        <v>14361.3</v>
      </c>
      <c r="CE58" s="88" t="n">
        <f aca="false">CD58-BM58</f>
        <v>-3507.33318826409</v>
      </c>
      <c r="CF58" s="87" t="n">
        <f aca="false">IF(CD58&gt;0,CE58/CD58,0)</f>
        <v>-0.244221149078711</v>
      </c>
      <c r="CG58" s="87" t="n">
        <f aca="false">W58+INDEX(in_sel_processing,1,C58)+INDEX(in_sel_bad_debt,1,C58)</f>
        <v>0.058</v>
      </c>
      <c r="CH58" s="88" t="n">
        <f aca="false">CD58*CG58</f>
        <v>832.9554</v>
      </c>
      <c r="CI58" s="88" t="n">
        <f aca="false">INDEX(in_sel_testing,1,C58)*X58+INDEX(in_sel_admin,1,C58)</f>
        <v>3000</v>
      </c>
      <c r="CJ58" s="79" t="n">
        <f aca="false">INDEX(in_sup_lead_days,1,C58)</f>
        <v>21</v>
      </c>
      <c r="CK58" s="79" t="n">
        <f aca="false">CJ58+INDEX(in_oce_transit,1,C58)+IF(F58=4,INDEX(in_oce_lcl_extra_days,1,C58),0)</f>
        <v>51</v>
      </c>
      <c r="CL58" s="79" t="n">
        <f aca="false">CK58+2+INDEX(in_cus_dem_days,1,C58)</f>
        <v>53</v>
      </c>
      <c r="CM58" s="79" t="n">
        <f aca="false">CL58+U58</f>
        <v>98</v>
      </c>
      <c r="CN58" s="79" t="n">
        <f aca="false">CJ58+INDEX(in_sup_vat_lag,1,C58)</f>
        <v>81</v>
      </c>
      <c r="CO58" s="91" t="n">
        <f aca="false">INDEX(in_sup_advance,1,C58)</f>
        <v>0.5</v>
      </c>
      <c r="CP58" s="88" t="n">
        <f aca="false">CO58*(AL58+AM58)+AO58+INDEX(in_sel_testing,1,C58)*X58</f>
        <v>7503.92232656495</v>
      </c>
      <c r="CQ58" s="88" t="n">
        <f aca="false">(1-CO58)*(AL58+AM58)+AR58+AU58+AZ58</f>
        <v>10486.8395143137</v>
      </c>
      <c r="CR58" s="88" t="n">
        <f aca="false">BB58+BC58+BD58+BF58+BJ58</f>
        <v>1652.90490127864</v>
      </c>
      <c r="CS58" s="88" t="n">
        <f aca="false">BK58+BL58</f>
        <v>1954</v>
      </c>
      <c r="CT58" s="88" t="n">
        <f aca="false">IF(K58=2,AM58,0)</f>
        <v>1229.03355389315</v>
      </c>
      <c r="CU58" s="85" t="n">
        <f aca="false">IF(K58=2,CO58*AM58*(CN58-0)+(1-CO58)*AM58*(CN58-CJ58),0)</f>
        <v>86646.8655494668</v>
      </c>
      <c r="CV58" s="85" t="n">
        <f aca="false">(CP58-CO58*CT58)*(CM58-0)+(CQ58-(1-CO58)*CT58)*(CM58-CJ58)+CR58*(CM58-CK58)+CS58*(CM58-CL58)</f>
        <v>1600947.12499996</v>
      </c>
      <c r="CW58" s="88" t="n">
        <f aca="false">INDEX(in_sel_fin_rate,1,C58)/365*(CU58+CV58)</f>
        <v>462.354517958748</v>
      </c>
      <c r="CX58" s="85" t="n">
        <f aca="false">CP58-IF(CN58&lt;=0,CT58,0)</f>
        <v>7503.92232656495</v>
      </c>
      <c r="CY58" s="85" t="n">
        <f aca="false">CP58+CQ58-IF(CN58&lt;=CJ58,CT58,0)</f>
        <v>17990.7618408786</v>
      </c>
      <c r="CZ58" s="85" t="n">
        <f aca="false">CP58+CQ58+CR58-IF(CN58&lt;=CK58,CT58,0)</f>
        <v>19643.6667421572</v>
      </c>
      <c r="DA58" s="85" t="n">
        <f aca="false">CP58+CQ58+CR58+CS58-IF(CN58&lt;=CL58,CT58,0)</f>
        <v>21597.6667421572</v>
      </c>
      <c r="DB58" s="88" t="n">
        <f aca="false">MAX(CX58,CY58,CZ58,DA58)</f>
        <v>21597.6667421572</v>
      </c>
      <c r="DC58" s="88" t="n">
        <f aca="false">CP58+CQ58+CR58+CS58</f>
        <v>21597.6667421572</v>
      </c>
      <c r="DD58" s="88" t="n">
        <f aca="false">CE58-CH58-CI58-CW58</f>
        <v>-7802.64310622284</v>
      </c>
      <c r="DE58" s="87" t="n">
        <f aca="false">IF(CD58&gt;0,DD58/CD58,0)</f>
        <v>-0.543310362308624</v>
      </c>
      <c r="DF58" s="86" t="n">
        <f aca="false">IF(CD58&gt;0,(BM58+CI58+CW58)/(CD58*(1-CG58)),0)</f>
        <v>1.57676259268431</v>
      </c>
      <c r="DG58" s="90" t="n">
        <f aca="false">IF(BW58&gt;0,BM58/BW58,0)</f>
        <v>0.302345739226127</v>
      </c>
      <c r="DH58" s="90" t="n">
        <f aca="false">IF(BW58&gt;0,CD58/BW58,0)</f>
        <v>0.243</v>
      </c>
      <c r="DI58" s="90" t="n">
        <f aca="false">IF(AI58&gt;0,(AI58*IF(K58=3,INDEX(in_sup_vat_rate,1,C58),0)+AV58*BA58+(BC58+BD58)*AV58/AY58+AZ58*AI58/AL58)/AI58,0)</f>
        <v>0.138732328046622</v>
      </c>
      <c r="DJ58" s="90" t="n">
        <f aca="false">IF(AJ58&gt;0,(AJ58*IF(K58=3,INDEX(in_sup_vat_rate,1,C58),0)+AW58*BA58+(BC58+BD58)*AW58/AY58+AZ58*AJ58/AL58)/AJ58,0)</f>
        <v>0.138732328046622</v>
      </c>
      <c r="DK58" s="90" t="n">
        <f aca="false">IF(AK58&gt;0,(AK58*IF(K58=3,INDEX(in_sup_vat_rate,1,C58),0)+AX58*BA58+(BC58+BD58)*AX58/AY58+AZ58*AK58/AL58)/AK58,0)</f>
        <v>0.138732328046622</v>
      </c>
      <c r="DL58" s="90" t="n">
        <f aca="false">IF(Y58&gt;0,(BP58-AI58*(1+DI58))/Y58,0)</f>
        <v>0.1303869928251</v>
      </c>
      <c r="DM58" s="90" t="n">
        <f aca="false">IF(Z58&gt;0,(BQ58-AJ58*(1+DJ58))/Z58,0)</f>
        <v>0.154565360282609</v>
      </c>
      <c r="DN58" s="90" t="n">
        <f aca="false">IF(AA58&gt;0,(BR58-AK58*(1+DK58))/AA58,0)</f>
        <v>0.108643506279726</v>
      </c>
      <c r="DO58" s="86" t="n">
        <f aca="false">IF(Y58&gt;0,(CA58*(1-thr_gm_go)*(1-R58)-DL58)/(1+DI58)*I58/((1+AH58)*J58),"")</f>
        <v>1.96876844086764</v>
      </c>
      <c r="DP58" s="86" t="n">
        <f aca="false">IF(Z58&gt;0,(CB58*(1-thr_gm_go)*(1-R58)-DM58)/(1+DJ58)*I58/((1+AH58)*J58),"")</f>
        <v>2.08076780714736</v>
      </c>
      <c r="DQ58" s="86" t="n">
        <f aca="false">IF(AA58&gt;0,(CC58*(1-thr_gm_go)*(1-R58)-DN58)/(1+DK58)*I58/((1+AH58)*J58),"")</f>
        <v>2.66833732339975</v>
      </c>
      <c r="DR58" s="92" t="n">
        <f aca="false">IF(AND(AY58*INDEX(in_cus_mpf_rate,1,C58)&gt;INDEX(in_cus_mpf_min,1,C58),AY58*INDEX(in_cus_mpf_rate,1,C58)&lt;INDEX(in_cus_mpf_max,1,C58)),INDEX(in_cus_mpf_rate,1,C58),0)</f>
        <v>0</v>
      </c>
      <c r="DS58" s="88" t="n">
        <f aca="false">IF(AZ58&gt;INDEX(in_oce_ins_min,1,C58),INDEX(in_oce_ins_rate,1,C58)*(1+INDEX(in_oce_ins_uplift,1,C58))*AL58,0)</f>
        <v>0</v>
      </c>
      <c r="DT58" s="88" t="n">
        <f aca="false">(AL58+AN58)*(1+BA58+INDEX(in_cus_hmf,1,C58)+DR58)+DS58</f>
        <v>9887.1360005154</v>
      </c>
      <c r="DU58" s="86" t="n">
        <f aca="false">IF(DT58&gt;0,(CD58*(1-thr_gm_go)-(BM58-DT58))/DT58,0)</f>
        <v>0.28213203622423</v>
      </c>
      <c r="DV58" s="86" t="n">
        <f aca="false">IF(DT58&gt;0,(CD58-(BM58-DT58))/DT58,0)</f>
        <v>0.645262977258403</v>
      </c>
      <c r="DW58" s="87" t="n">
        <f aca="false">(1+AH58)*J58*DU58-1</f>
        <v>-0.71786796377577</v>
      </c>
      <c r="DX58" s="87" t="n">
        <f aca="false">(1+AH58)*J58*DV58-1</f>
        <v>-0.354737022741597</v>
      </c>
      <c r="DY58" s="85" t="n">
        <f aca="false">IF(G58&gt;0,(CD58*(1-thr_gm_go)-(BM58-AT58))/G58,"")</f>
        <v>-3097.6581882641</v>
      </c>
      <c r="DZ58" s="90" t="n">
        <f aca="false">IF(AB58&gt;0,(AL58+AN58+BB58+BC58+BD58)/AB58,0)</f>
        <v>0.165361933341923</v>
      </c>
      <c r="EA58" s="88" t="n">
        <f aca="false">BM58-DZ58*AB58</f>
        <v>7946.9171877487</v>
      </c>
      <c r="EB58" s="90" t="n">
        <f aca="false">IF(AB58&gt;0,CD58/AB58,0)</f>
        <v>0.239355</v>
      </c>
      <c r="EC58" s="85" t="n">
        <f aca="false">IF(EB58*(1-thr_gm_go)-DZ58&gt;0,EA58/(EB58*(1-thr_gm_go)-DZ58),"n/a")</f>
        <v>561448.311474227</v>
      </c>
      <c r="ED58" s="85" t="n">
        <f aca="false">IF(EB58-DZ58&gt;0,EA58/(EB58-DZ58),"n/a")</f>
        <v>107400.835600875</v>
      </c>
      <c r="EE58" s="93" t="b">
        <f aca="false">INDEX(cfg_fits,D58,C58)</f>
        <v>1</v>
      </c>
      <c r="EF58" s="87" t="n">
        <f aca="false">IF(F58=4,"",INDEX(cfg_lenutil,D58,C58))</f>
        <v>0.795641240569992</v>
      </c>
      <c r="EG58" s="31" t="str">
        <f aca="false">IF(O58&gt;1,"Check fit (units scaled up)","")</f>
        <v/>
      </c>
    </row>
    <row r="59" customFormat="false" ht="15" hidden="false" customHeight="false" outlineLevel="0" collapsed="false">
      <c r="A59" s="78" t="n">
        <v>2015</v>
      </c>
      <c r="B59" s="9" t="s">
        <v>3207</v>
      </c>
      <c r="C59" s="78" t="n">
        <v>2</v>
      </c>
      <c r="D59" s="78" t="n">
        <v>1</v>
      </c>
      <c r="E59" s="78" t="n">
        <v>5</v>
      </c>
      <c r="F59" s="79" t="n">
        <f aca="false">INDEX(cfg_ct,D59)</f>
        <v>3</v>
      </c>
      <c r="G59" s="79" t="n">
        <f aca="false">INDEX(cfg_n,D59)</f>
        <v>1</v>
      </c>
      <c r="H59" s="79" t="n">
        <f aca="false">INDEX(dest_port,E59)</f>
        <v>4</v>
      </c>
      <c r="I59" s="80" t="n">
        <f aca="false">INDEX(in_fx_cbe,1,C59)*(1-INDEX(in_fx_spread,1,C59))</f>
        <v>52.7748</v>
      </c>
      <c r="J59" s="81" t="n">
        <f aca="false">1</f>
        <v>1</v>
      </c>
      <c r="K59" s="82" t="n">
        <f aca="false">INDEX(in_sup_vat_mode,1,C59)</f>
        <v>2</v>
      </c>
      <c r="L59" s="83" t="n">
        <f aca="false">INDEX(in_cus_s301,1,C59)</f>
        <v>0.125</v>
      </c>
      <c r="M59" s="84" t="n">
        <f aca="false">1</f>
        <v>1</v>
      </c>
      <c r="N59" s="81" t="n">
        <f aca="false">1</f>
        <v>1</v>
      </c>
      <c r="O59" s="81" t="n">
        <f aca="false">1</f>
        <v>1</v>
      </c>
      <c r="P59" s="81" t="n">
        <f aca="false">1</f>
        <v>1</v>
      </c>
      <c r="Q59" s="81" t="n">
        <f aca="false">1</f>
        <v>1</v>
      </c>
      <c r="R59" s="83" t="n">
        <f aca="false">INDEX(in_sel_damage,1,C59)</f>
        <v>0.015</v>
      </c>
      <c r="S59" s="83" t="n">
        <f aca="false">INDEX(in_mkt_dist_margin,1,C59)</f>
        <v>0.25</v>
      </c>
      <c r="T59" s="83" t="n">
        <f aca="false">INDEX(in_mkt_eflute_disc,1,C59)</f>
        <v>0.2</v>
      </c>
      <c r="U59" s="82" t="n">
        <f aca="false">INDEX(in_sel_credit_days,1,C59)</f>
        <v>45</v>
      </c>
      <c r="V59" s="81" t="n">
        <f aca="false">1</f>
        <v>1</v>
      </c>
      <c r="W59" s="83" t="n">
        <f aca="false">INDEX(in_sel_commission,1,C59)</f>
        <v>0.05</v>
      </c>
      <c r="X59" s="82" t="n">
        <f aca="false">1</f>
        <v>1</v>
      </c>
      <c r="Y59" s="85" t="n">
        <f aca="false">INDEX(cfg_u_3464,D59,C59)*O59</f>
        <v>20000</v>
      </c>
      <c r="Z59" s="85" t="n">
        <f aca="false">INDEX(cfg_u_3463,D59,C59)*O59</f>
        <v>20000</v>
      </c>
      <c r="AA59" s="85" t="n">
        <f aca="false">INDEX(cfg_u_3460,D59,C59)*O59</f>
        <v>20000</v>
      </c>
      <c r="AB59" s="85" t="n">
        <f aca="false">Y59+Z59+AA59</f>
        <v>60000</v>
      </c>
      <c r="AC59" s="86" t="n">
        <f aca="false">Y59*INDEX(lg_vpu_3464,C59)</f>
        <v>14.22784</v>
      </c>
      <c r="AD59" s="86" t="n">
        <f aca="false">Z59*INDEX(lg_vpu_3463,C59)</f>
        <v>17.40544</v>
      </c>
      <c r="AE59" s="86" t="n">
        <f aca="false">AA59*INDEX(lg_vpu_3460,C59)</f>
        <v>11.37024</v>
      </c>
      <c r="AF59" s="86" t="n">
        <f aca="false">AC59+AD59+AE59</f>
        <v>43.00352</v>
      </c>
      <c r="AG59" s="85" t="n">
        <f aca="false">Y59*INDEX(lg_kpu_3464,C59)+Z59*INDEX(lg_kpu_3463,C59)+AA59*INDEX(lg_kpu_3460,C59)</f>
        <v>10342.13472</v>
      </c>
      <c r="AH59" s="87" t="n">
        <f aca="false">INDEX(in_sup_requote,1,C59)</f>
        <v>0</v>
      </c>
      <c r="AI59" s="88" t="n">
        <f aca="false">Y59*q_price_3464*(1+AH59)*J59/I59</f>
        <v>3170.0735957313</v>
      </c>
      <c r="AJ59" s="88" t="n">
        <f aca="false">Z59*q_price_3463*(1+AH59)*J59/I59</f>
        <v>2993.85312687116</v>
      </c>
      <c r="AK59" s="88" t="n">
        <f aca="false">AA59*q_price_3460*(1+AH59)*J59/I59</f>
        <v>2614.8843766343</v>
      </c>
      <c r="AL59" s="88" t="n">
        <f aca="false">AI59+AJ59+AK59</f>
        <v>8778.81109923676</v>
      </c>
      <c r="AM59" s="88" t="n">
        <f aca="false">IF(OR(K59=2,K59=3),AL59*INDEX(in_sup_vat_rate,1,C59),0)</f>
        <v>1229.03355389315</v>
      </c>
      <c r="AN59" s="88" t="n">
        <f aca="false">IF(K59=3,AM59,0)</f>
        <v>0</v>
      </c>
      <c r="AO59" s="88" t="n">
        <f aca="false">INDEX(in_sup_tooling_egp,1,C59)/I59</f>
        <v>0</v>
      </c>
      <c r="AP59" s="88" t="n">
        <f aca="false">IF(F59=4,INDEX(in_ori_lcl_truck,1,C59)*V59/I59+INDEX(in_ori_lcl_cfs_o,1,C59),G59*(IF(F59=1,INDEX(in_ori_truck_20,1,C59),INDEX(in_ori_truck_40,1,C59))*V59/I59+INDEX(in_ori_terminal,1,C59)+IF(F59=1,INDEX(in_ori_othc_20,1,C59),INDEX(in_ori_othc_40,1,C59))*(1-INDEX(in_ori_othc_in_freight,1,C59))+INDEX(in_ori_seal,1,C59)+INDEX(in_ori_inspection,1,C59)+INDEX(in_ori_dd_days,1,C59)*IF(F59=1,INDEX(in_ori_dd_20,1,C59),INDEX(in_ori_dd_40,1,C59))+INDEX(in_ori_loading_egp,1,C59)/I59))</f>
        <v>555.278125165799</v>
      </c>
      <c r="AQ59" s="88" t="n">
        <f aca="false">(INDEX(in_ori_clearance,1,C59)+INDEX(in_ori_coo,1,C59))/I59+INDEX(in_ori_bl_fee,1,C59)+INDEX(in_ori_fwd_fee,1,C59)+INDEX(in_ori_qc,1,C59)+INDEX(in_ori_wires,1,C59)*INDEX(in_ori_wire_fee,1,C59)</f>
        <v>817.639062582899</v>
      </c>
      <c r="AR59" s="88" t="n">
        <f aca="false">AP59+AQ59</f>
        <v>1372.9171877487</v>
      </c>
      <c r="AS59" s="85" t="n">
        <f aca="false">INDEX(tbl_port_diff,H59,C59)</f>
        <v>100</v>
      </c>
      <c r="AT59" s="88" t="n">
        <f aca="false">IF(F59=4,MAX(AF59*INDEX(in_oce_lcl_factor,1,C59),AG59/1000,1)*INDEX(in_oce_lcl_rate,1,C59)*M59,G59*(INDEX(tbl_ocean_rate,MIN(F59,3),C59)+AS59)*M59)</f>
        <v>4100</v>
      </c>
      <c r="AU59" s="88" t="n">
        <f aca="false">AT59+INDEX(in_oce_ams,1,C59)</f>
        <v>4135</v>
      </c>
      <c r="AV59" s="88" t="n">
        <f aca="false">AI59*(1+IF(K59=3,INDEX(in_sup_vat_rate,1,C59),0))+AO59*Y59/AB59</f>
        <v>3170.0735957313</v>
      </c>
      <c r="AW59" s="88" t="n">
        <f aca="false">AJ59*(1+IF(K59=3,INDEX(in_sup_vat_rate,1,C59),0))+AO59*Z59/AB59</f>
        <v>2993.85312687116</v>
      </c>
      <c r="AX59" s="88" t="n">
        <f aca="false">AK59*(1+IF(K59=3,INDEX(in_sup_vat_rate,1,C59),0))+AO59*AA59/AB59</f>
        <v>2614.8843766343</v>
      </c>
      <c r="AY59" s="88" t="n">
        <f aca="false">AV59+AW59+AX59</f>
        <v>8778.81109923676</v>
      </c>
      <c r="AZ59" s="88" t="n">
        <f aca="false">MAX(INDEX(in_oce_ins_min,1,C59),INDEX(in_oce_ins_rate,1,C59)*(1+INDEX(in_oce_ins_uplift,1,C59))*(AL59+AO59+AR59+AU59))*(1-INDEX(in_oce_ins_in_other,1,C59))</f>
        <v>75</v>
      </c>
      <c r="BA59" s="87" t="n">
        <f aca="false">INDEX(in_cus_mfn,1,C59)+L59</f>
        <v>0.125</v>
      </c>
      <c r="BB59" s="88" t="n">
        <f aca="false">AY59*BA59</f>
        <v>1097.35138740459</v>
      </c>
      <c r="BC59" s="88" t="n">
        <f aca="false">MIN(MAX(AY59*INDEX(in_cus_mpf_rate,1,C59),INDEX(in_cus_mpf_min,1,C59)),INDEX(in_cus_mpf_max,1,C59))</f>
        <v>34.58</v>
      </c>
      <c r="BD59" s="88" t="n">
        <f aca="false">AY59*INDEX(in_cus_hmf,1,C59)</f>
        <v>10.9735138740459</v>
      </c>
      <c r="BE59" s="88" t="n">
        <f aca="false">MAX(INDEX(in_cus_stb_min,1,C59),INDEX(in_cus_stb_rate,1,C59)/1000*(AY59+BB59+BC59+BD59))</f>
        <v>75</v>
      </c>
      <c r="BF59" s="88" t="n">
        <f aca="false">INDEX(in_cus_broker,1,C59)+INDEX(in_cus_isf,1,C59)+INDEX(in_cus_do_fee,1,C59)+BE59+INDEX(in_cus_isf_bond,1,C59)</f>
        <v>510</v>
      </c>
      <c r="BG59" s="88" t="n">
        <f aca="false">IF(H59=1,INDEX(in_cus_cfc,1,C59)*INDEX(ct_teu,F59)*G59*(1-INDEX(in_cus_cfc_in_freight,1,C59)),0)</f>
        <v>0</v>
      </c>
      <c r="BH59" s="88" t="n">
        <f aca="false">IF(F59=4,1,G59)*(INDEX(in_cus_exam,1,C59)+INDEX(in_cus_exam_dray,1,C59))</f>
        <v>0</v>
      </c>
      <c r="BI59" s="88" t="n">
        <f aca="false">IF(F59=4,1,G59)*INDEX(in_cus_dem_days,1,C59)*INDEX(in_cus_dem_rate,1,C59)</f>
        <v>0</v>
      </c>
      <c r="BJ59" s="88" t="n">
        <f aca="false">BG59+BH59+BI59</f>
        <v>0</v>
      </c>
      <c r="BK59" s="88" t="n">
        <f aca="false">IF(F59=4,(INDEX(in_dra_lcl_cfs_d,1,C59)+INDEX(in_dra_lcl_deliv,1,C59))*P59,G59*(INDEX(tbl_dest_line,E59,C59)*P59*(1+INDEX(in_dra_fsc,1,C59))+INDEX(tbl_dest_tolls,E59,C59)+INDEX(in_dra_chassis_days,1,C59)*INDEX(tbl_dest_chassis,E59,C59)*(1-INDEX(in_dra_chassis_in_dray,1,C59))+INDEX(in_dra_wait_hours,1,C59)*INDEX(in_dra_wait_rate,1,C59)+INDEX(in_dra_split,1,C59)+INDEX(in_dra_prepull,1,C59)+INDEX(in_dra_dryrun,1,C59)))</f>
        <v>1970</v>
      </c>
      <c r="BL59" s="88" t="n">
        <f aca="false">IF(F59=4,0,G59*IF(F59=1,INDEX(in_dra_unload_20,1,C59),INDEX(in_dra_unload_40,1,C59))*Q59*(1-INDEX(in_dra_unload_in_dray,1,C59)))</f>
        <v>450</v>
      </c>
      <c r="BM59" s="88" t="n">
        <f aca="false">AL59+AN59+AO59+AR59+AU59+AZ59+BB59+BC59+BD59+BF59+BJ59+BK59+BL59</f>
        <v>18434.6331882641</v>
      </c>
      <c r="BN59" s="88" t="n">
        <f aca="false">AP59+AU59+BJ59+BK59+BL59</f>
        <v>7110.2781251658</v>
      </c>
      <c r="BO59" s="88" t="n">
        <f aca="false">AQ59+BF59</f>
        <v>1327.6390625829</v>
      </c>
      <c r="BP59" s="88" t="n">
        <f aca="false">AI59*(1+IF(K59=3,INDEX(in_sup_vat_rate,1,C59),0))+AO59*Y59/AB59+AV59*BA59+(BC59+BD59)*AV59/AY59+AZ59*AI59/AL59+BN59*AC59/AF59+BO59*Y59/AB59</f>
        <v>6404.86789283236</v>
      </c>
      <c r="BQ59" s="88" t="n">
        <f aca="false">AJ59*(1+IF(K59=3,INDEX(in_sup_vat_rate,1,C59),0))+AO59*Z59/AB59+AW59*BA59+(BC59+BD59)*AW59/AY59+AZ59*AJ59/AL59+BN59*AD59/AF59+BO59*Z59/AB59</f>
        <v>6729.58995732649</v>
      </c>
      <c r="BR59" s="88" t="n">
        <f aca="false">AK59*(1+IF(K59=3,INDEX(in_sup_vat_rate,1,C59),0))+AO59*AA59/AB59+AX59*BA59+(BC59+BD59)*AX59/AY59+AZ59*AK59/AL59+BN59*AE59/AF59+BO59*AA59/AB59</f>
        <v>5300.17533810525</v>
      </c>
      <c r="BS59" s="89" t="n">
        <f aca="false">BP59+BQ59+BR59-BM59</f>
        <v>0</v>
      </c>
      <c r="BT59" s="85" t="n">
        <f aca="false">Y59*(1-R59)</f>
        <v>19700</v>
      </c>
      <c r="BU59" s="85" t="n">
        <f aca="false">Z59*(1-R59)</f>
        <v>19700</v>
      </c>
      <c r="BV59" s="85" t="n">
        <f aca="false">AA59*(1-R59)</f>
        <v>19700</v>
      </c>
      <c r="BW59" s="85" t="n">
        <f aca="false">BT59+BU59+BV59</f>
        <v>59100</v>
      </c>
      <c r="BX59" s="90" t="n">
        <f aca="false">IF(BT59&gt;0,BP59/BT59,0)</f>
        <v>0.325120197605703</v>
      </c>
      <c r="BY59" s="90" t="n">
        <f aca="false">IF(BU59&gt;0,BQ59/BU59,0)</f>
        <v>0.341603551133324</v>
      </c>
      <c r="BZ59" s="90" t="n">
        <f aca="false">IF(BV59&gt;0,BR59/BV59,0)</f>
        <v>0.269044433406358</v>
      </c>
      <c r="CA59" s="90" t="n">
        <f aca="false">INDEX(in_mkt_listing_3464,1,C59)*(1-IF(sku_flute_3464="B",T59,0))*(1-S59)*N59</f>
        <v>0.234</v>
      </c>
      <c r="CB59" s="90" t="n">
        <f aca="false">INDEX(in_mkt_listing_3463,1,C59)*(1-IF(sku_flute_3463="B",T59,0))*(1-S59)*N59</f>
        <v>0.27</v>
      </c>
      <c r="CC59" s="90" t="n">
        <f aca="false">INDEX(in_mkt_listing_3460,1,C59)*(1-IF(sku_flute_3460="B",T59,0))*(1-S59)*N59</f>
        <v>0.225</v>
      </c>
      <c r="CD59" s="88" t="n">
        <f aca="false">BT59*CA59+BU59*CB59+BV59*CC59</f>
        <v>14361.3</v>
      </c>
      <c r="CE59" s="88" t="n">
        <f aca="false">CD59-BM59</f>
        <v>-4073.33318826409</v>
      </c>
      <c r="CF59" s="87" t="n">
        <f aca="false">IF(CD59&gt;0,CE59/CD59,0)</f>
        <v>-0.28363262297035</v>
      </c>
      <c r="CG59" s="87" t="n">
        <f aca="false">W59+INDEX(in_sel_processing,1,C59)+INDEX(in_sel_bad_debt,1,C59)</f>
        <v>0.058</v>
      </c>
      <c r="CH59" s="88" t="n">
        <f aca="false">CD59*CG59</f>
        <v>832.9554</v>
      </c>
      <c r="CI59" s="88" t="n">
        <f aca="false">INDEX(in_sel_testing,1,C59)*X59+INDEX(in_sel_admin,1,C59)</f>
        <v>3000</v>
      </c>
      <c r="CJ59" s="79" t="n">
        <f aca="false">INDEX(in_sup_lead_days,1,C59)</f>
        <v>21</v>
      </c>
      <c r="CK59" s="79" t="n">
        <f aca="false">CJ59+INDEX(in_oce_transit,1,C59)+IF(F59=4,INDEX(in_oce_lcl_extra_days,1,C59),0)</f>
        <v>51</v>
      </c>
      <c r="CL59" s="79" t="n">
        <f aca="false">CK59+2+INDEX(in_cus_dem_days,1,C59)</f>
        <v>53</v>
      </c>
      <c r="CM59" s="79" t="n">
        <f aca="false">CL59+U59</f>
        <v>98</v>
      </c>
      <c r="CN59" s="79" t="n">
        <f aca="false">CJ59+INDEX(in_sup_vat_lag,1,C59)</f>
        <v>81</v>
      </c>
      <c r="CO59" s="91" t="n">
        <f aca="false">INDEX(in_sup_advance,1,C59)</f>
        <v>0.5</v>
      </c>
      <c r="CP59" s="88" t="n">
        <f aca="false">CO59*(AL59+AM59)+AO59+INDEX(in_sel_testing,1,C59)*X59</f>
        <v>7503.92232656495</v>
      </c>
      <c r="CQ59" s="88" t="n">
        <f aca="false">(1-CO59)*(AL59+AM59)+AR59+AU59+AZ59</f>
        <v>10586.8395143137</v>
      </c>
      <c r="CR59" s="88" t="n">
        <f aca="false">BB59+BC59+BD59+BF59+BJ59</f>
        <v>1652.90490127864</v>
      </c>
      <c r="CS59" s="88" t="n">
        <f aca="false">BK59+BL59</f>
        <v>2420</v>
      </c>
      <c r="CT59" s="88" t="n">
        <f aca="false">IF(K59=2,AM59,0)</f>
        <v>1229.03355389315</v>
      </c>
      <c r="CU59" s="85" t="n">
        <f aca="false">IF(K59=2,CO59*AM59*(CN59-0)+(1-CO59)*AM59*(CN59-CJ59),0)</f>
        <v>86646.8655494668</v>
      </c>
      <c r="CV59" s="85" t="n">
        <f aca="false">(CP59-CO59*CT59)*(CM59-0)+(CQ59-(1-CO59)*CT59)*(CM59-CJ59)+CR59*(CM59-CK59)+CS59*(CM59-CL59)</f>
        <v>1629617.12499996</v>
      </c>
      <c r="CW59" s="88" t="n">
        <f aca="false">INDEX(in_sel_fin_rate,1,C59)/365*(CU59+CV59)</f>
        <v>470.209312479296</v>
      </c>
      <c r="CX59" s="85" t="n">
        <f aca="false">CP59-IF(CN59&lt;=0,CT59,0)</f>
        <v>7503.92232656495</v>
      </c>
      <c r="CY59" s="85" t="n">
        <f aca="false">CP59+CQ59-IF(CN59&lt;=CJ59,CT59,0)</f>
        <v>18090.7618408786</v>
      </c>
      <c r="CZ59" s="85" t="n">
        <f aca="false">CP59+CQ59+CR59-IF(CN59&lt;=CK59,CT59,0)</f>
        <v>19743.6667421572</v>
      </c>
      <c r="DA59" s="85" t="n">
        <f aca="false">CP59+CQ59+CR59+CS59-IF(CN59&lt;=CL59,CT59,0)</f>
        <v>22163.6667421572</v>
      </c>
      <c r="DB59" s="88" t="n">
        <f aca="false">MAX(CX59,CY59,CZ59,DA59)</f>
        <v>22163.6667421572</v>
      </c>
      <c r="DC59" s="88" t="n">
        <f aca="false">CP59+CQ59+CR59+CS59</f>
        <v>22163.6667421572</v>
      </c>
      <c r="DD59" s="88" t="n">
        <f aca="false">CE59-CH59-CI59-CW59</f>
        <v>-8376.49790074339</v>
      </c>
      <c r="DE59" s="87" t="n">
        <f aca="false">IF(CD59&gt;0,DD59/CD59,0)</f>
        <v>-0.583268777947915</v>
      </c>
      <c r="DF59" s="86" t="n">
        <f aca="false">IF(CD59&gt;0,(BM59+CI59+CW59)/(CD59*(1-CG59)),0)</f>
        <v>1.61918129293834</v>
      </c>
      <c r="DG59" s="90" t="n">
        <f aca="false">IF(BW59&gt;0,BM59/BW59,0)</f>
        <v>0.311922727381795</v>
      </c>
      <c r="DH59" s="90" t="n">
        <f aca="false">IF(BW59&gt;0,CD59/BW59,0)</f>
        <v>0.243</v>
      </c>
      <c r="DI59" s="90" t="n">
        <f aca="false">IF(AI59&gt;0,(AI59*IF(K59=3,INDEX(in_sup_vat_rate,1,C59),0)+AV59*BA59+(BC59+BD59)*AV59/AY59+AZ59*AI59/AL59)/AI59,0)</f>
        <v>0.138732328046622</v>
      </c>
      <c r="DJ59" s="90" t="n">
        <f aca="false">IF(AJ59&gt;0,(AJ59*IF(K59=3,INDEX(in_sup_vat_rate,1,C59),0)+AW59*BA59+(BC59+BD59)*AW59/AY59+AZ59*AJ59/AL59)/AJ59,0)</f>
        <v>0.138732328046622</v>
      </c>
      <c r="DK59" s="90" t="n">
        <f aca="false">IF(AK59&gt;0,(AK59*IF(K59=3,INDEX(in_sup_vat_rate,1,C59),0)+AX59*BA59+(BC59+BD59)*AX59/AY59+AZ59*AK59/AL59)/AK59,0)</f>
        <v>0.138732328046622</v>
      </c>
      <c r="DL59" s="90" t="n">
        <f aca="false">IF(Y59&gt;0,(BP59-AI59*(1+DI59))/Y59,0)</f>
        <v>0.139750130354307</v>
      </c>
      <c r="DM59" s="90" t="n">
        <f aca="false">IF(Z59&gt;0,(BQ59-AJ59*(1+DJ59))/Z59,0)</f>
        <v>0.166019630816742</v>
      </c>
      <c r="DN59" s="90" t="n">
        <f aca="false">IF(AA59&gt;0,(BR59-AK59*(1+DK59))/AA59,0)</f>
        <v>0.116126098216387</v>
      </c>
      <c r="DO59" s="86" t="n">
        <f aca="false">IF(Y59&gt;0,(CA59*(1-thr_gm_go)*(1-R59)-DL59)/(1+DI59)*I59/((1+AH59)*J59),"")</f>
        <v>1.53483177436057</v>
      </c>
      <c r="DP59" s="86" t="n">
        <f aca="false">IF(Z59&gt;0,(CB59*(1-thr_gm_go)*(1-R59)-DM59)/(1+DJ59)*I59/((1+AH59)*J59),"")</f>
        <v>1.54991712196332</v>
      </c>
      <c r="DQ59" s="86" t="n">
        <f aca="false">IF(AA59&gt;0,(CC59*(1-thr_gm_go)*(1-R59)-DN59)/(1+DK59)*I59/((1+AH59)*J59),"")</f>
        <v>2.3215549556626</v>
      </c>
      <c r="DR59" s="92" t="n">
        <f aca="false">IF(AND(AY59*INDEX(in_cus_mpf_rate,1,C59)&gt;INDEX(in_cus_mpf_min,1,C59),AY59*INDEX(in_cus_mpf_rate,1,C59)&lt;INDEX(in_cus_mpf_max,1,C59)),INDEX(in_cus_mpf_rate,1,C59),0)</f>
        <v>0</v>
      </c>
      <c r="DS59" s="88" t="n">
        <f aca="false">IF(AZ59&gt;INDEX(in_oce_ins_min,1,C59),INDEX(in_oce_ins_rate,1,C59)*(1+INDEX(in_oce_ins_uplift,1,C59))*AL59,0)</f>
        <v>0</v>
      </c>
      <c r="DT59" s="88" t="n">
        <f aca="false">(AL59+AN59)*(1+BA59+INDEX(in_cus_hmf,1,C59)+DR59)+DS59</f>
        <v>9887.1360005154</v>
      </c>
      <c r="DU59" s="86" t="n">
        <f aca="false">IF(DT59&gt;0,(CD59*(1-thr_gm_go)-(BM59-DT59))/DT59,0)</f>
        <v>0.224885933816972</v>
      </c>
      <c r="DV59" s="86" t="n">
        <f aca="false">IF(DT59&gt;0,(CD59-(BM59-DT59))/DT59,0)</f>
        <v>0.588016874851144</v>
      </c>
      <c r="DW59" s="87" t="n">
        <f aca="false">(1+AH59)*J59*DU59-1</f>
        <v>-0.775114066183029</v>
      </c>
      <c r="DX59" s="87" t="n">
        <f aca="false">(1+AH59)*J59*DV59-1</f>
        <v>-0.411983125148856</v>
      </c>
      <c r="DY59" s="85" t="n">
        <f aca="false">IF(G59&gt;0,(CD59*(1-thr_gm_go)-(BM59-AT59))/G59,"")</f>
        <v>-3563.6581882641</v>
      </c>
      <c r="DZ59" s="90" t="n">
        <f aca="false">IF(AB59&gt;0,(AL59+AN59+BB59+BC59+BD59)/AB59,0)</f>
        <v>0.165361933341923</v>
      </c>
      <c r="EA59" s="88" t="n">
        <f aca="false">BM59-DZ59*AB59</f>
        <v>8512.9171877487</v>
      </c>
      <c r="EB59" s="90" t="n">
        <f aca="false">IF(AB59&gt;0,CD59/AB59,0)</f>
        <v>0.239355</v>
      </c>
      <c r="EC59" s="85" t="n">
        <f aca="false">IF(EB59*(1-thr_gm_go)-DZ59&gt;0,EA59/(EB59*(1-thr_gm_go)-DZ59),"n/a")</f>
        <v>601436.112628656</v>
      </c>
      <c r="ED59" s="85" t="n">
        <f aca="false">IF(EB59-DZ59&gt;0,EA59/(EB59-DZ59),"n/a")</f>
        <v>115050.200947706</v>
      </c>
      <c r="EE59" s="93" t="b">
        <f aca="false">INDEX(cfg_fits,D59,C59)</f>
        <v>1</v>
      </c>
      <c r="EF59" s="87" t="n">
        <f aca="false">IF(F59=4,"",INDEX(cfg_lenutil,D59,C59))</f>
        <v>0.795641240569992</v>
      </c>
      <c r="EG59" s="31" t="str">
        <f aca="false">IF(O59&gt;1,"Check fit (units scaled up)","")</f>
        <v/>
      </c>
    </row>
    <row r="60" customFormat="false" ht="15" hidden="false" customHeight="false" outlineLevel="0" collapsed="false">
      <c r="A60" s="78" t="n">
        <v>2021</v>
      </c>
      <c r="B60" s="9" t="s">
        <v>3208</v>
      </c>
      <c r="C60" s="78" t="n">
        <v>2</v>
      </c>
      <c r="D60" s="78" t="n">
        <v>2</v>
      </c>
      <c r="E60" s="78" t="n">
        <v>1</v>
      </c>
      <c r="F60" s="79" t="n">
        <f aca="false">INDEX(cfg_ct,D60)</f>
        <v>2</v>
      </c>
      <c r="G60" s="79" t="n">
        <f aca="false">INDEX(cfg_n,D60)</f>
        <v>1</v>
      </c>
      <c r="H60" s="79" t="n">
        <f aca="false">INDEX(dest_port,E60)</f>
        <v>1</v>
      </c>
      <c r="I60" s="80" t="n">
        <f aca="false">INDEX(in_fx_cbe,1,C60)*(1-INDEX(in_fx_spread,1,C60))</f>
        <v>52.7748</v>
      </c>
      <c r="J60" s="81" t="n">
        <f aca="false">1</f>
        <v>1</v>
      </c>
      <c r="K60" s="82" t="n">
        <f aca="false">INDEX(in_sup_vat_mode,1,C60)</f>
        <v>2</v>
      </c>
      <c r="L60" s="83" t="n">
        <f aca="false">INDEX(in_cus_s301,1,C60)</f>
        <v>0.125</v>
      </c>
      <c r="M60" s="84" t="n">
        <f aca="false">1</f>
        <v>1</v>
      </c>
      <c r="N60" s="81" t="n">
        <f aca="false">1</f>
        <v>1</v>
      </c>
      <c r="O60" s="81" t="n">
        <f aca="false">1</f>
        <v>1</v>
      </c>
      <c r="P60" s="81" t="n">
        <f aca="false">1</f>
        <v>1</v>
      </c>
      <c r="Q60" s="81" t="n">
        <f aca="false">1</f>
        <v>1</v>
      </c>
      <c r="R60" s="83" t="n">
        <f aca="false">INDEX(in_sel_damage,1,C60)</f>
        <v>0.015</v>
      </c>
      <c r="S60" s="83" t="n">
        <f aca="false">INDEX(in_mkt_dist_margin,1,C60)</f>
        <v>0.25</v>
      </c>
      <c r="T60" s="83" t="n">
        <f aca="false">INDEX(in_mkt_eflute_disc,1,C60)</f>
        <v>0.2</v>
      </c>
      <c r="U60" s="82" t="n">
        <f aca="false">INDEX(in_sel_credit_days,1,C60)</f>
        <v>45</v>
      </c>
      <c r="V60" s="81" t="n">
        <f aca="false">1</f>
        <v>1</v>
      </c>
      <c r="W60" s="83" t="n">
        <f aca="false">INDEX(in_sel_commission,1,C60)</f>
        <v>0.05</v>
      </c>
      <c r="X60" s="82" t="n">
        <f aca="false">1</f>
        <v>1</v>
      </c>
      <c r="Y60" s="85" t="n">
        <f aca="false">INDEX(cfg_u_3464,D60,C60)*O60</f>
        <v>20000</v>
      </c>
      <c r="Z60" s="85" t="n">
        <f aca="false">INDEX(cfg_u_3463,D60,C60)*O60</f>
        <v>20000</v>
      </c>
      <c r="AA60" s="85" t="n">
        <f aca="false">INDEX(cfg_u_3460,D60,C60)*O60</f>
        <v>20000</v>
      </c>
      <c r="AB60" s="85" t="n">
        <f aca="false">Y60+Z60+AA60</f>
        <v>60000</v>
      </c>
      <c r="AC60" s="86" t="n">
        <f aca="false">Y60*INDEX(lg_vpu_3464,C60)</f>
        <v>14.22784</v>
      </c>
      <c r="AD60" s="86" t="n">
        <f aca="false">Z60*INDEX(lg_vpu_3463,C60)</f>
        <v>17.40544</v>
      </c>
      <c r="AE60" s="86" t="n">
        <f aca="false">AA60*INDEX(lg_vpu_3460,C60)</f>
        <v>11.37024</v>
      </c>
      <c r="AF60" s="86" t="n">
        <f aca="false">AC60+AD60+AE60</f>
        <v>43.00352</v>
      </c>
      <c r="AG60" s="85" t="n">
        <f aca="false">Y60*INDEX(lg_kpu_3464,C60)+Z60*INDEX(lg_kpu_3463,C60)+AA60*INDEX(lg_kpu_3460,C60)</f>
        <v>10342.13472</v>
      </c>
      <c r="AH60" s="87" t="n">
        <f aca="false">INDEX(in_sup_requote,1,C60)</f>
        <v>0</v>
      </c>
      <c r="AI60" s="88" t="n">
        <f aca="false">Y60*q_price_3464*(1+AH60)*J60/I60</f>
        <v>3170.0735957313</v>
      </c>
      <c r="AJ60" s="88" t="n">
        <f aca="false">Z60*q_price_3463*(1+AH60)*J60/I60</f>
        <v>2993.85312687116</v>
      </c>
      <c r="AK60" s="88" t="n">
        <f aca="false">AA60*q_price_3460*(1+AH60)*J60/I60</f>
        <v>2614.8843766343</v>
      </c>
      <c r="AL60" s="88" t="n">
        <f aca="false">AI60+AJ60+AK60</f>
        <v>8778.81109923676</v>
      </c>
      <c r="AM60" s="88" t="n">
        <f aca="false">IF(OR(K60=2,K60=3),AL60*INDEX(in_sup_vat_rate,1,C60),0)</f>
        <v>1229.03355389315</v>
      </c>
      <c r="AN60" s="88" t="n">
        <f aca="false">IF(K60=3,AM60,0)</f>
        <v>0</v>
      </c>
      <c r="AO60" s="88" t="n">
        <f aca="false">INDEX(in_sup_tooling_egp,1,C60)/I60</f>
        <v>0</v>
      </c>
      <c r="AP60" s="88" t="n">
        <f aca="false">IF(F60=4,INDEX(in_ori_lcl_truck,1,C60)*V60/I60+INDEX(in_ori_lcl_cfs_o,1,C60),G60*(IF(F60=1,INDEX(in_ori_truck_20,1,C60),INDEX(in_ori_truck_40,1,C60))*V60/I60+INDEX(in_ori_terminal,1,C60)+IF(F60=1,INDEX(in_ori_othc_20,1,C60),INDEX(in_ori_othc_40,1,C60))*(1-INDEX(in_ori_othc_in_freight,1,C60))+INDEX(in_ori_seal,1,C60)+INDEX(in_ori_inspection,1,C60)+INDEX(in_ori_dd_days,1,C60)*IF(F60=1,INDEX(in_ori_dd_20,1,C60),INDEX(in_ori_dd_40,1,C60))+INDEX(in_ori_loading_egp,1,C60)/I60))</f>
        <v>555.278125165799</v>
      </c>
      <c r="AQ60" s="88" t="n">
        <f aca="false">(INDEX(in_ori_clearance,1,C60)+INDEX(in_ori_coo,1,C60))/I60+INDEX(in_ori_bl_fee,1,C60)+INDEX(in_ori_fwd_fee,1,C60)+INDEX(in_ori_qc,1,C60)+INDEX(in_ori_wires,1,C60)*INDEX(in_ori_wire_fee,1,C60)</f>
        <v>817.639062582899</v>
      </c>
      <c r="AR60" s="88" t="n">
        <f aca="false">AP60+AQ60</f>
        <v>1372.9171877487</v>
      </c>
      <c r="AS60" s="85" t="n">
        <f aca="false">INDEX(tbl_port_diff,H60,C60)</f>
        <v>0</v>
      </c>
      <c r="AT60" s="88" t="n">
        <f aca="false">IF(F60=4,MAX(AF60*INDEX(in_oce_lcl_factor,1,C60),AG60/1000,1)*INDEX(in_oce_lcl_rate,1,C60)*M60,G60*(INDEX(tbl_ocean_rate,MIN(F60,3),C60)+AS60)*M60)</f>
        <v>3900</v>
      </c>
      <c r="AU60" s="88" t="n">
        <f aca="false">AT60+INDEX(in_oce_ams,1,C60)</f>
        <v>3935</v>
      </c>
      <c r="AV60" s="88" t="n">
        <f aca="false">AI60*(1+IF(K60=3,INDEX(in_sup_vat_rate,1,C60),0))+AO60*Y60/AB60</f>
        <v>3170.0735957313</v>
      </c>
      <c r="AW60" s="88" t="n">
        <f aca="false">AJ60*(1+IF(K60=3,INDEX(in_sup_vat_rate,1,C60),0))+AO60*Z60/AB60</f>
        <v>2993.85312687116</v>
      </c>
      <c r="AX60" s="88" t="n">
        <f aca="false">AK60*(1+IF(K60=3,INDEX(in_sup_vat_rate,1,C60),0))+AO60*AA60/AB60</f>
        <v>2614.8843766343</v>
      </c>
      <c r="AY60" s="88" t="n">
        <f aca="false">AV60+AW60+AX60</f>
        <v>8778.81109923676</v>
      </c>
      <c r="AZ60" s="88" t="n">
        <f aca="false">MAX(INDEX(in_oce_ins_min,1,C60),INDEX(in_oce_ins_rate,1,C60)*(1+INDEX(in_oce_ins_uplift,1,C60))*(AL60+AO60+AR60+AU60))*(1-INDEX(in_oce_ins_in_other,1,C60))</f>
        <v>75</v>
      </c>
      <c r="BA60" s="87" t="n">
        <f aca="false">INDEX(in_cus_mfn,1,C60)+L60</f>
        <v>0.125</v>
      </c>
      <c r="BB60" s="88" t="n">
        <f aca="false">AY60*BA60</f>
        <v>1097.35138740459</v>
      </c>
      <c r="BC60" s="88" t="n">
        <f aca="false">MIN(MAX(AY60*INDEX(in_cus_mpf_rate,1,C60),INDEX(in_cus_mpf_min,1,C60)),INDEX(in_cus_mpf_max,1,C60))</f>
        <v>34.58</v>
      </c>
      <c r="BD60" s="88" t="n">
        <f aca="false">AY60*INDEX(in_cus_hmf,1,C60)</f>
        <v>10.9735138740459</v>
      </c>
      <c r="BE60" s="88" t="n">
        <f aca="false">MAX(INDEX(in_cus_stb_min,1,C60),INDEX(in_cus_stb_rate,1,C60)/1000*(AY60+BB60+BC60+BD60))</f>
        <v>75</v>
      </c>
      <c r="BF60" s="88" t="n">
        <f aca="false">INDEX(in_cus_broker,1,C60)+INDEX(in_cus_isf,1,C60)+INDEX(in_cus_do_fee,1,C60)+BE60+INDEX(in_cus_isf_bond,1,C60)</f>
        <v>510</v>
      </c>
      <c r="BG60" s="88" t="n">
        <f aca="false">IF(H60=1,INDEX(in_cus_cfc,1,C60)*INDEX(ct_teu,F60)*G60*(1-INDEX(in_cus_cfc_in_freight,1,C60)),0)</f>
        <v>29.6</v>
      </c>
      <c r="BH60" s="88" t="n">
        <f aca="false">IF(F60=4,1,G60)*(INDEX(in_cus_exam,1,C60)+INDEX(in_cus_exam_dray,1,C60))</f>
        <v>0</v>
      </c>
      <c r="BI60" s="88" t="n">
        <f aca="false">IF(F60=4,1,G60)*INDEX(in_cus_dem_days,1,C60)*INDEX(in_cus_dem_rate,1,C60)</f>
        <v>0</v>
      </c>
      <c r="BJ60" s="88" t="n">
        <f aca="false">BG60+BH60+BI60</f>
        <v>29.6</v>
      </c>
      <c r="BK60" s="88" t="n">
        <f aca="false">IF(F60=4,(INDEX(in_dra_lcl_cfs_d,1,C60)+INDEX(in_dra_lcl_deliv,1,C60))*P60,G60*(INDEX(tbl_dest_line,E60,C60)*P60*(1+INDEX(in_dra_fsc,1,C60))+INDEX(tbl_dest_tolls,E60,C60)+INDEX(in_dra_chassis_days,1,C60)*INDEX(tbl_dest_chassis,E60,C60)*(1-INDEX(in_dra_chassis_in_dray,1,C60))+INDEX(in_dra_wait_hours,1,C60)*INDEX(in_dra_wait_rate,1,C60)+INDEX(in_dra_split,1,C60)+INDEX(in_dra_prepull,1,C60)+INDEX(in_dra_dryrun,1,C60)))</f>
        <v>1060</v>
      </c>
      <c r="BL60" s="88" t="n">
        <f aca="false">IF(F60=4,0,G60*IF(F60=1,INDEX(in_dra_unload_20,1,C60),INDEX(in_dra_unload_40,1,C60))*Q60*(1-INDEX(in_dra_unload_in_dray,1,C60)))</f>
        <v>450</v>
      </c>
      <c r="BM60" s="88" t="n">
        <f aca="false">AL60+AN60+AO60+AR60+AU60+AZ60+BB60+BC60+BD60+BF60+BJ60+BK60+BL60</f>
        <v>17354.2331882641</v>
      </c>
      <c r="BN60" s="88" t="n">
        <f aca="false">AP60+AU60+BJ60+BK60+BL60</f>
        <v>6029.8781251658</v>
      </c>
      <c r="BO60" s="88" t="n">
        <f aca="false">AQ60+BF60</f>
        <v>1327.6390625829</v>
      </c>
      <c r="BP60" s="88" t="n">
        <f aca="false">AI60*(1+IF(K60=3,INDEX(in_sup_vat_rate,1,C60),0))+AO60*Y60/AB60+AV60*BA60+(BC60+BD60)*AV60/AY60+AZ60*AI60/AL60+BN60*AC60/AF60+BO60*Y60/AB60</f>
        <v>6047.41440214136</v>
      </c>
      <c r="BQ60" s="88" t="n">
        <f aca="false">AJ60*(1+IF(K60=3,INDEX(in_sup_vat_rate,1,C60),0))+AO60*Z60/AB60+AW60*BA60+(BC60+BD60)*AW60/AY60+AZ60*AJ60/AL60+BN60*AD60/AF60+BO60*Z60/AB60</f>
        <v>6292.30395432022</v>
      </c>
      <c r="BR60" s="88" t="n">
        <f aca="false">AK60*(1+IF(K60=3,INDEX(in_sup_vat_rate,1,C60),0))+AO60*AA60/AB60+AX60*BA60+(BC60+BD60)*AX60/AY60+AZ60*AK60/AL60+BN60*AE60/AF60+BO60*AA60/AB60</f>
        <v>5014.51483180251</v>
      </c>
      <c r="BS60" s="89" t="n">
        <f aca="false">BP60+BQ60+BR60-BM60</f>
        <v>0</v>
      </c>
      <c r="BT60" s="85" t="n">
        <f aca="false">Y60*(1-R60)</f>
        <v>19700</v>
      </c>
      <c r="BU60" s="85" t="n">
        <f aca="false">Z60*(1-R60)</f>
        <v>19700</v>
      </c>
      <c r="BV60" s="85" t="n">
        <f aca="false">AA60*(1-R60)</f>
        <v>19700</v>
      </c>
      <c r="BW60" s="85" t="n">
        <f aca="false">BT60+BU60+BV60</f>
        <v>59100</v>
      </c>
      <c r="BX60" s="90" t="n">
        <f aca="false">IF(BT60&gt;0,BP60/BT60,0)</f>
        <v>0.306975350362506</v>
      </c>
      <c r="BY60" s="90" t="n">
        <f aca="false">IF(BU60&gt;0,BQ60/BU60,0)</f>
        <v>0.319406292097473</v>
      </c>
      <c r="BZ60" s="90" t="n">
        <f aca="false">IF(BV60&gt;0,BR60/BV60,0)</f>
        <v>0.254543900091498</v>
      </c>
      <c r="CA60" s="90" t="n">
        <f aca="false">INDEX(in_mkt_listing_3464,1,C60)*(1-IF(sku_flute_3464="B",T60,0))*(1-S60)*N60</f>
        <v>0.234</v>
      </c>
      <c r="CB60" s="90" t="n">
        <f aca="false">INDEX(in_mkt_listing_3463,1,C60)*(1-IF(sku_flute_3463="B",T60,0))*(1-S60)*N60</f>
        <v>0.27</v>
      </c>
      <c r="CC60" s="90" t="n">
        <f aca="false">INDEX(in_mkt_listing_3460,1,C60)*(1-IF(sku_flute_3460="B",T60,0))*(1-S60)*N60</f>
        <v>0.225</v>
      </c>
      <c r="CD60" s="88" t="n">
        <f aca="false">BT60*CA60+BU60*CB60+BV60*CC60</f>
        <v>14361.3</v>
      </c>
      <c r="CE60" s="88" t="n">
        <f aca="false">CD60-BM60</f>
        <v>-2992.93318826409</v>
      </c>
      <c r="CF60" s="87" t="n">
        <f aca="false">IF(CD60&gt;0,CE60/CD60,0)</f>
        <v>-0.208402664679666</v>
      </c>
      <c r="CG60" s="87" t="n">
        <f aca="false">W60+INDEX(in_sel_processing,1,C60)+INDEX(in_sel_bad_debt,1,C60)</f>
        <v>0.058</v>
      </c>
      <c r="CH60" s="88" t="n">
        <f aca="false">CD60*CG60</f>
        <v>832.9554</v>
      </c>
      <c r="CI60" s="88" t="n">
        <f aca="false">INDEX(in_sel_testing,1,C60)*X60+INDEX(in_sel_admin,1,C60)</f>
        <v>3000</v>
      </c>
      <c r="CJ60" s="79" t="n">
        <f aca="false">INDEX(in_sup_lead_days,1,C60)</f>
        <v>21</v>
      </c>
      <c r="CK60" s="79" t="n">
        <f aca="false">CJ60+INDEX(in_oce_transit,1,C60)+IF(F60=4,INDEX(in_oce_lcl_extra_days,1,C60),0)</f>
        <v>51</v>
      </c>
      <c r="CL60" s="79" t="n">
        <f aca="false">CK60+2+INDEX(in_cus_dem_days,1,C60)</f>
        <v>53</v>
      </c>
      <c r="CM60" s="79" t="n">
        <f aca="false">CL60+U60</f>
        <v>98</v>
      </c>
      <c r="CN60" s="79" t="n">
        <f aca="false">CJ60+INDEX(in_sup_vat_lag,1,C60)</f>
        <v>81</v>
      </c>
      <c r="CO60" s="91" t="n">
        <f aca="false">INDEX(in_sup_advance,1,C60)</f>
        <v>0.5</v>
      </c>
      <c r="CP60" s="88" t="n">
        <f aca="false">CO60*(AL60+AM60)+AO60+INDEX(in_sel_testing,1,C60)*X60</f>
        <v>7503.92232656495</v>
      </c>
      <c r="CQ60" s="88" t="n">
        <f aca="false">(1-CO60)*(AL60+AM60)+AR60+AU60+AZ60</f>
        <v>10386.8395143137</v>
      </c>
      <c r="CR60" s="88" t="n">
        <f aca="false">BB60+BC60+BD60+BF60+BJ60</f>
        <v>1682.50490127864</v>
      </c>
      <c r="CS60" s="88" t="n">
        <f aca="false">BK60+BL60</f>
        <v>1510</v>
      </c>
      <c r="CT60" s="88" t="n">
        <f aca="false">IF(K60=2,AM60,0)</f>
        <v>1229.03355389315</v>
      </c>
      <c r="CU60" s="85" t="n">
        <f aca="false">IF(K60=2,CO60*AM60*(CN60-0)+(1-CO60)*AM60*(CN60-CJ60),0)</f>
        <v>86646.8655494668</v>
      </c>
      <c r="CV60" s="85" t="n">
        <f aca="false">(CP60-CO60*CT60)*(CM60-0)+(CQ60-(1-CO60)*CT60)*(CM60-CJ60)+CR60*(CM60-CK60)+CS60*(CM60-CL60)</f>
        <v>1574658.32499996</v>
      </c>
      <c r="CW60" s="88" t="n">
        <f aca="false">INDEX(in_sel_fin_rate,1,C60)/365*(CU60+CV60)</f>
        <v>455.152106999844</v>
      </c>
      <c r="CX60" s="85" t="n">
        <f aca="false">CP60-IF(CN60&lt;=0,CT60,0)</f>
        <v>7503.92232656495</v>
      </c>
      <c r="CY60" s="85" t="n">
        <f aca="false">CP60+CQ60-IF(CN60&lt;=CJ60,CT60,0)</f>
        <v>17890.7618408786</v>
      </c>
      <c r="CZ60" s="85" t="n">
        <f aca="false">CP60+CQ60+CR60-IF(CN60&lt;=CK60,CT60,0)</f>
        <v>19573.2667421572</v>
      </c>
      <c r="DA60" s="85" t="n">
        <f aca="false">CP60+CQ60+CR60+CS60-IF(CN60&lt;=CL60,CT60,0)</f>
        <v>21083.2667421572</v>
      </c>
      <c r="DB60" s="88" t="n">
        <f aca="false">MAX(CX60,CY60,CZ60,DA60)</f>
        <v>21083.2667421572</v>
      </c>
      <c r="DC60" s="88" t="n">
        <f aca="false">CP60+CQ60+CR60+CS60</f>
        <v>21083.2667421572</v>
      </c>
      <c r="DD60" s="88" t="n">
        <f aca="false">CE60-CH60-CI60-CW60</f>
        <v>-7281.04069526394</v>
      </c>
      <c r="DE60" s="87" t="n">
        <f aca="false">IF(CD60&gt;0,DD60/CD60,0)</f>
        <v>-0.506990362659643</v>
      </c>
      <c r="DF60" s="86" t="n">
        <f aca="false">IF(CD60&gt;0,(BM60+CI60+CW60)/(CD60*(1-CG60)),0)</f>
        <v>1.53820632978731</v>
      </c>
      <c r="DG60" s="90" t="n">
        <f aca="false">IF(BW60&gt;0,BM60/BW60,0)</f>
        <v>0.293641847517159</v>
      </c>
      <c r="DH60" s="90" t="n">
        <f aca="false">IF(BW60&gt;0,CD60/BW60,0)</f>
        <v>0.243</v>
      </c>
      <c r="DI60" s="90" t="n">
        <f aca="false">IF(AI60&gt;0,(AI60*IF(K60=3,INDEX(in_sup_vat_rate,1,C60),0)+AV60*BA60+(BC60+BD60)*AV60/AY60+AZ60*AI60/AL60)/AI60,0)</f>
        <v>0.138732328046622</v>
      </c>
      <c r="DJ60" s="90" t="n">
        <f aca="false">IF(AJ60&gt;0,(AJ60*IF(K60=3,INDEX(in_sup_vat_rate,1,C60),0)+AW60*BA60+(BC60+BD60)*AW60/AY60+AZ60*AJ60/AL60)/AJ60,0)</f>
        <v>0.138732328046622</v>
      </c>
      <c r="DK60" s="90" t="n">
        <f aca="false">IF(AK60&gt;0,(AK60*IF(K60=3,INDEX(in_sup_vat_rate,1,C60),0)+AX60*BA60+(BC60+BD60)*AX60/AY60+AZ60*AK60/AL60)/AK60,0)</f>
        <v>0.138732328046622</v>
      </c>
      <c r="DL60" s="90" t="n">
        <f aca="false">IF(Y60&gt;0,(BP60-AI60*(1+DI60))/Y60,0)</f>
        <v>0.121877455819757</v>
      </c>
      <c r="DM60" s="90" t="n">
        <f aca="false">IF(Z60&gt;0,(BQ60-AJ60*(1+DJ60))/Z60,0)</f>
        <v>0.144155330666429</v>
      </c>
      <c r="DN60" s="90" t="n">
        <f aca="false">IF(AA60&gt;0,(BR60-AK60*(1+DK60))/AA60,0)</f>
        <v>0.10184307290125</v>
      </c>
      <c r="DO60" s="86" t="n">
        <f aca="false">IF(Y60&gt;0,(CA60*(1-thr_gm_go)*(1-R60)-DL60)/(1+DI60)*I60/((1+AH60)*J60),"")</f>
        <v>2.36314480350234</v>
      </c>
      <c r="DP60" s="86" t="n">
        <f aca="false">IF(Z60&gt;0,(CB60*(1-thr_gm_go)*(1-R60)-DM60)/(1+DJ60)*I60/((1+AH60)*J60),"")</f>
        <v>2.56322291749836</v>
      </c>
      <c r="DQ60" s="86" t="n">
        <f aca="false">IF(AA60&gt;0,(CC60*(1-thr_gm_go)*(1-R60)-DN60)/(1+DK60)*I60/((1+AH60)*J60),"")</f>
        <v>2.98350490284143</v>
      </c>
      <c r="DR60" s="92" t="n">
        <f aca="false">IF(AND(AY60*INDEX(in_cus_mpf_rate,1,C60)&gt;INDEX(in_cus_mpf_min,1,C60),AY60*INDEX(in_cus_mpf_rate,1,C60)&lt;INDEX(in_cus_mpf_max,1,C60)),INDEX(in_cus_mpf_rate,1,C60),0)</f>
        <v>0</v>
      </c>
      <c r="DS60" s="88" t="n">
        <f aca="false">IF(AZ60&gt;INDEX(in_oce_ins_min,1,C60),INDEX(in_oce_ins_rate,1,C60)*(1+INDEX(in_oce_ins_uplift,1,C60))*AL60,0)</f>
        <v>0</v>
      </c>
      <c r="DT60" s="88" t="n">
        <f aca="false">(AL60+AN60)*(1+BA60+INDEX(in_cus_hmf,1,C60)+DR60)+DS60</f>
        <v>9887.1360005154</v>
      </c>
      <c r="DU60" s="86" t="n">
        <f aca="false">IF(DT60&gt;0,(CD60*(1-thr_gm_go)-(BM60-DT60))/DT60,0)</f>
        <v>0.334159236009202</v>
      </c>
      <c r="DV60" s="86" t="n">
        <f aca="false">IF(DT60&gt;0,(CD60-(BM60-DT60))/DT60,0)</f>
        <v>0.697290177043375</v>
      </c>
      <c r="DW60" s="87" t="n">
        <f aca="false">(1+AH60)*J60*DU60-1</f>
        <v>-0.665840763990798</v>
      </c>
      <c r="DX60" s="87" t="n">
        <f aca="false">(1+AH60)*J60*DV60-1</f>
        <v>-0.302709822956625</v>
      </c>
      <c r="DY60" s="85" t="n">
        <f aca="false">IF(G60&gt;0,(CD60*(1-thr_gm_go)-(BM60-AT60))/G60,"")</f>
        <v>-2683.25818826409</v>
      </c>
      <c r="DZ60" s="90" t="n">
        <f aca="false">IF(AB60&gt;0,(AL60+AN60+BB60+BC60+BD60)/AB60,0)</f>
        <v>0.165361933341923</v>
      </c>
      <c r="EA60" s="88" t="n">
        <f aca="false">BM60-DZ60*AB60</f>
        <v>7432.5171877487</v>
      </c>
      <c r="EB60" s="90" t="n">
        <f aca="false">IF(AB60&gt;0,CD60/AB60,0)</f>
        <v>0.239355</v>
      </c>
      <c r="EC60" s="85" t="n">
        <f aca="false">IF(EB60*(1-thr_gm_go)-DZ60&gt;0,EA60/(EB60*(1-thr_gm_go)-DZ60),"n/a")</f>
        <v>525106.041308434</v>
      </c>
      <c r="ED60" s="85" t="n">
        <f aca="false">IF(EB60-DZ60&gt;0,EA60/(EB60-DZ60),"n/a")</f>
        <v>100448.832889904</v>
      </c>
      <c r="EE60" s="93" t="b">
        <f aca="false">INDEX(cfg_fits,D60,C60)</f>
        <v>1</v>
      </c>
      <c r="EF60" s="87" t="n">
        <f aca="false">IF(F60=4,"",INDEX(cfg_lenutil,D60,C60))</f>
        <v>0.912070410729254</v>
      </c>
      <c r="EG60" s="31" t="str">
        <f aca="false">IF(O60&gt;1,"Check fit (units scaled up)","")</f>
        <v/>
      </c>
    </row>
    <row r="61" customFormat="false" ht="15" hidden="false" customHeight="false" outlineLevel="0" collapsed="false">
      <c r="A61" s="78" t="n">
        <v>2022</v>
      </c>
      <c r="B61" s="9" t="s">
        <v>3209</v>
      </c>
      <c r="C61" s="78" t="n">
        <v>2</v>
      </c>
      <c r="D61" s="78" t="n">
        <v>2</v>
      </c>
      <c r="E61" s="78" t="n">
        <v>2</v>
      </c>
      <c r="F61" s="79" t="n">
        <f aca="false">INDEX(cfg_ct,D61)</f>
        <v>2</v>
      </c>
      <c r="G61" s="79" t="n">
        <f aca="false">INDEX(cfg_n,D61)</f>
        <v>1</v>
      </c>
      <c r="H61" s="79" t="n">
        <f aca="false">INDEX(dest_port,E61)</f>
        <v>1</v>
      </c>
      <c r="I61" s="80" t="n">
        <f aca="false">INDEX(in_fx_cbe,1,C61)*(1-INDEX(in_fx_spread,1,C61))</f>
        <v>52.7748</v>
      </c>
      <c r="J61" s="81" t="n">
        <f aca="false">1</f>
        <v>1</v>
      </c>
      <c r="K61" s="82" t="n">
        <f aca="false">INDEX(in_sup_vat_mode,1,C61)</f>
        <v>2</v>
      </c>
      <c r="L61" s="83" t="n">
        <f aca="false">INDEX(in_cus_s301,1,C61)</f>
        <v>0.125</v>
      </c>
      <c r="M61" s="84" t="n">
        <f aca="false">1</f>
        <v>1</v>
      </c>
      <c r="N61" s="81" t="n">
        <f aca="false">1</f>
        <v>1</v>
      </c>
      <c r="O61" s="81" t="n">
        <f aca="false">1</f>
        <v>1</v>
      </c>
      <c r="P61" s="81" t="n">
        <f aca="false">1</f>
        <v>1</v>
      </c>
      <c r="Q61" s="81" t="n">
        <f aca="false">1</f>
        <v>1</v>
      </c>
      <c r="R61" s="83" t="n">
        <f aca="false">INDEX(in_sel_damage,1,C61)</f>
        <v>0.015</v>
      </c>
      <c r="S61" s="83" t="n">
        <f aca="false">INDEX(in_mkt_dist_margin,1,C61)</f>
        <v>0.25</v>
      </c>
      <c r="T61" s="83" t="n">
        <f aca="false">INDEX(in_mkt_eflute_disc,1,C61)</f>
        <v>0.2</v>
      </c>
      <c r="U61" s="82" t="n">
        <f aca="false">INDEX(in_sel_credit_days,1,C61)</f>
        <v>45</v>
      </c>
      <c r="V61" s="81" t="n">
        <f aca="false">1</f>
        <v>1</v>
      </c>
      <c r="W61" s="83" t="n">
        <f aca="false">INDEX(in_sel_commission,1,C61)</f>
        <v>0.05</v>
      </c>
      <c r="X61" s="82" t="n">
        <f aca="false">1</f>
        <v>1</v>
      </c>
      <c r="Y61" s="85" t="n">
        <f aca="false">INDEX(cfg_u_3464,D61,C61)*O61</f>
        <v>20000</v>
      </c>
      <c r="Z61" s="85" t="n">
        <f aca="false">INDEX(cfg_u_3463,D61,C61)*O61</f>
        <v>20000</v>
      </c>
      <c r="AA61" s="85" t="n">
        <f aca="false">INDEX(cfg_u_3460,D61,C61)*O61</f>
        <v>20000</v>
      </c>
      <c r="AB61" s="85" t="n">
        <f aca="false">Y61+Z61+AA61</f>
        <v>60000</v>
      </c>
      <c r="AC61" s="86" t="n">
        <f aca="false">Y61*INDEX(lg_vpu_3464,C61)</f>
        <v>14.22784</v>
      </c>
      <c r="AD61" s="86" t="n">
        <f aca="false">Z61*INDEX(lg_vpu_3463,C61)</f>
        <v>17.40544</v>
      </c>
      <c r="AE61" s="86" t="n">
        <f aca="false">AA61*INDEX(lg_vpu_3460,C61)</f>
        <v>11.37024</v>
      </c>
      <c r="AF61" s="86" t="n">
        <f aca="false">AC61+AD61+AE61</f>
        <v>43.00352</v>
      </c>
      <c r="AG61" s="85" t="n">
        <f aca="false">Y61*INDEX(lg_kpu_3464,C61)+Z61*INDEX(lg_kpu_3463,C61)+AA61*INDEX(lg_kpu_3460,C61)</f>
        <v>10342.13472</v>
      </c>
      <c r="AH61" s="87" t="n">
        <f aca="false">INDEX(in_sup_requote,1,C61)</f>
        <v>0</v>
      </c>
      <c r="AI61" s="88" t="n">
        <f aca="false">Y61*q_price_3464*(1+AH61)*J61/I61</f>
        <v>3170.0735957313</v>
      </c>
      <c r="AJ61" s="88" t="n">
        <f aca="false">Z61*q_price_3463*(1+AH61)*J61/I61</f>
        <v>2993.85312687116</v>
      </c>
      <c r="AK61" s="88" t="n">
        <f aca="false">AA61*q_price_3460*(1+AH61)*J61/I61</f>
        <v>2614.8843766343</v>
      </c>
      <c r="AL61" s="88" t="n">
        <f aca="false">AI61+AJ61+AK61</f>
        <v>8778.81109923676</v>
      </c>
      <c r="AM61" s="88" t="n">
        <f aca="false">IF(OR(K61=2,K61=3),AL61*INDEX(in_sup_vat_rate,1,C61),0)</f>
        <v>1229.03355389315</v>
      </c>
      <c r="AN61" s="88" t="n">
        <f aca="false">IF(K61=3,AM61,0)</f>
        <v>0</v>
      </c>
      <c r="AO61" s="88" t="n">
        <f aca="false">INDEX(in_sup_tooling_egp,1,C61)/I61</f>
        <v>0</v>
      </c>
      <c r="AP61" s="88" t="n">
        <f aca="false">IF(F61=4,INDEX(in_ori_lcl_truck,1,C61)*V61/I61+INDEX(in_ori_lcl_cfs_o,1,C61),G61*(IF(F61=1,INDEX(in_ori_truck_20,1,C61),INDEX(in_ori_truck_40,1,C61))*V61/I61+INDEX(in_ori_terminal,1,C61)+IF(F61=1,INDEX(in_ori_othc_20,1,C61),INDEX(in_ori_othc_40,1,C61))*(1-INDEX(in_ori_othc_in_freight,1,C61))+INDEX(in_ori_seal,1,C61)+INDEX(in_ori_inspection,1,C61)+INDEX(in_ori_dd_days,1,C61)*IF(F61=1,INDEX(in_ori_dd_20,1,C61),INDEX(in_ori_dd_40,1,C61))+INDEX(in_ori_loading_egp,1,C61)/I61))</f>
        <v>555.278125165799</v>
      </c>
      <c r="AQ61" s="88" t="n">
        <f aca="false">(INDEX(in_ori_clearance,1,C61)+INDEX(in_ori_coo,1,C61))/I61+INDEX(in_ori_bl_fee,1,C61)+INDEX(in_ori_fwd_fee,1,C61)+INDEX(in_ori_qc,1,C61)+INDEX(in_ori_wires,1,C61)*INDEX(in_ori_wire_fee,1,C61)</f>
        <v>817.639062582899</v>
      </c>
      <c r="AR61" s="88" t="n">
        <f aca="false">AP61+AQ61</f>
        <v>1372.9171877487</v>
      </c>
      <c r="AS61" s="85" t="n">
        <f aca="false">INDEX(tbl_port_diff,H61,C61)</f>
        <v>0</v>
      </c>
      <c r="AT61" s="88" t="n">
        <f aca="false">IF(F61=4,MAX(AF61*INDEX(in_oce_lcl_factor,1,C61),AG61/1000,1)*INDEX(in_oce_lcl_rate,1,C61)*M61,G61*(INDEX(tbl_ocean_rate,MIN(F61,3),C61)+AS61)*M61)</f>
        <v>3900</v>
      </c>
      <c r="AU61" s="88" t="n">
        <f aca="false">AT61+INDEX(in_oce_ams,1,C61)</f>
        <v>3935</v>
      </c>
      <c r="AV61" s="88" t="n">
        <f aca="false">AI61*(1+IF(K61=3,INDEX(in_sup_vat_rate,1,C61),0))+AO61*Y61/AB61</f>
        <v>3170.0735957313</v>
      </c>
      <c r="AW61" s="88" t="n">
        <f aca="false">AJ61*(1+IF(K61=3,INDEX(in_sup_vat_rate,1,C61),0))+AO61*Z61/AB61</f>
        <v>2993.85312687116</v>
      </c>
      <c r="AX61" s="88" t="n">
        <f aca="false">AK61*(1+IF(K61=3,INDEX(in_sup_vat_rate,1,C61),0))+AO61*AA61/AB61</f>
        <v>2614.8843766343</v>
      </c>
      <c r="AY61" s="88" t="n">
        <f aca="false">AV61+AW61+AX61</f>
        <v>8778.81109923676</v>
      </c>
      <c r="AZ61" s="88" t="n">
        <f aca="false">MAX(INDEX(in_oce_ins_min,1,C61),INDEX(in_oce_ins_rate,1,C61)*(1+INDEX(in_oce_ins_uplift,1,C61))*(AL61+AO61+AR61+AU61))*(1-INDEX(in_oce_ins_in_other,1,C61))</f>
        <v>75</v>
      </c>
      <c r="BA61" s="87" t="n">
        <f aca="false">INDEX(in_cus_mfn,1,C61)+L61</f>
        <v>0.125</v>
      </c>
      <c r="BB61" s="88" t="n">
        <f aca="false">AY61*BA61</f>
        <v>1097.35138740459</v>
      </c>
      <c r="BC61" s="88" t="n">
        <f aca="false">MIN(MAX(AY61*INDEX(in_cus_mpf_rate,1,C61),INDEX(in_cus_mpf_min,1,C61)),INDEX(in_cus_mpf_max,1,C61))</f>
        <v>34.58</v>
      </c>
      <c r="BD61" s="88" t="n">
        <f aca="false">AY61*INDEX(in_cus_hmf,1,C61)</f>
        <v>10.9735138740459</v>
      </c>
      <c r="BE61" s="88" t="n">
        <f aca="false">MAX(INDEX(in_cus_stb_min,1,C61),INDEX(in_cus_stb_rate,1,C61)/1000*(AY61+BB61+BC61+BD61))</f>
        <v>75</v>
      </c>
      <c r="BF61" s="88" t="n">
        <f aca="false">INDEX(in_cus_broker,1,C61)+INDEX(in_cus_isf,1,C61)+INDEX(in_cus_do_fee,1,C61)+BE61+INDEX(in_cus_isf_bond,1,C61)</f>
        <v>510</v>
      </c>
      <c r="BG61" s="88" t="n">
        <f aca="false">IF(H61=1,INDEX(in_cus_cfc,1,C61)*INDEX(ct_teu,F61)*G61*(1-INDEX(in_cus_cfc_in_freight,1,C61)),0)</f>
        <v>29.6</v>
      </c>
      <c r="BH61" s="88" t="n">
        <f aca="false">IF(F61=4,1,G61)*(INDEX(in_cus_exam,1,C61)+INDEX(in_cus_exam_dray,1,C61))</f>
        <v>0</v>
      </c>
      <c r="BI61" s="88" t="n">
        <f aca="false">IF(F61=4,1,G61)*INDEX(in_cus_dem_days,1,C61)*INDEX(in_cus_dem_rate,1,C61)</f>
        <v>0</v>
      </c>
      <c r="BJ61" s="88" t="n">
        <f aca="false">BG61+BH61+BI61</f>
        <v>29.6</v>
      </c>
      <c r="BK61" s="88" t="n">
        <f aca="false">IF(F61=4,(INDEX(in_dra_lcl_cfs_d,1,C61)+INDEX(in_dra_lcl_deliv,1,C61))*P61,G61*(INDEX(tbl_dest_line,E61,C61)*P61*(1+INDEX(in_dra_fsc,1,C61))+INDEX(tbl_dest_tolls,E61,C61)+INDEX(in_dra_chassis_days,1,C61)*INDEX(tbl_dest_chassis,E61,C61)*(1-INDEX(in_dra_chassis_in_dray,1,C61))+INDEX(in_dra_wait_hours,1,C61)*INDEX(in_dra_wait_rate,1,C61)+INDEX(in_dra_split,1,C61)+INDEX(in_dra_prepull,1,C61)+INDEX(in_dra_dryrun,1,C61)))</f>
        <v>1350</v>
      </c>
      <c r="BL61" s="88" t="n">
        <f aca="false">IF(F61=4,0,G61*IF(F61=1,INDEX(in_dra_unload_20,1,C61),INDEX(in_dra_unload_40,1,C61))*Q61*(1-INDEX(in_dra_unload_in_dray,1,C61)))</f>
        <v>450</v>
      </c>
      <c r="BM61" s="88" t="n">
        <f aca="false">AL61+AN61+AO61+AR61+AU61+AZ61+BB61+BC61+BD61+BF61+BJ61+BK61+BL61</f>
        <v>17644.2331882641</v>
      </c>
      <c r="BN61" s="88" t="n">
        <f aca="false">AP61+AU61+BJ61+BK61+BL61</f>
        <v>6319.8781251658</v>
      </c>
      <c r="BO61" s="88" t="n">
        <f aca="false">AQ61+BF61</f>
        <v>1327.6390625829</v>
      </c>
      <c r="BP61" s="88" t="n">
        <f aca="false">AI61*(1+IF(K61=3,INDEX(in_sup_vat_rate,1,C61),0))+AO61*Y61/AB61+AV61*BA61+(BC61+BD61)*AV61/AY61+AZ61*AI61/AL61+BN61*AC61/AF61+BO61*Y61/AB61</f>
        <v>6143.36174784702</v>
      </c>
      <c r="BQ61" s="88" t="n">
        <f aca="false">AJ61*(1+IF(K61=3,INDEX(in_sup_vat_rate,1,C61),0))+AO61*Z61/AB61+AW61*BA61+(BC61+BD61)*AW61/AY61+AZ61*AJ61/AL61+BN61*AD61/AF61+BO61*Z61/AB61</f>
        <v>6409.67987145445</v>
      </c>
      <c r="BR61" s="88" t="n">
        <f aca="false">AK61*(1+IF(K61=3,INDEX(in_sup_vat_rate,1,C61),0))+AO61*AA61/AB61+AX61*BA61+(BC61+BD61)*AX61/AY61+AZ61*AK61/AL61+BN61*AE61/AF61+BO61*AA61/AB61</f>
        <v>5091.19156896263</v>
      </c>
      <c r="BS61" s="89" t="n">
        <f aca="false">BP61+BQ61+BR61-BM61</f>
        <v>0</v>
      </c>
      <c r="BT61" s="85" t="n">
        <f aca="false">Y61*(1-R61)</f>
        <v>19700</v>
      </c>
      <c r="BU61" s="85" t="n">
        <f aca="false">Z61*(1-R61)</f>
        <v>19700</v>
      </c>
      <c r="BV61" s="85" t="n">
        <f aca="false">AA61*(1-R61)</f>
        <v>19700</v>
      </c>
      <c r="BW61" s="85" t="n">
        <f aca="false">BT61+BU61+BV61</f>
        <v>59100</v>
      </c>
      <c r="BX61" s="90" t="n">
        <f aca="false">IF(BT61&gt;0,BP61/BT61,0)</f>
        <v>0.311845774002387</v>
      </c>
      <c r="BY61" s="90" t="n">
        <f aca="false">IF(BU61&gt;0,BQ61/BU61,0)</f>
        <v>0.325364460479921</v>
      </c>
      <c r="BZ61" s="90" t="n">
        <f aca="false">IF(BV61&gt;0,BR61/BV61,0)</f>
        <v>0.25843612025191</v>
      </c>
      <c r="CA61" s="90" t="n">
        <f aca="false">INDEX(in_mkt_listing_3464,1,C61)*(1-IF(sku_flute_3464="B",T61,0))*(1-S61)*N61</f>
        <v>0.234</v>
      </c>
      <c r="CB61" s="90" t="n">
        <f aca="false">INDEX(in_mkt_listing_3463,1,C61)*(1-IF(sku_flute_3463="B",T61,0))*(1-S61)*N61</f>
        <v>0.27</v>
      </c>
      <c r="CC61" s="90" t="n">
        <f aca="false">INDEX(in_mkt_listing_3460,1,C61)*(1-IF(sku_flute_3460="B",T61,0))*(1-S61)*N61</f>
        <v>0.225</v>
      </c>
      <c r="CD61" s="88" t="n">
        <f aca="false">BT61*CA61+BU61*CB61+BV61*CC61</f>
        <v>14361.3</v>
      </c>
      <c r="CE61" s="88" t="n">
        <f aca="false">CD61-BM61</f>
        <v>-3282.93318826409</v>
      </c>
      <c r="CF61" s="87" t="n">
        <f aca="false">IF(CD61&gt;0,CE61/CD61,0)</f>
        <v>-0.228595822680683</v>
      </c>
      <c r="CG61" s="87" t="n">
        <f aca="false">W61+INDEX(in_sel_processing,1,C61)+INDEX(in_sel_bad_debt,1,C61)</f>
        <v>0.058</v>
      </c>
      <c r="CH61" s="88" t="n">
        <f aca="false">CD61*CG61</f>
        <v>832.9554</v>
      </c>
      <c r="CI61" s="88" t="n">
        <f aca="false">INDEX(in_sel_testing,1,C61)*X61+INDEX(in_sel_admin,1,C61)</f>
        <v>3000</v>
      </c>
      <c r="CJ61" s="79" t="n">
        <f aca="false">INDEX(in_sup_lead_days,1,C61)</f>
        <v>21</v>
      </c>
      <c r="CK61" s="79" t="n">
        <f aca="false">CJ61+INDEX(in_oce_transit,1,C61)+IF(F61=4,INDEX(in_oce_lcl_extra_days,1,C61),0)</f>
        <v>51</v>
      </c>
      <c r="CL61" s="79" t="n">
        <f aca="false">CK61+2+INDEX(in_cus_dem_days,1,C61)</f>
        <v>53</v>
      </c>
      <c r="CM61" s="79" t="n">
        <f aca="false">CL61+U61</f>
        <v>98</v>
      </c>
      <c r="CN61" s="79" t="n">
        <f aca="false">CJ61+INDEX(in_sup_vat_lag,1,C61)</f>
        <v>81</v>
      </c>
      <c r="CO61" s="91" t="n">
        <f aca="false">INDEX(in_sup_advance,1,C61)</f>
        <v>0.5</v>
      </c>
      <c r="CP61" s="88" t="n">
        <f aca="false">CO61*(AL61+AM61)+AO61+INDEX(in_sel_testing,1,C61)*X61</f>
        <v>7503.92232656495</v>
      </c>
      <c r="CQ61" s="88" t="n">
        <f aca="false">(1-CO61)*(AL61+AM61)+AR61+AU61+AZ61</f>
        <v>10386.8395143137</v>
      </c>
      <c r="CR61" s="88" t="n">
        <f aca="false">BB61+BC61+BD61+BF61+BJ61</f>
        <v>1682.50490127864</v>
      </c>
      <c r="CS61" s="88" t="n">
        <f aca="false">BK61+BL61</f>
        <v>1800</v>
      </c>
      <c r="CT61" s="88" t="n">
        <f aca="false">IF(K61=2,AM61,0)</f>
        <v>1229.03355389315</v>
      </c>
      <c r="CU61" s="85" t="n">
        <f aca="false">IF(K61=2,CO61*AM61*(CN61-0)+(1-CO61)*AM61*(CN61-CJ61),0)</f>
        <v>86646.8655494668</v>
      </c>
      <c r="CV61" s="85" t="n">
        <f aca="false">(CP61-CO61*CT61)*(CM61-0)+(CQ61-(1-CO61)*CT61)*(CM61-CJ61)+CR61*(CM61-CK61)+CS61*(CM61-CL61)</f>
        <v>1587708.32499996</v>
      </c>
      <c r="CW61" s="88" t="n">
        <f aca="false">INDEX(in_sel_fin_rate,1,C61)/365*(CU61+CV61)</f>
        <v>458.727449465597</v>
      </c>
      <c r="CX61" s="85" t="n">
        <f aca="false">CP61-IF(CN61&lt;=0,CT61,0)</f>
        <v>7503.92232656495</v>
      </c>
      <c r="CY61" s="85" t="n">
        <f aca="false">CP61+CQ61-IF(CN61&lt;=CJ61,CT61,0)</f>
        <v>17890.7618408786</v>
      </c>
      <c r="CZ61" s="85" t="n">
        <f aca="false">CP61+CQ61+CR61-IF(CN61&lt;=CK61,CT61,0)</f>
        <v>19573.2667421572</v>
      </c>
      <c r="DA61" s="85" t="n">
        <f aca="false">CP61+CQ61+CR61+CS61-IF(CN61&lt;=CL61,CT61,0)</f>
        <v>21373.2667421572</v>
      </c>
      <c r="DB61" s="88" t="n">
        <f aca="false">MAX(CX61,CY61,CZ61,DA61)</f>
        <v>21373.2667421572</v>
      </c>
      <c r="DC61" s="88" t="n">
        <f aca="false">CP61+CQ61+CR61+CS61</f>
        <v>21373.2667421572</v>
      </c>
      <c r="DD61" s="88" t="n">
        <f aca="false">CE61-CH61-CI61-CW61</f>
        <v>-7574.61603772969</v>
      </c>
      <c r="DE61" s="87" t="n">
        <f aca="false">IF(CD61&gt;0,DD61/CD61,0)</f>
        <v>-0.527432477403138</v>
      </c>
      <c r="DF61" s="86" t="n">
        <f aca="false">IF(CD61&gt;0,(BM61+CI61+CW61)/(CD61*(1-CG61)),0)</f>
        <v>1.55990708853836</v>
      </c>
      <c r="DG61" s="90" t="n">
        <f aca="false">IF(BW61&gt;0,BM61/BW61,0)</f>
        <v>0.298548784911406</v>
      </c>
      <c r="DH61" s="90" t="n">
        <f aca="false">IF(BW61&gt;0,CD61/BW61,0)</f>
        <v>0.243</v>
      </c>
      <c r="DI61" s="90" t="n">
        <f aca="false">IF(AI61&gt;0,(AI61*IF(K61=3,INDEX(in_sup_vat_rate,1,C61),0)+AV61*BA61+(BC61+BD61)*AV61/AY61+AZ61*AI61/AL61)/AI61,0)</f>
        <v>0.138732328046622</v>
      </c>
      <c r="DJ61" s="90" t="n">
        <f aca="false">IF(AJ61&gt;0,(AJ61*IF(K61=3,INDEX(in_sup_vat_rate,1,C61),0)+AW61*BA61+(BC61+BD61)*AW61/AY61+AZ61*AJ61/AL61)/AJ61,0)</f>
        <v>0.138732328046622</v>
      </c>
      <c r="DK61" s="90" t="n">
        <f aca="false">IF(AK61&gt;0,(AK61*IF(K61=3,INDEX(in_sup_vat_rate,1,C61),0)+AX61*BA61+(BC61+BD61)*AX61/AY61+AZ61*AK61/AL61)/AK61,0)</f>
        <v>0.138732328046622</v>
      </c>
      <c r="DL61" s="90" t="n">
        <f aca="false">IF(Y61&gt;0,(BP61-AI61*(1+DI61))/Y61,0)</f>
        <v>0.12667482310504</v>
      </c>
      <c r="DM61" s="90" t="n">
        <f aca="false">IF(Z61&gt;0,(BQ61-AJ61*(1+DJ61))/Z61,0)</f>
        <v>0.15002412652314</v>
      </c>
      <c r="DN61" s="90" t="n">
        <f aca="false">IF(AA61&gt;0,(BR61-AK61*(1+DK61))/AA61,0)</f>
        <v>0.105676909759256</v>
      </c>
      <c r="DO61" s="86" t="n">
        <f aca="false">IF(Y61&gt;0,(CA61*(1-thr_gm_go)*(1-R61)-DL61)/(1+DI61)*I61/((1+AH61)*J61),"")</f>
        <v>2.14080976235914</v>
      </c>
      <c r="DP61" s="86" t="n">
        <f aca="false">IF(Z61&gt;0,(CB61*(1-thr_gm_go)*(1-R61)-DM61)/(1+DJ61)*I61/((1+AH61)*J61),"")</f>
        <v>2.29123228374683</v>
      </c>
      <c r="DQ61" s="86" t="n">
        <f aca="false">IF(AA61&gt;0,(CC61*(1-thr_gm_go)*(1-R61)-DN61)/(1+DK61)*I61/((1+AH61)*J61),"")</f>
        <v>2.80582489110331</v>
      </c>
      <c r="DR61" s="92" t="n">
        <f aca="false">IF(AND(AY61*INDEX(in_cus_mpf_rate,1,C61)&gt;INDEX(in_cus_mpf_min,1,C61),AY61*INDEX(in_cus_mpf_rate,1,C61)&lt;INDEX(in_cus_mpf_max,1,C61)),INDEX(in_cus_mpf_rate,1,C61),0)</f>
        <v>0</v>
      </c>
      <c r="DS61" s="88" t="n">
        <f aca="false">IF(AZ61&gt;INDEX(in_oce_ins_min,1,C61),INDEX(in_oce_ins_rate,1,C61)*(1+INDEX(in_oce_ins_uplift,1,C61))*AL61,0)</f>
        <v>0</v>
      </c>
      <c r="DT61" s="88" t="n">
        <f aca="false">(AL61+AN61)*(1+BA61+INDEX(in_cus_hmf,1,C61)+DR61)+DS61</f>
        <v>9887.1360005154</v>
      </c>
      <c r="DU61" s="86" t="n">
        <f aca="false">IF(DT61&gt;0,(CD61*(1-thr_gm_go)-(BM61-DT61))/DT61,0)</f>
        <v>0.304828194139759</v>
      </c>
      <c r="DV61" s="86" t="n">
        <f aca="false">IF(DT61&gt;0,(CD61-(BM61-DT61))/DT61,0)</f>
        <v>0.667959135173931</v>
      </c>
      <c r="DW61" s="87" t="n">
        <f aca="false">(1+AH61)*J61*DU61-1</f>
        <v>-0.695171805860241</v>
      </c>
      <c r="DX61" s="87" t="n">
        <f aca="false">(1+AH61)*J61*DV61-1</f>
        <v>-0.332040864826069</v>
      </c>
      <c r="DY61" s="85" t="n">
        <f aca="false">IF(G61&gt;0,(CD61*(1-thr_gm_go)-(BM61-AT61))/G61,"")</f>
        <v>-2973.25818826409</v>
      </c>
      <c r="DZ61" s="90" t="n">
        <f aca="false">IF(AB61&gt;0,(AL61+AN61+BB61+BC61+BD61)/AB61,0)</f>
        <v>0.165361933341923</v>
      </c>
      <c r="EA61" s="88" t="n">
        <f aca="false">BM61-DZ61*AB61</f>
        <v>7722.5171877487</v>
      </c>
      <c r="EB61" s="90" t="n">
        <f aca="false">IF(AB61&gt;0,CD61/AB61,0)</f>
        <v>0.239355</v>
      </c>
      <c r="EC61" s="85" t="n">
        <f aca="false">IF(EB61*(1-thr_gm_go)-DZ61&gt;0,EA61/(EB61*(1-thr_gm_go)-DZ61),"n/a")</f>
        <v>545594.490663177</v>
      </c>
      <c r="ED61" s="85" t="n">
        <f aca="false">IF(EB61-DZ61&gt;0,EA61/(EB61-DZ61),"n/a")</f>
        <v>104368.119021672</v>
      </c>
      <c r="EE61" s="93" t="b">
        <f aca="false">INDEX(cfg_fits,D61,C61)</f>
        <v>1</v>
      </c>
      <c r="EF61" s="87" t="n">
        <f aca="false">IF(F61=4,"",INDEX(cfg_lenutil,D61,C61))</f>
        <v>0.912070410729254</v>
      </c>
      <c r="EG61" s="31" t="str">
        <f aca="false">IF(O61&gt;1,"Check fit (units scaled up)","")</f>
        <v/>
      </c>
    </row>
    <row r="62" customFormat="false" ht="15" hidden="false" customHeight="false" outlineLevel="0" collapsed="false">
      <c r="A62" s="78" t="n">
        <v>2023</v>
      </c>
      <c r="B62" s="9" t="s">
        <v>3210</v>
      </c>
      <c r="C62" s="78" t="n">
        <v>2</v>
      </c>
      <c r="D62" s="78" t="n">
        <v>2</v>
      </c>
      <c r="E62" s="78" t="n">
        <v>3</v>
      </c>
      <c r="F62" s="79" t="n">
        <f aca="false">INDEX(cfg_ct,D62)</f>
        <v>2</v>
      </c>
      <c r="G62" s="79" t="n">
        <f aca="false">INDEX(cfg_n,D62)</f>
        <v>1</v>
      </c>
      <c r="H62" s="79" t="n">
        <f aca="false">INDEX(dest_port,E62)</f>
        <v>2</v>
      </c>
      <c r="I62" s="80" t="n">
        <f aca="false">INDEX(in_fx_cbe,1,C62)*(1-INDEX(in_fx_spread,1,C62))</f>
        <v>52.7748</v>
      </c>
      <c r="J62" s="81" t="n">
        <f aca="false">1</f>
        <v>1</v>
      </c>
      <c r="K62" s="82" t="n">
        <f aca="false">INDEX(in_sup_vat_mode,1,C62)</f>
        <v>2</v>
      </c>
      <c r="L62" s="83" t="n">
        <f aca="false">INDEX(in_cus_s301,1,C62)</f>
        <v>0.125</v>
      </c>
      <c r="M62" s="84" t="n">
        <f aca="false">1</f>
        <v>1</v>
      </c>
      <c r="N62" s="81" t="n">
        <f aca="false">1</f>
        <v>1</v>
      </c>
      <c r="O62" s="81" t="n">
        <f aca="false">1</f>
        <v>1</v>
      </c>
      <c r="P62" s="81" t="n">
        <f aca="false">1</f>
        <v>1</v>
      </c>
      <c r="Q62" s="81" t="n">
        <f aca="false">1</f>
        <v>1</v>
      </c>
      <c r="R62" s="83" t="n">
        <f aca="false">INDEX(in_sel_damage,1,C62)</f>
        <v>0.015</v>
      </c>
      <c r="S62" s="83" t="n">
        <f aca="false">INDEX(in_mkt_dist_margin,1,C62)</f>
        <v>0.25</v>
      </c>
      <c r="T62" s="83" t="n">
        <f aca="false">INDEX(in_mkt_eflute_disc,1,C62)</f>
        <v>0.2</v>
      </c>
      <c r="U62" s="82" t="n">
        <f aca="false">INDEX(in_sel_credit_days,1,C62)</f>
        <v>45</v>
      </c>
      <c r="V62" s="81" t="n">
        <f aca="false">1</f>
        <v>1</v>
      </c>
      <c r="W62" s="83" t="n">
        <f aca="false">INDEX(in_sel_commission,1,C62)</f>
        <v>0.05</v>
      </c>
      <c r="X62" s="82" t="n">
        <f aca="false">1</f>
        <v>1</v>
      </c>
      <c r="Y62" s="85" t="n">
        <f aca="false">INDEX(cfg_u_3464,D62,C62)*O62</f>
        <v>20000</v>
      </c>
      <c r="Z62" s="85" t="n">
        <f aca="false">INDEX(cfg_u_3463,D62,C62)*O62</f>
        <v>20000</v>
      </c>
      <c r="AA62" s="85" t="n">
        <f aca="false">INDEX(cfg_u_3460,D62,C62)*O62</f>
        <v>20000</v>
      </c>
      <c r="AB62" s="85" t="n">
        <f aca="false">Y62+Z62+AA62</f>
        <v>60000</v>
      </c>
      <c r="AC62" s="86" t="n">
        <f aca="false">Y62*INDEX(lg_vpu_3464,C62)</f>
        <v>14.22784</v>
      </c>
      <c r="AD62" s="86" t="n">
        <f aca="false">Z62*INDEX(lg_vpu_3463,C62)</f>
        <v>17.40544</v>
      </c>
      <c r="AE62" s="86" t="n">
        <f aca="false">AA62*INDEX(lg_vpu_3460,C62)</f>
        <v>11.37024</v>
      </c>
      <c r="AF62" s="86" t="n">
        <f aca="false">AC62+AD62+AE62</f>
        <v>43.00352</v>
      </c>
      <c r="AG62" s="85" t="n">
        <f aca="false">Y62*INDEX(lg_kpu_3464,C62)+Z62*INDEX(lg_kpu_3463,C62)+AA62*INDEX(lg_kpu_3460,C62)</f>
        <v>10342.13472</v>
      </c>
      <c r="AH62" s="87" t="n">
        <f aca="false">INDEX(in_sup_requote,1,C62)</f>
        <v>0</v>
      </c>
      <c r="AI62" s="88" t="n">
        <f aca="false">Y62*q_price_3464*(1+AH62)*J62/I62</f>
        <v>3170.0735957313</v>
      </c>
      <c r="AJ62" s="88" t="n">
        <f aca="false">Z62*q_price_3463*(1+AH62)*J62/I62</f>
        <v>2993.85312687116</v>
      </c>
      <c r="AK62" s="88" t="n">
        <f aca="false">AA62*q_price_3460*(1+AH62)*J62/I62</f>
        <v>2614.8843766343</v>
      </c>
      <c r="AL62" s="88" t="n">
        <f aca="false">AI62+AJ62+AK62</f>
        <v>8778.81109923676</v>
      </c>
      <c r="AM62" s="88" t="n">
        <f aca="false">IF(OR(K62=2,K62=3),AL62*INDEX(in_sup_vat_rate,1,C62),0)</f>
        <v>1229.03355389315</v>
      </c>
      <c r="AN62" s="88" t="n">
        <f aca="false">IF(K62=3,AM62,0)</f>
        <v>0</v>
      </c>
      <c r="AO62" s="88" t="n">
        <f aca="false">INDEX(in_sup_tooling_egp,1,C62)/I62</f>
        <v>0</v>
      </c>
      <c r="AP62" s="88" t="n">
        <f aca="false">IF(F62=4,INDEX(in_ori_lcl_truck,1,C62)*V62/I62+INDEX(in_ori_lcl_cfs_o,1,C62),G62*(IF(F62=1,INDEX(in_ori_truck_20,1,C62),INDEX(in_ori_truck_40,1,C62))*V62/I62+INDEX(in_ori_terminal,1,C62)+IF(F62=1,INDEX(in_ori_othc_20,1,C62),INDEX(in_ori_othc_40,1,C62))*(1-INDEX(in_ori_othc_in_freight,1,C62))+INDEX(in_ori_seal,1,C62)+INDEX(in_ori_inspection,1,C62)+INDEX(in_ori_dd_days,1,C62)*IF(F62=1,INDEX(in_ori_dd_20,1,C62),INDEX(in_ori_dd_40,1,C62))+INDEX(in_ori_loading_egp,1,C62)/I62))</f>
        <v>555.278125165799</v>
      </c>
      <c r="AQ62" s="88" t="n">
        <f aca="false">(INDEX(in_ori_clearance,1,C62)+INDEX(in_ori_coo,1,C62))/I62+INDEX(in_ori_bl_fee,1,C62)+INDEX(in_ori_fwd_fee,1,C62)+INDEX(in_ori_qc,1,C62)+INDEX(in_ori_wires,1,C62)*INDEX(in_ori_wire_fee,1,C62)</f>
        <v>817.639062582899</v>
      </c>
      <c r="AR62" s="88" t="n">
        <f aca="false">AP62+AQ62</f>
        <v>1372.9171877487</v>
      </c>
      <c r="AS62" s="85" t="n">
        <f aca="false">INDEX(tbl_port_diff,H62,C62)</f>
        <v>150</v>
      </c>
      <c r="AT62" s="88" t="n">
        <f aca="false">IF(F62=4,MAX(AF62*INDEX(in_oce_lcl_factor,1,C62),AG62/1000,1)*INDEX(in_oce_lcl_rate,1,C62)*M62,G62*(INDEX(tbl_ocean_rate,MIN(F62,3),C62)+AS62)*M62)</f>
        <v>4050</v>
      </c>
      <c r="AU62" s="88" t="n">
        <f aca="false">AT62+INDEX(in_oce_ams,1,C62)</f>
        <v>4085</v>
      </c>
      <c r="AV62" s="88" t="n">
        <f aca="false">AI62*(1+IF(K62=3,INDEX(in_sup_vat_rate,1,C62),0))+AO62*Y62/AB62</f>
        <v>3170.0735957313</v>
      </c>
      <c r="AW62" s="88" t="n">
        <f aca="false">AJ62*(1+IF(K62=3,INDEX(in_sup_vat_rate,1,C62),0))+AO62*Z62/AB62</f>
        <v>2993.85312687116</v>
      </c>
      <c r="AX62" s="88" t="n">
        <f aca="false">AK62*(1+IF(K62=3,INDEX(in_sup_vat_rate,1,C62),0))+AO62*AA62/AB62</f>
        <v>2614.8843766343</v>
      </c>
      <c r="AY62" s="88" t="n">
        <f aca="false">AV62+AW62+AX62</f>
        <v>8778.81109923676</v>
      </c>
      <c r="AZ62" s="88" t="n">
        <f aca="false">MAX(INDEX(in_oce_ins_min,1,C62),INDEX(in_oce_ins_rate,1,C62)*(1+INDEX(in_oce_ins_uplift,1,C62))*(AL62+AO62+AR62+AU62))*(1-INDEX(in_oce_ins_in_other,1,C62))</f>
        <v>75</v>
      </c>
      <c r="BA62" s="87" t="n">
        <f aca="false">INDEX(in_cus_mfn,1,C62)+L62</f>
        <v>0.125</v>
      </c>
      <c r="BB62" s="88" t="n">
        <f aca="false">AY62*BA62</f>
        <v>1097.35138740459</v>
      </c>
      <c r="BC62" s="88" t="n">
        <f aca="false">MIN(MAX(AY62*INDEX(in_cus_mpf_rate,1,C62),INDEX(in_cus_mpf_min,1,C62)),INDEX(in_cus_mpf_max,1,C62))</f>
        <v>34.58</v>
      </c>
      <c r="BD62" s="88" t="n">
        <f aca="false">AY62*INDEX(in_cus_hmf,1,C62)</f>
        <v>10.9735138740459</v>
      </c>
      <c r="BE62" s="88" t="n">
        <f aca="false">MAX(INDEX(in_cus_stb_min,1,C62),INDEX(in_cus_stb_rate,1,C62)/1000*(AY62+BB62+BC62+BD62))</f>
        <v>75</v>
      </c>
      <c r="BF62" s="88" t="n">
        <f aca="false">INDEX(in_cus_broker,1,C62)+INDEX(in_cus_isf,1,C62)+INDEX(in_cus_do_fee,1,C62)+BE62+INDEX(in_cus_isf_bond,1,C62)</f>
        <v>510</v>
      </c>
      <c r="BG62" s="88" t="n">
        <f aca="false">IF(H62=1,INDEX(in_cus_cfc,1,C62)*INDEX(ct_teu,F62)*G62*(1-INDEX(in_cus_cfc_in_freight,1,C62)),0)</f>
        <v>0</v>
      </c>
      <c r="BH62" s="88" t="n">
        <f aca="false">IF(F62=4,1,G62)*(INDEX(in_cus_exam,1,C62)+INDEX(in_cus_exam_dray,1,C62))</f>
        <v>0</v>
      </c>
      <c r="BI62" s="88" t="n">
        <f aca="false">IF(F62=4,1,G62)*INDEX(in_cus_dem_days,1,C62)*INDEX(in_cus_dem_rate,1,C62)</f>
        <v>0</v>
      </c>
      <c r="BJ62" s="88" t="n">
        <f aca="false">BG62+BH62+BI62</f>
        <v>0</v>
      </c>
      <c r="BK62" s="88" t="n">
        <f aca="false">IF(F62=4,(INDEX(in_dra_lcl_cfs_d,1,C62)+INDEX(in_dra_lcl_deliv,1,C62))*P62,G62*(INDEX(tbl_dest_line,E62,C62)*P62*(1+INDEX(in_dra_fsc,1,C62))+INDEX(tbl_dest_tolls,E62,C62)+INDEX(in_dra_chassis_days,1,C62)*INDEX(tbl_dest_chassis,E62,C62)*(1-INDEX(in_dra_chassis_in_dray,1,C62))+INDEX(in_dra_wait_hours,1,C62)*INDEX(in_dra_wait_rate,1,C62)+INDEX(in_dra_split,1,C62)+INDEX(in_dra_prepull,1,C62)+INDEX(in_dra_dryrun,1,C62)))</f>
        <v>904</v>
      </c>
      <c r="BL62" s="88" t="n">
        <f aca="false">IF(F62=4,0,G62*IF(F62=1,INDEX(in_dra_unload_20,1,C62),INDEX(in_dra_unload_40,1,C62))*Q62*(1-INDEX(in_dra_unload_in_dray,1,C62)))</f>
        <v>450</v>
      </c>
      <c r="BM62" s="88" t="n">
        <f aca="false">AL62+AN62+AO62+AR62+AU62+AZ62+BB62+BC62+BD62+BF62+BJ62+BK62+BL62</f>
        <v>17318.6331882641</v>
      </c>
      <c r="BN62" s="88" t="n">
        <f aca="false">AP62+AU62+BJ62+BK62+BL62</f>
        <v>5994.2781251658</v>
      </c>
      <c r="BO62" s="88" t="n">
        <f aca="false">AQ62+BF62</f>
        <v>1327.6390625829</v>
      </c>
      <c r="BP62" s="88" t="n">
        <f aca="false">AI62*(1+IF(K62=3,INDEX(in_sup_vat_rate,1,C62),0))+AO62*Y62/AB62+AV62*BA62+(BC62+BD62)*AV62/AY62+AZ62*AI62/AL62+BN62*AC62/AF62+BO62*Y62/AB62</f>
        <v>6035.6360383237</v>
      </c>
      <c r="BQ62" s="88" t="n">
        <f aca="false">AJ62*(1+IF(K62=3,INDEX(in_sup_vat_rate,1,C62),0))+AO62*Z62/AB62+AW62*BA62+(BC62+BD62)*AW62/AY62+AZ62*AJ62/AL62+BN62*AD62/AF62+BO62*Z62/AB62</f>
        <v>6277.89504863064</v>
      </c>
      <c r="BR62" s="88" t="n">
        <f aca="false">AK62*(1+IF(K62=3,INDEX(in_sup_vat_rate,1,C62),0))+AO62*AA62/AB62+AX62*BA62+(BC62+BD62)*AX62/AY62+AZ62*AK62/AL62+BN62*AE62/AF62+BO62*AA62/AB62</f>
        <v>5005.10210130975</v>
      </c>
      <c r="BS62" s="89" t="n">
        <f aca="false">BP62+BQ62+BR62-BM62</f>
        <v>0</v>
      </c>
      <c r="BT62" s="85" t="n">
        <f aca="false">Y62*(1-R62)</f>
        <v>19700</v>
      </c>
      <c r="BU62" s="85" t="n">
        <f aca="false">Z62*(1-R62)</f>
        <v>19700</v>
      </c>
      <c r="BV62" s="85" t="n">
        <f aca="false">AA62*(1-R62)</f>
        <v>19700</v>
      </c>
      <c r="BW62" s="85" t="n">
        <f aca="false">BT62+BU62+BV62</f>
        <v>59100</v>
      </c>
      <c r="BX62" s="90" t="n">
        <f aca="false">IF(BT62&gt;0,BP62/BT62,0)</f>
        <v>0.3063774638743</v>
      </c>
      <c r="BY62" s="90" t="n">
        <f aca="false">IF(BU62&gt;0,BQ62/BU62,0)</f>
        <v>0.318674875565007</v>
      </c>
      <c r="BZ62" s="90" t="n">
        <f aca="false">IF(BV62&gt;0,BR62/BV62,0)</f>
        <v>0.254066096513185</v>
      </c>
      <c r="CA62" s="90" t="n">
        <f aca="false">INDEX(in_mkt_listing_3464,1,C62)*(1-IF(sku_flute_3464="B",T62,0))*(1-S62)*N62</f>
        <v>0.234</v>
      </c>
      <c r="CB62" s="90" t="n">
        <f aca="false">INDEX(in_mkt_listing_3463,1,C62)*(1-IF(sku_flute_3463="B",T62,0))*(1-S62)*N62</f>
        <v>0.27</v>
      </c>
      <c r="CC62" s="90" t="n">
        <f aca="false">INDEX(in_mkt_listing_3460,1,C62)*(1-IF(sku_flute_3460="B",T62,0))*(1-S62)*N62</f>
        <v>0.225</v>
      </c>
      <c r="CD62" s="88" t="n">
        <f aca="false">BT62*CA62+BU62*CB62+BV62*CC62</f>
        <v>14361.3</v>
      </c>
      <c r="CE62" s="88" t="n">
        <f aca="false">CD62-BM62</f>
        <v>-2957.33318826409</v>
      </c>
      <c r="CF62" s="87" t="n">
        <f aca="false">IF(CD62&gt;0,CE62/CD62,0)</f>
        <v>-0.205923780456093</v>
      </c>
      <c r="CG62" s="87" t="n">
        <f aca="false">W62+INDEX(in_sel_processing,1,C62)+INDEX(in_sel_bad_debt,1,C62)</f>
        <v>0.058</v>
      </c>
      <c r="CH62" s="88" t="n">
        <f aca="false">CD62*CG62</f>
        <v>832.9554</v>
      </c>
      <c r="CI62" s="88" t="n">
        <f aca="false">INDEX(in_sel_testing,1,C62)*X62+INDEX(in_sel_admin,1,C62)</f>
        <v>3000</v>
      </c>
      <c r="CJ62" s="79" t="n">
        <f aca="false">INDEX(in_sup_lead_days,1,C62)</f>
        <v>21</v>
      </c>
      <c r="CK62" s="79" t="n">
        <f aca="false">CJ62+INDEX(in_oce_transit,1,C62)+IF(F62=4,INDEX(in_oce_lcl_extra_days,1,C62),0)</f>
        <v>51</v>
      </c>
      <c r="CL62" s="79" t="n">
        <f aca="false">CK62+2+INDEX(in_cus_dem_days,1,C62)</f>
        <v>53</v>
      </c>
      <c r="CM62" s="79" t="n">
        <f aca="false">CL62+U62</f>
        <v>98</v>
      </c>
      <c r="CN62" s="79" t="n">
        <f aca="false">CJ62+INDEX(in_sup_vat_lag,1,C62)</f>
        <v>81</v>
      </c>
      <c r="CO62" s="91" t="n">
        <f aca="false">INDEX(in_sup_advance,1,C62)</f>
        <v>0.5</v>
      </c>
      <c r="CP62" s="88" t="n">
        <f aca="false">CO62*(AL62+AM62)+AO62+INDEX(in_sel_testing,1,C62)*X62</f>
        <v>7503.92232656495</v>
      </c>
      <c r="CQ62" s="88" t="n">
        <f aca="false">(1-CO62)*(AL62+AM62)+AR62+AU62+AZ62</f>
        <v>10536.8395143137</v>
      </c>
      <c r="CR62" s="88" t="n">
        <f aca="false">BB62+BC62+BD62+BF62+BJ62</f>
        <v>1652.90490127864</v>
      </c>
      <c r="CS62" s="88" t="n">
        <f aca="false">BK62+BL62</f>
        <v>1354</v>
      </c>
      <c r="CT62" s="88" t="n">
        <f aca="false">IF(K62=2,AM62,0)</f>
        <v>1229.03355389315</v>
      </c>
      <c r="CU62" s="85" t="n">
        <f aca="false">IF(K62=2,CO62*AM62*(CN62-0)+(1-CO62)*AM62*(CN62-CJ62),0)</f>
        <v>86646.8655494668</v>
      </c>
      <c r="CV62" s="85" t="n">
        <f aca="false">(CP62-CO62*CT62)*(CM62-0)+(CQ62-(1-CO62)*CT62)*(CM62-CJ62)+CR62*(CM62-CK62)+CS62*(CM62-CL62)</f>
        <v>1577797.12499996</v>
      </c>
      <c r="CW62" s="88" t="n">
        <f aca="false">INDEX(in_sel_fin_rate,1,C62)/365*(CU62+CV62)</f>
        <v>456.012052205323</v>
      </c>
      <c r="CX62" s="85" t="n">
        <f aca="false">CP62-IF(CN62&lt;=0,CT62,0)</f>
        <v>7503.92232656495</v>
      </c>
      <c r="CY62" s="85" t="n">
        <f aca="false">CP62+CQ62-IF(CN62&lt;=CJ62,CT62,0)</f>
        <v>18040.7618408786</v>
      </c>
      <c r="CZ62" s="85" t="n">
        <f aca="false">CP62+CQ62+CR62-IF(CN62&lt;=CK62,CT62,0)</f>
        <v>19693.6667421572</v>
      </c>
      <c r="DA62" s="85" t="n">
        <f aca="false">CP62+CQ62+CR62+CS62-IF(CN62&lt;=CL62,CT62,0)</f>
        <v>21047.6667421572</v>
      </c>
      <c r="DB62" s="88" t="n">
        <f aca="false">MAX(CX62,CY62,CZ62,DA62)</f>
        <v>21047.6667421572</v>
      </c>
      <c r="DC62" s="88" t="n">
        <f aca="false">CP62+CQ62+CR62+CS62</f>
        <v>21047.6667421572</v>
      </c>
      <c r="DD62" s="88" t="n">
        <f aca="false">CE62-CH62-CI62-CW62</f>
        <v>-7246.30064046942</v>
      </c>
      <c r="DE62" s="87" t="n">
        <f aca="false">IF(CD62&gt;0,DD62/CD62,0)</f>
        <v>-0.504571357778851</v>
      </c>
      <c r="DF62" s="86" t="n">
        <f aca="false">IF(CD62&gt;0,(BM62+CI62+CW62)/(CD62*(1-CG62)),0)</f>
        <v>1.53563838405398</v>
      </c>
      <c r="DG62" s="90" t="n">
        <f aca="false">IF(BW62&gt;0,BM62/BW62,0)</f>
        <v>0.293039478650831</v>
      </c>
      <c r="DH62" s="90" t="n">
        <f aca="false">IF(BW62&gt;0,CD62/BW62,0)</f>
        <v>0.243</v>
      </c>
      <c r="DI62" s="90" t="n">
        <f aca="false">IF(AI62&gt;0,(AI62*IF(K62=3,INDEX(in_sup_vat_rate,1,C62),0)+AV62*BA62+(BC62+BD62)*AV62/AY62+AZ62*AI62/AL62)/AI62,0)</f>
        <v>0.138732328046622</v>
      </c>
      <c r="DJ62" s="90" t="n">
        <f aca="false">IF(AJ62&gt;0,(AJ62*IF(K62=3,INDEX(in_sup_vat_rate,1,C62),0)+AW62*BA62+(BC62+BD62)*AW62/AY62+AZ62*AJ62/AL62)/AJ62,0)</f>
        <v>0.138732328046622</v>
      </c>
      <c r="DK62" s="90" t="n">
        <f aca="false">IF(AK62&gt;0,(AK62*IF(K62=3,INDEX(in_sup_vat_rate,1,C62),0)+AX62*BA62+(BC62+BD62)*AX62/AY62+AZ62*AK62/AL62)/AK62,0)</f>
        <v>0.138732328046622</v>
      </c>
      <c r="DL62" s="90" t="n">
        <f aca="false">IF(Y62&gt;0,(BP62-AI62*(1+DI62))/Y62,0)</f>
        <v>0.121288537628874</v>
      </c>
      <c r="DM62" s="90" t="n">
        <f aca="false">IF(Z62&gt;0,(BQ62-AJ62*(1+DJ62))/Z62,0)</f>
        <v>0.14343488538195</v>
      </c>
      <c r="DN62" s="90" t="n">
        <f aca="false">IF(AA62&gt;0,(BR62-AK62*(1+DK62))/AA62,0)</f>
        <v>0.101372436376612</v>
      </c>
      <c r="DO62" s="86" t="n">
        <f aca="false">IF(Y62&gt;0,(CA62*(1-thr_gm_go)*(1-R62)-DL62)/(1+DI62)*I62/((1+AH62)*J62),"")</f>
        <v>2.39043834648405</v>
      </c>
      <c r="DP62" s="86" t="n">
        <f aca="false">IF(Z62&gt;0,(CB62*(1-thr_gm_go)*(1-R62)-DM62)/(1+DJ62)*I62/((1+AH62)*J62),"")</f>
        <v>2.59661211253821</v>
      </c>
      <c r="DQ62" s="86" t="n">
        <f aca="false">IF(AA62&gt;0,(CC62*(1-thr_gm_go)*(1-R62)-DN62)/(1+DK62)*I62/((1+AH62)*J62),"")</f>
        <v>3.00531665600652</v>
      </c>
      <c r="DR62" s="92" t="n">
        <f aca="false">IF(AND(AY62*INDEX(in_cus_mpf_rate,1,C62)&gt;INDEX(in_cus_mpf_min,1,C62),AY62*INDEX(in_cus_mpf_rate,1,C62)&lt;INDEX(in_cus_mpf_max,1,C62)),INDEX(in_cus_mpf_rate,1,C62),0)</f>
        <v>0</v>
      </c>
      <c r="DS62" s="88" t="n">
        <f aca="false">IF(AZ62&gt;INDEX(in_oce_ins_min,1,C62),INDEX(in_oce_ins_rate,1,C62)*(1+INDEX(in_oce_ins_uplift,1,C62))*AL62,0)</f>
        <v>0</v>
      </c>
      <c r="DT62" s="88" t="n">
        <f aca="false">(AL62+AN62)*(1+BA62+INDEX(in_cus_hmf,1,C62)+DR62)+DS62</f>
        <v>9887.1360005154</v>
      </c>
      <c r="DU62" s="86" t="n">
        <f aca="false">IF(DT62&gt;0,(CD62*(1-thr_gm_go)-(BM62-DT62))/DT62,0)</f>
        <v>0.337759874252485</v>
      </c>
      <c r="DV62" s="86" t="n">
        <f aca="false">IF(DT62&gt;0,(CD62-(BM62-DT62))/DT62,0)</f>
        <v>0.700890815286658</v>
      </c>
      <c r="DW62" s="87" t="n">
        <f aca="false">(1+AH62)*J62*DU62-1</f>
        <v>-0.662240125747515</v>
      </c>
      <c r="DX62" s="87" t="n">
        <f aca="false">(1+AH62)*J62*DV62-1</f>
        <v>-0.299109184713342</v>
      </c>
      <c r="DY62" s="85" t="n">
        <f aca="false">IF(G62&gt;0,(CD62*(1-thr_gm_go)-(BM62-AT62))/G62,"")</f>
        <v>-2497.6581882641</v>
      </c>
      <c r="DZ62" s="90" t="n">
        <f aca="false">IF(AB62&gt;0,(AL62+AN62+BB62+BC62+BD62)/AB62,0)</f>
        <v>0.165361933341923</v>
      </c>
      <c r="EA62" s="88" t="n">
        <f aca="false">BM62-DZ62*AB62</f>
        <v>7396.9171877487</v>
      </c>
      <c r="EB62" s="90" t="n">
        <f aca="false">IF(AB62&gt;0,CD62/AB62,0)</f>
        <v>0.239355</v>
      </c>
      <c r="EC62" s="85" t="n">
        <f aca="false">IF(EB62*(1-thr_gm_go)-DZ62&gt;0,EA62/(EB62*(1-thr_gm_go)-DZ62),"n/a")</f>
        <v>522590.907525576</v>
      </c>
      <c r="ED62" s="85" t="n">
        <f aca="false">IF(EB62-DZ62&gt;0,EA62/(EB62-DZ62),"n/a")</f>
        <v>99967.7067302803</v>
      </c>
      <c r="EE62" s="93" t="b">
        <f aca="false">INDEX(cfg_fits,D62,C62)</f>
        <v>1</v>
      </c>
      <c r="EF62" s="87" t="n">
        <f aca="false">IF(F62=4,"",INDEX(cfg_lenutil,D62,C62))</f>
        <v>0.912070410729254</v>
      </c>
      <c r="EG62" s="31" t="str">
        <f aca="false">IF(O62&gt;1,"Check fit (units scaled up)","")</f>
        <v/>
      </c>
    </row>
    <row r="63" customFormat="false" ht="15" hidden="false" customHeight="false" outlineLevel="0" collapsed="false">
      <c r="A63" s="78" t="n">
        <v>2024</v>
      </c>
      <c r="B63" s="9" t="s">
        <v>3211</v>
      </c>
      <c r="C63" s="78" t="n">
        <v>2</v>
      </c>
      <c r="D63" s="78" t="n">
        <v>2</v>
      </c>
      <c r="E63" s="78" t="n">
        <v>4</v>
      </c>
      <c r="F63" s="79" t="n">
        <f aca="false">INDEX(cfg_ct,D63)</f>
        <v>2</v>
      </c>
      <c r="G63" s="79" t="n">
        <f aca="false">INDEX(cfg_n,D63)</f>
        <v>1</v>
      </c>
      <c r="H63" s="79" t="n">
        <f aca="false">INDEX(dest_port,E63)</f>
        <v>3</v>
      </c>
      <c r="I63" s="80" t="n">
        <f aca="false">INDEX(in_fx_cbe,1,C63)*(1-INDEX(in_fx_spread,1,C63))</f>
        <v>52.7748</v>
      </c>
      <c r="J63" s="81" t="n">
        <f aca="false">1</f>
        <v>1</v>
      </c>
      <c r="K63" s="82" t="n">
        <f aca="false">INDEX(in_sup_vat_mode,1,C63)</f>
        <v>2</v>
      </c>
      <c r="L63" s="83" t="n">
        <f aca="false">INDEX(in_cus_s301,1,C63)</f>
        <v>0.125</v>
      </c>
      <c r="M63" s="84" t="n">
        <f aca="false">1</f>
        <v>1</v>
      </c>
      <c r="N63" s="81" t="n">
        <f aca="false">1</f>
        <v>1</v>
      </c>
      <c r="O63" s="81" t="n">
        <f aca="false">1</f>
        <v>1</v>
      </c>
      <c r="P63" s="81" t="n">
        <f aca="false">1</f>
        <v>1</v>
      </c>
      <c r="Q63" s="81" t="n">
        <f aca="false">1</f>
        <v>1</v>
      </c>
      <c r="R63" s="83" t="n">
        <f aca="false">INDEX(in_sel_damage,1,C63)</f>
        <v>0.015</v>
      </c>
      <c r="S63" s="83" t="n">
        <f aca="false">INDEX(in_mkt_dist_margin,1,C63)</f>
        <v>0.25</v>
      </c>
      <c r="T63" s="83" t="n">
        <f aca="false">INDEX(in_mkt_eflute_disc,1,C63)</f>
        <v>0.2</v>
      </c>
      <c r="U63" s="82" t="n">
        <f aca="false">INDEX(in_sel_credit_days,1,C63)</f>
        <v>45</v>
      </c>
      <c r="V63" s="81" t="n">
        <f aca="false">1</f>
        <v>1</v>
      </c>
      <c r="W63" s="83" t="n">
        <f aca="false">INDEX(in_sel_commission,1,C63)</f>
        <v>0.05</v>
      </c>
      <c r="X63" s="82" t="n">
        <f aca="false">1</f>
        <v>1</v>
      </c>
      <c r="Y63" s="85" t="n">
        <f aca="false">INDEX(cfg_u_3464,D63,C63)*O63</f>
        <v>20000</v>
      </c>
      <c r="Z63" s="85" t="n">
        <f aca="false">INDEX(cfg_u_3463,D63,C63)*O63</f>
        <v>20000</v>
      </c>
      <c r="AA63" s="85" t="n">
        <f aca="false">INDEX(cfg_u_3460,D63,C63)*O63</f>
        <v>20000</v>
      </c>
      <c r="AB63" s="85" t="n">
        <f aca="false">Y63+Z63+AA63</f>
        <v>60000</v>
      </c>
      <c r="AC63" s="86" t="n">
        <f aca="false">Y63*INDEX(lg_vpu_3464,C63)</f>
        <v>14.22784</v>
      </c>
      <c r="AD63" s="86" t="n">
        <f aca="false">Z63*INDEX(lg_vpu_3463,C63)</f>
        <v>17.40544</v>
      </c>
      <c r="AE63" s="86" t="n">
        <f aca="false">AA63*INDEX(lg_vpu_3460,C63)</f>
        <v>11.37024</v>
      </c>
      <c r="AF63" s="86" t="n">
        <f aca="false">AC63+AD63+AE63</f>
        <v>43.00352</v>
      </c>
      <c r="AG63" s="85" t="n">
        <f aca="false">Y63*INDEX(lg_kpu_3464,C63)+Z63*INDEX(lg_kpu_3463,C63)+AA63*INDEX(lg_kpu_3460,C63)</f>
        <v>10342.13472</v>
      </c>
      <c r="AH63" s="87" t="n">
        <f aca="false">INDEX(in_sup_requote,1,C63)</f>
        <v>0</v>
      </c>
      <c r="AI63" s="88" t="n">
        <f aca="false">Y63*q_price_3464*(1+AH63)*J63/I63</f>
        <v>3170.0735957313</v>
      </c>
      <c r="AJ63" s="88" t="n">
        <f aca="false">Z63*q_price_3463*(1+AH63)*J63/I63</f>
        <v>2993.85312687116</v>
      </c>
      <c r="AK63" s="88" t="n">
        <f aca="false">AA63*q_price_3460*(1+AH63)*J63/I63</f>
        <v>2614.8843766343</v>
      </c>
      <c r="AL63" s="88" t="n">
        <f aca="false">AI63+AJ63+AK63</f>
        <v>8778.81109923676</v>
      </c>
      <c r="AM63" s="88" t="n">
        <f aca="false">IF(OR(K63=2,K63=3),AL63*INDEX(in_sup_vat_rate,1,C63),0)</f>
        <v>1229.03355389315</v>
      </c>
      <c r="AN63" s="88" t="n">
        <f aca="false">IF(K63=3,AM63,0)</f>
        <v>0</v>
      </c>
      <c r="AO63" s="88" t="n">
        <f aca="false">INDEX(in_sup_tooling_egp,1,C63)/I63</f>
        <v>0</v>
      </c>
      <c r="AP63" s="88" t="n">
        <f aca="false">IF(F63=4,INDEX(in_ori_lcl_truck,1,C63)*V63/I63+INDEX(in_ori_lcl_cfs_o,1,C63),G63*(IF(F63=1,INDEX(in_ori_truck_20,1,C63),INDEX(in_ori_truck_40,1,C63))*V63/I63+INDEX(in_ori_terminal,1,C63)+IF(F63=1,INDEX(in_ori_othc_20,1,C63),INDEX(in_ori_othc_40,1,C63))*(1-INDEX(in_ori_othc_in_freight,1,C63))+INDEX(in_ori_seal,1,C63)+INDEX(in_ori_inspection,1,C63)+INDEX(in_ori_dd_days,1,C63)*IF(F63=1,INDEX(in_ori_dd_20,1,C63),INDEX(in_ori_dd_40,1,C63))+INDEX(in_ori_loading_egp,1,C63)/I63))</f>
        <v>555.278125165799</v>
      </c>
      <c r="AQ63" s="88" t="n">
        <f aca="false">(INDEX(in_ori_clearance,1,C63)+INDEX(in_ori_coo,1,C63))/I63+INDEX(in_ori_bl_fee,1,C63)+INDEX(in_ori_fwd_fee,1,C63)+INDEX(in_ori_qc,1,C63)+INDEX(in_ori_wires,1,C63)*INDEX(in_ori_wire_fee,1,C63)</f>
        <v>817.639062582899</v>
      </c>
      <c r="AR63" s="88" t="n">
        <f aca="false">AP63+AQ63</f>
        <v>1372.9171877487</v>
      </c>
      <c r="AS63" s="85" t="n">
        <f aca="false">INDEX(tbl_port_diff,H63,C63)</f>
        <v>0</v>
      </c>
      <c r="AT63" s="88" t="n">
        <f aca="false">IF(F63=4,MAX(AF63*INDEX(in_oce_lcl_factor,1,C63),AG63/1000,1)*INDEX(in_oce_lcl_rate,1,C63)*M63,G63*(INDEX(tbl_ocean_rate,MIN(F63,3),C63)+AS63)*M63)</f>
        <v>3900</v>
      </c>
      <c r="AU63" s="88" t="n">
        <f aca="false">AT63+INDEX(in_oce_ams,1,C63)</f>
        <v>3935</v>
      </c>
      <c r="AV63" s="88" t="n">
        <f aca="false">AI63*(1+IF(K63=3,INDEX(in_sup_vat_rate,1,C63),0))+AO63*Y63/AB63</f>
        <v>3170.0735957313</v>
      </c>
      <c r="AW63" s="88" t="n">
        <f aca="false">AJ63*(1+IF(K63=3,INDEX(in_sup_vat_rate,1,C63),0))+AO63*Z63/AB63</f>
        <v>2993.85312687116</v>
      </c>
      <c r="AX63" s="88" t="n">
        <f aca="false">AK63*(1+IF(K63=3,INDEX(in_sup_vat_rate,1,C63),0))+AO63*AA63/AB63</f>
        <v>2614.8843766343</v>
      </c>
      <c r="AY63" s="88" t="n">
        <f aca="false">AV63+AW63+AX63</f>
        <v>8778.81109923676</v>
      </c>
      <c r="AZ63" s="88" t="n">
        <f aca="false">MAX(INDEX(in_oce_ins_min,1,C63),INDEX(in_oce_ins_rate,1,C63)*(1+INDEX(in_oce_ins_uplift,1,C63))*(AL63+AO63+AR63+AU63))*(1-INDEX(in_oce_ins_in_other,1,C63))</f>
        <v>75</v>
      </c>
      <c r="BA63" s="87" t="n">
        <f aca="false">INDEX(in_cus_mfn,1,C63)+L63</f>
        <v>0.125</v>
      </c>
      <c r="BB63" s="88" t="n">
        <f aca="false">AY63*BA63</f>
        <v>1097.35138740459</v>
      </c>
      <c r="BC63" s="88" t="n">
        <f aca="false">MIN(MAX(AY63*INDEX(in_cus_mpf_rate,1,C63),INDEX(in_cus_mpf_min,1,C63)),INDEX(in_cus_mpf_max,1,C63))</f>
        <v>34.58</v>
      </c>
      <c r="BD63" s="88" t="n">
        <f aca="false">AY63*INDEX(in_cus_hmf,1,C63)</f>
        <v>10.9735138740459</v>
      </c>
      <c r="BE63" s="88" t="n">
        <f aca="false">MAX(INDEX(in_cus_stb_min,1,C63),INDEX(in_cus_stb_rate,1,C63)/1000*(AY63+BB63+BC63+BD63))</f>
        <v>75</v>
      </c>
      <c r="BF63" s="88" t="n">
        <f aca="false">INDEX(in_cus_broker,1,C63)+INDEX(in_cus_isf,1,C63)+INDEX(in_cus_do_fee,1,C63)+BE63+INDEX(in_cus_isf_bond,1,C63)</f>
        <v>510</v>
      </c>
      <c r="BG63" s="88" t="n">
        <f aca="false">IF(H63=1,INDEX(in_cus_cfc,1,C63)*INDEX(ct_teu,F63)*G63*(1-INDEX(in_cus_cfc_in_freight,1,C63)),0)</f>
        <v>0</v>
      </c>
      <c r="BH63" s="88" t="n">
        <f aca="false">IF(F63=4,1,G63)*(INDEX(in_cus_exam,1,C63)+INDEX(in_cus_exam_dray,1,C63))</f>
        <v>0</v>
      </c>
      <c r="BI63" s="88" t="n">
        <f aca="false">IF(F63=4,1,G63)*INDEX(in_cus_dem_days,1,C63)*INDEX(in_cus_dem_rate,1,C63)</f>
        <v>0</v>
      </c>
      <c r="BJ63" s="88" t="n">
        <f aca="false">BG63+BH63+BI63</f>
        <v>0</v>
      </c>
      <c r="BK63" s="88" t="n">
        <f aca="false">IF(F63=4,(INDEX(in_dra_lcl_cfs_d,1,C63)+INDEX(in_dra_lcl_deliv,1,C63))*P63,G63*(INDEX(tbl_dest_line,E63,C63)*P63*(1+INDEX(in_dra_fsc,1,C63))+INDEX(tbl_dest_tolls,E63,C63)+INDEX(in_dra_chassis_days,1,C63)*INDEX(tbl_dest_chassis,E63,C63)*(1-INDEX(in_dra_chassis_in_dray,1,C63))+INDEX(in_dra_wait_hours,1,C63)*INDEX(in_dra_wait_rate,1,C63)+INDEX(in_dra_split,1,C63)+INDEX(in_dra_prepull,1,C63)+INDEX(in_dra_dryrun,1,C63)))</f>
        <v>1504</v>
      </c>
      <c r="BL63" s="88" t="n">
        <f aca="false">IF(F63=4,0,G63*IF(F63=1,INDEX(in_dra_unload_20,1,C63),INDEX(in_dra_unload_40,1,C63))*Q63*(1-INDEX(in_dra_unload_in_dray,1,C63)))</f>
        <v>450</v>
      </c>
      <c r="BM63" s="88" t="n">
        <f aca="false">AL63+AN63+AO63+AR63+AU63+AZ63+BB63+BC63+BD63+BF63+BJ63+BK63+BL63</f>
        <v>17768.6331882641</v>
      </c>
      <c r="BN63" s="88" t="n">
        <f aca="false">AP63+AU63+BJ63+BK63+BL63</f>
        <v>6444.2781251658</v>
      </c>
      <c r="BO63" s="88" t="n">
        <f aca="false">AQ63+BF63</f>
        <v>1327.6390625829</v>
      </c>
      <c r="BP63" s="88" t="n">
        <f aca="false">AI63*(1+IF(K63=3,INDEX(in_sup_vat_rate,1,C63),0))+AO63*Y63/AB63+AV63*BA63+(BC63+BD63)*AV63/AY63+AZ63*AI63/AL63+BN63*AC63/AF63+BO63*Y63/AB63</f>
        <v>6184.51985062558</v>
      </c>
      <c r="BQ63" s="88" t="n">
        <f aca="false">AJ63*(1+IF(K63=3,INDEX(in_sup_vat_rate,1,C63),0))+AO63*Z63/AB63+AW63*BA63+(BC63+BD63)*AW63/AY63+AZ63*AJ63/AL63+BN63*AD63/AF63+BO63*Z63/AB63</f>
        <v>6460.03009245961</v>
      </c>
      <c r="BR63" s="88" t="n">
        <f aca="false">AK63*(1+IF(K63=3,INDEX(in_sup_vat_rate,1,C63),0))+AO63*AA63/AB63+AX63*BA63+(BC63+BD63)*AX63/AY63+AZ63*AK63/AL63+BN63*AE63/AF63+BO63*AA63/AB63</f>
        <v>5124.0832451789</v>
      </c>
      <c r="BS63" s="89" t="n">
        <f aca="false">BP63+BQ63+BR63-BM63</f>
        <v>0</v>
      </c>
      <c r="BT63" s="85" t="n">
        <f aca="false">Y63*(1-R63)</f>
        <v>19700</v>
      </c>
      <c r="BU63" s="85" t="n">
        <f aca="false">Z63*(1-R63)</f>
        <v>19700</v>
      </c>
      <c r="BV63" s="85" t="n">
        <f aca="false">AA63*(1-R63)</f>
        <v>19700</v>
      </c>
      <c r="BW63" s="85" t="n">
        <f aca="false">BT63+BU63+BV63</f>
        <v>59100</v>
      </c>
      <c r="BX63" s="90" t="n">
        <f aca="false">IF(BT63&gt;0,BP63/BT63,0)</f>
        <v>0.313935017798253</v>
      </c>
      <c r="BY63" s="90" t="n">
        <f aca="false">IF(BU63&gt;0,BQ63/BU63,0)</f>
        <v>0.327920309261909</v>
      </c>
      <c r="BZ63" s="90" t="n">
        <f aca="false">IF(BV63&gt;0,BR63/BV63,0)</f>
        <v>0.260105748486239</v>
      </c>
      <c r="CA63" s="90" t="n">
        <f aca="false">INDEX(in_mkt_listing_3464,1,C63)*(1-IF(sku_flute_3464="B",T63,0))*(1-S63)*N63</f>
        <v>0.234</v>
      </c>
      <c r="CB63" s="90" t="n">
        <f aca="false">INDEX(in_mkt_listing_3463,1,C63)*(1-IF(sku_flute_3463="B",T63,0))*(1-S63)*N63</f>
        <v>0.27</v>
      </c>
      <c r="CC63" s="90" t="n">
        <f aca="false">INDEX(in_mkt_listing_3460,1,C63)*(1-IF(sku_flute_3460="B",T63,0))*(1-S63)*N63</f>
        <v>0.225</v>
      </c>
      <c r="CD63" s="88" t="n">
        <f aca="false">BT63*CA63+BU63*CB63+BV63*CC63</f>
        <v>14361.3</v>
      </c>
      <c r="CE63" s="88" t="n">
        <f aca="false">CD63-BM63</f>
        <v>-3407.33318826409</v>
      </c>
      <c r="CF63" s="87" t="n">
        <f aca="false">IF(CD63&gt;0,CE63/CD63,0)</f>
        <v>-0.237257991147326</v>
      </c>
      <c r="CG63" s="87" t="n">
        <f aca="false">W63+INDEX(in_sel_processing,1,C63)+INDEX(in_sel_bad_debt,1,C63)</f>
        <v>0.058</v>
      </c>
      <c r="CH63" s="88" t="n">
        <f aca="false">CD63*CG63</f>
        <v>832.9554</v>
      </c>
      <c r="CI63" s="88" t="n">
        <f aca="false">INDEX(in_sel_testing,1,C63)*X63+INDEX(in_sel_admin,1,C63)</f>
        <v>3000</v>
      </c>
      <c r="CJ63" s="79" t="n">
        <f aca="false">INDEX(in_sup_lead_days,1,C63)</f>
        <v>21</v>
      </c>
      <c r="CK63" s="79" t="n">
        <f aca="false">CJ63+INDEX(in_oce_transit,1,C63)+IF(F63=4,INDEX(in_oce_lcl_extra_days,1,C63),0)</f>
        <v>51</v>
      </c>
      <c r="CL63" s="79" t="n">
        <f aca="false">CK63+2+INDEX(in_cus_dem_days,1,C63)</f>
        <v>53</v>
      </c>
      <c r="CM63" s="79" t="n">
        <f aca="false">CL63+U63</f>
        <v>98</v>
      </c>
      <c r="CN63" s="79" t="n">
        <f aca="false">CJ63+INDEX(in_sup_vat_lag,1,C63)</f>
        <v>81</v>
      </c>
      <c r="CO63" s="91" t="n">
        <f aca="false">INDEX(in_sup_advance,1,C63)</f>
        <v>0.5</v>
      </c>
      <c r="CP63" s="88" t="n">
        <f aca="false">CO63*(AL63+AM63)+AO63+INDEX(in_sel_testing,1,C63)*X63</f>
        <v>7503.92232656495</v>
      </c>
      <c r="CQ63" s="88" t="n">
        <f aca="false">(1-CO63)*(AL63+AM63)+AR63+AU63+AZ63</f>
        <v>10386.8395143137</v>
      </c>
      <c r="CR63" s="88" t="n">
        <f aca="false">BB63+BC63+BD63+BF63+BJ63</f>
        <v>1652.90490127864</v>
      </c>
      <c r="CS63" s="88" t="n">
        <f aca="false">BK63+BL63</f>
        <v>1954</v>
      </c>
      <c r="CT63" s="88" t="n">
        <f aca="false">IF(K63=2,AM63,0)</f>
        <v>1229.03355389315</v>
      </c>
      <c r="CU63" s="85" t="n">
        <f aca="false">IF(K63=2,CO63*AM63*(CN63-0)+(1-CO63)*AM63*(CN63-CJ63),0)</f>
        <v>86646.8655494668</v>
      </c>
      <c r="CV63" s="85" t="n">
        <f aca="false">(CP63-CO63*CT63)*(CM63-0)+(CQ63-(1-CO63)*CT63)*(CM63-CJ63)+CR63*(CM63-CK63)+CS63*(CM63-CL63)</f>
        <v>1593247.12499996</v>
      </c>
      <c r="CW63" s="88" t="n">
        <f aca="false">INDEX(in_sel_fin_rate,1,C63)/365*(CU63+CV63)</f>
        <v>460.244928917652</v>
      </c>
      <c r="CX63" s="85" t="n">
        <f aca="false">CP63-IF(CN63&lt;=0,CT63,0)</f>
        <v>7503.92232656495</v>
      </c>
      <c r="CY63" s="85" t="n">
        <f aca="false">CP63+CQ63-IF(CN63&lt;=CJ63,CT63,0)</f>
        <v>17890.7618408786</v>
      </c>
      <c r="CZ63" s="85" t="n">
        <f aca="false">CP63+CQ63+CR63-IF(CN63&lt;=CK63,CT63,0)</f>
        <v>19543.6667421572</v>
      </c>
      <c r="DA63" s="85" t="n">
        <f aca="false">CP63+CQ63+CR63+CS63-IF(CN63&lt;=CL63,CT63,0)</f>
        <v>21497.6667421572</v>
      </c>
      <c r="DB63" s="88" t="n">
        <f aca="false">MAX(CX63,CY63,CZ63,DA63)</f>
        <v>21497.6667421572</v>
      </c>
      <c r="DC63" s="88" t="n">
        <f aca="false">CP63+CQ63+CR63+CS63</f>
        <v>21497.6667421572</v>
      </c>
      <c r="DD63" s="88" t="n">
        <f aca="false">CE63-CH63-CI63-CW63</f>
        <v>-7700.53351718175</v>
      </c>
      <c r="DE63" s="87" t="n">
        <f aca="false">IF(CD63&gt;0,DD63/CD63,0)</f>
        <v>-0.536200310360604</v>
      </c>
      <c r="DF63" s="86" t="n">
        <f aca="false">IF(CD63&gt;0,(BM63+CI63+CW63)/(CD63*(1-CG63)),0)</f>
        <v>1.56921476683716</v>
      </c>
      <c r="DG63" s="90" t="n">
        <f aca="false">IF(BW63&gt;0,BM63/BW63,0)</f>
        <v>0.3006536918488</v>
      </c>
      <c r="DH63" s="90" t="n">
        <f aca="false">IF(BW63&gt;0,CD63/BW63,0)</f>
        <v>0.243</v>
      </c>
      <c r="DI63" s="90" t="n">
        <f aca="false">IF(AI63&gt;0,(AI63*IF(K63=3,INDEX(in_sup_vat_rate,1,C63),0)+AV63*BA63+(BC63+BD63)*AV63/AY63+AZ63*AI63/AL63)/AI63,0)</f>
        <v>0.138732328046622</v>
      </c>
      <c r="DJ63" s="90" t="n">
        <f aca="false">IF(AJ63&gt;0,(AJ63*IF(K63=3,INDEX(in_sup_vat_rate,1,C63),0)+AW63*BA63+(BC63+BD63)*AW63/AY63+AZ63*AJ63/AL63)/AJ63,0)</f>
        <v>0.138732328046622</v>
      </c>
      <c r="DK63" s="90" t="n">
        <f aca="false">IF(AK63&gt;0,(AK63*IF(K63=3,INDEX(in_sup_vat_rate,1,C63),0)+AX63*BA63+(BC63+BD63)*AX63/AY63+AZ63*AK63/AL63)/AK63,0)</f>
        <v>0.138732328046622</v>
      </c>
      <c r="DL63" s="90" t="n">
        <f aca="false">IF(Y63&gt;0,(BP63-AI63*(1+DI63))/Y63,0)</f>
        <v>0.128732728243968</v>
      </c>
      <c r="DM63" s="90" t="n">
        <f aca="false">IF(Z63&gt;0,(BQ63-AJ63*(1+DJ63))/Z63,0)</f>
        <v>0.152541637573398</v>
      </c>
      <c r="DN63" s="90" t="n">
        <f aca="false">IF(AA63&gt;0,(BR63-AK63*(1+DK63))/AA63,0)</f>
        <v>0.107321493570069</v>
      </c>
      <c r="DO63" s="86" t="n">
        <f aca="false">IF(Y63&gt;0,(CA63*(1-thr_gm_go)*(1-R63)-DL63)/(1+DI63)*I63/((1+AH63)*J63),"")</f>
        <v>2.04543569643426</v>
      </c>
      <c r="DP63" s="86" t="n">
        <f aca="false">IF(Z63&gt;0,(CB63*(1-thr_gm_go)*(1-R63)-DM63)/(1+DJ63)*I63/((1+AH63)*J63),"")</f>
        <v>2.17455768085479</v>
      </c>
      <c r="DQ63" s="86" t="n">
        <f aca="false">IF(AA63&gt;0,(CC63*(1-thr_gm_go)*(1-R63)-DN63)/(1+DK63)*I63/((1+AH63)*J63),"")</f>
        <v>2.72960629296462</v>
      </c>
      <c r="DR63" s="92" t="n">
        <f aca="false">IF(AND(AY63*INDEX(in_cus_mpf_rate,1,C63)&gt;INDEX(in_cus_mpf_min,1,C63),AY63*INDEX(in_cus_mpf_rate,1,C63)&lt;INDEX(in_cus_mpf_max,1,C63)),INDEX(in_cus_mpf_rate,1,C63),0)</f>
        <v>0</v>
      </c>
      <c r="DS63" s="88" t="n">
        <f aca="false">IF(AZ63&gt;INDEX(in_oce_ins_min,1,C63),INDEX(in_oce_ins_rate,1,C63)*(1+INDEX(in_oce_ins_uplift,1,C63))*AL63,0)</f>
        <v>0</v>
      </c>
      <c r="DT63" s="88" t="n">
        <f aca="false">(AL63+AN63)*(1+BA63+INDEX(in_cus_hmf,1,C63)+DR63)+DS63</f>
        <v>9887.1360005154</v>
      </c>
      <c r="DU63" s="86" t="n">
        <f aca="false">IF(DT63&gt;0,(CD63*(1-thr_gm_go)-(BM63-DT63))/DT63,0)</f>
        <v>0.292246188593004</v>
      </c>
      <c r="DV63" s="86" t="n">
        <f aca="false">IF(DT63&gt;0,(CD63-(BM63-DT63))/DT63,0)</f>
        <v>0.655377129627177</v>
      </c>
      <c r="DW63" s="87" t="n">
        <f aca="false">(1+AH63)*J63*DU63-1</f>
        <v>-0.707753811406996</v>
      </c>
      <c r="DX63" s="87" t="n">
        <f aca="false">(1+AH63)*J63*DV63-1</f>
        <v>-0.344622870372823</v>
      </c>
      <c r="DY63" s="85" t="n">
        <f aca="false">IF(G63&gt;0,(CD63*(1-thr_gm_go)-(BM63-AT63))/G63,"")</f>
        <v>-3097.6581882641</v>
      </c>
      <c r="DZ63" s="90" t="n">
        <f aca="false">IF(AB63&gt;0,(AL63+AN63+BB63+BC63+BD63)/AB63,0)</f>
        <v>0.165361933341923</v>
      </c>
      <c r="EA63" s="88" t="n">
        <f aca="false">BM63-DZ63*AB63</f>
        <v>7846.9171877487</v>
      </c>
      <c r="EB63" s="90" t="n">
        <f aca="false">IF(AB63&gt;0,CD63/AB63,0)</f>
        <v>0.239355</v>
      </c>
      <c r="EC63" s="85" t="n">
        <f aca="false">IF(EB63*(1-thr_gm_go)-DZ63&gt;0,EA63/(EB63*(1-thr_gm_go)-DZ63),"n/a")</f>
        <v>554383.328938108</v>
      </c>
      <c r="ED63" s="85" t="n">
        <f aca="false">IF(EB63-DZ63&gt;0,EA63/(EB63-DZ63),"n/a")</f>
        <v>106049.357624403</v>
      </c>
      <c r="EE63" s="93" t="b">
        <f aca="false">INDEX(cfg_fits,D63,C63)</f>
        <v>1</v>
      </c>
      <c r="EF63" s="87" t="n">
        <f aca="false">IF(F63=4,"",INDEX(cfg_lenutil,D63,C63))</f>
        <v>0.912070410729254</v>
      </c>
      <c r="EG63" s="31" t="str">
        <f aca="false">IF(O63&gt;1,"Check fit (units scaled up)","")</f>
        <v/>
      </c>
    </row>
    <row r="64" customFormat="false" ht="15" hidden="false" customHeight="false" outlineLevel="0" collapsed="false">
      <c r="A64" s="78" t="n">
        <v>2025</v>
      </c>
      <c r="B64" s="9" t="s">
        <v>3212</v>
      </c>
      <c r="C64" s="78" t="n">
        <v>2</v>
      </c>
      <c r="D64" s="78" t="n">
        <v>2</v>
      </c>
      <c r="E64" s="78" t="n">
        <v>5</v>
      </c>
      <c r="F64" s="79" t="n">
        <f aca="false">INDEX(cfg_ct,D64)</f>
        <v>2</v>
      </c>
      <c r="G64" s="79" t="n">
        <f aca="false">INDEX(cfg_n,D64)</f>
        <v>1</v>
      </c>
      <c r="H64" s="79" t="n">
        <f aca="false">INDEX(dest_port,E64)</f>
        <v>4</v>
      </c>
      <c r="I64" s="80" t="n">
        <f aca="false">INDEX(in_fx_cbe,1,C64)*(1-INDEX(in_fx_spread,1,C64))</f>
        <v>52.7748</v>
      </c>
      <c r="J64" s="81" t="n">
        <f aca="false">1</f>
        <v>1</v>
      </c>
      <c r="K64" s="82" t="n">
        <f aca="false">INDEX(in_sup_vat_mode,1,C64)</f>
        <v>2</v>
      </c>
      <c r="L64" s="83" t="n">
        <f aca="false">INDEX(in_cus_s301,1,C64)</f>
        <v>0.125</v>
      </c>
      <c r="M64" s="84" t="n">
        <f aca="false">1</f>
        <v>1</v>
      </c>
      <c r="N64" s="81" t="n">
        <f aca="false">1</f>
        <v>1</v>
      </c>
      <c r="O64" s="81" t="n">
        <f aca="false">1</f>
        <v>1</v>
      </c>
      <c r="P64" s="81" t="n">
        <f aca="false">1</f>
        <v>1</v>
      </c>
      <c r="Q64" s="81" t="n">
        <f aca="false">1</f>
        <v>1</v>
      </c>
      <c r="R64" s="83" t="n">
        <f aca="false">INDEX(in_sel_damage,1,C64)</f>
        <v>0.015</v>
      </c>
      <c r="S64" s="83" t="n">
        <f aca="false">INDEX(in_mkt_dist_margin,1,C64)</f>
        <v>0.25</v>
      </c>
      <c r="T64" s="83" t="n">
        <f aca="false">INDEX(in_mkt_eflute_disc,1,C64)</f>
        <v>0.2</v>
      </c>
      <c r="U64" s="82" t="n">
        <f aca="false">INDEX(in_sel_credit_days,1,C64)</f>
        <v>45</v>
      </c>
      <c r="V64" s="81" t="n">
        <f aca="false">1</f>
        <v>1</v>
      </c>
      <c r="W64" s="83" t="n">
        <f aca="false">INDEX(in_sel_commission,1,C64)</f>
        <v>0.05</v>
      </c>
      <c r="X64" s="82" t="n">
        <f aca="false">1</f>
        <v>1</v>
      </c>
      <c r="Y64" s="85" t="n">
        <f aca="false">INDEX(cfg_u_3464,D64,C64)*O64</f>
        <v>20000</v>
      </c>
      <c r="Z64" s="85" t="n">
        <f aca="false">INDEX(cfg_u_3463,D64,C64)*O64</f>
        <v>20000</v>
      </c>
      <c r="AA64" s="85" t="n">
        <f aca="false">INDEX(cfg_u_3460,D64,C64)*O64</f>
        <v>20000</v>
      </c>
      <c r="AB64" s="85" t="n">
        <f aca="false">Y64+Z64+AA64</f>
        <v>60000</v>
      </c>
      <c r="AC64" s="86" t="n">
        <f aca="false">Y64*INDEX(lg_vpu_3464,C64)</f>
        <v>14.22784</v>
      </c>
      <c r="AD64" s="86" t="n">
        <f aca="false">Z64*INDEX(lg_vpu_3463,C64)</f>
        <v>17.40544</v>
      </c>
      <c r="AE64" s="86" t="n">
        <f aca="false">AA64*INDEX(lg_vpu_3460,C64)</f>
        <v>11.37024</v>
      </c>
      <c r="AF64" s="86" t="n">
        <f aca="false">AC64+AD64+AE64</f>
        <v>43.00352</v>
      </c>
      <c r="AG64" s="85" t="n">
        <f aca="false">Y64*INDEX(lg_kpu_3464,C64)+Z64*INDEX(lg_kpu_3463,C64)+AA64*INDEX(lg_kpu_3460,C64)</f>
        <v>10342.13472</v>
      </c>
      <c r="AH64" s="87" t="n">
        <f aca="false">INDEX(in_sup_requote,1,C64)</f>
        <v>0</v>
      </c>
      <c r="AI64" s="88" t="n">
        <f aca="false">Y64*q_price_3464*(1+AH64)*J64/I64</f>
        <v>3170.0735957313</v>
      </c>
      <c r="AJ64" s="88" t="n">
        <f aca="false">Z64*q_price_3463*(1+AH64)*J64/I64</f>
        <v>2993.85312687116</v>
      </c>
      <c r="AK64" s="88" t="n">
        <f aca="false">AA64*q_price_3460*(1+AH64)*J64/I64</f>
        <v>2614.8843766343</v>
      </c>
      <c r="AL64" s="88" t="n">
        <f aca="false">AI64+AJ64+AK64</f>
        <v>8778.81109923676</v>
      </c>
      <c r="AM64" s="88" t="n">
        <f aca="false">IF(OR(K64=2,K64=3),AL64*INDEX(in_sup_vat_rate,1,C64),0)</f>
        <v>1229.03355389315</v>
      </c>
      <c r="AN64" s="88" t="n">
        <f aca="false">IF(K64=3,AM64,0)</f>
        <v>0</v>
      </c>
      <c r="AO64" s="88" t="n">
        <f aca="false">INDEX(in_sup_tooling_egp,1,C64)/I64</f>
        <v>0</v>
      </c>
      <c r="AP64" s="88" t="n">
        <f aca="false">IF(F64=4,INDEX(in_ori_lcl_truck,1,C64)*V64/I64+INDEX(in_ori_lcl_cfs_o,1,C64),G64*(IF(F64=1,INDEX(in_ori_truck_20,1,C64),INDEX(in_ori_truck_40,1,C64))*V64/I64+INDEX(in_ori_terminal,1,C64)+IF(F64=1,INDEX(in_ori_othc_20,1,C64),INDEX(in_ori_othc_40,1,C64))*(1-INDEX(in_ori_othc_in_freight,1,C64))+INDEX(in_ori_seal,1,C64)+INDEX(in_ori_inspection,1,C64)+INDEX(in_ori_dd_days,1,C64)*IF(F64=1,INDEX(in_ori_dd_20,1,C64),INDEX(in_ori_dd_40,1,C64))+INDEX(in_ori_loading_egp,1,C64)/I64))</f>
        <v>555.278125165799</v>
      </c>
      <c r="AQ64" s="88" t="n">
        <f aca="false">(INDEX(in_ori_clearance,1,C64)+INDEX(in_ori_coo,1,C64))/I64+INDEX(in_ori_bl_fee,1,C64)+INDEX(in_ori_fwd_fee,1,C64)+INDEX(in_ori_qc,1,C64)+INDEX(in_ori_wires,1,C64)*INDEX(in_ori_wire_fee,1,C64)</f>
        <v>817.639062582899</v>
      </c>
      <c r="AR64" s="88" t="n">
        <f aca="false">AP64+AQ64</f>
        <v>1372.9171877487</v>
      </c>
      <c r="AS64" s="85" t="n">
        <f aca="false">INDEX(tbl_port_diff,H64,C64)</f>
        <v>100</v>
      </c>
      <c r="AT64" s="88" t="n">
        <f aca="false">IF(F64=4,MAX(AF64*INDEX(in_oce_lcl_factor,1,C64),AG64/1000,1)*INDEX(in_oce_lcl_rate,1,C64)*M64,G64*(INDEX(tbl_ocean_rate,MIN(F64,3),C64)+AS64)*M64)</f>
        <v>4000</v>
      </c>
      <c r="AU64" s="88" t="n">
        <f aca="false">AT64+INDEX(in_oce_ams,1,C64)</f>
        <v>4035</v>
      </c>
      <c r="AV64" s="88" t="n">
        <f aca="false">AI64*(1+IF(K64=3,INDEX(in_sup_vat_rate,1,C64),0))+AO64*Y64/AB64</f>
        <v>3170.0735957313</v>
      </c>
      <c r="AW64" s="88" t="n">
        <f aca="false">AJ64*(1+IF(K64=3,INDEX(in_sup_vat_rate,1,C64),0))+AO64*Z64/AB64</f>
        <v>2993.85312687116</v>
      </c>
      <c r="AX64" s="88" t="n">
        <f aca="false">AK64*(1+IF(K64=3,INDEX(in_sup_vat_rate,1,C64),0))+AO64*AA64/AB64</f>
        <v>2614.8843766343</v>
      </c>
      <c r="AY64" s="88" t="n">
        <f aca="false">AV64+AW64+AX64</f>
        <v>8778.81109923676</v>
      </c>
      <c r="AZ64" s="88" t="n">
        <f aca="false">MAX(INDEX(in_oce_ins_min,1,C64),INDEX(in_oce_ins_rate,1,C64)*(1+INDEX(in_oce_ins_uplift,1,C64))*(AL64+AO64+AR64+AU64))*(1-INDEX(in_oce_ins_in_other,1,C64))</f>
        <v>75</v>
      </c>
      <c r="BA64" s="87" t="n">
        <f aca="false">INDEX(in_cus_mfn,1,C64)+L64</f>
        <v>0.125</v>
      </c>
      <c r="BB64" s="88" t="n">
        <f aca="false">AY64*BA64</f>
        <v>1097.35138740459</v>
      </c>
      <c r="BC64" s="88" t="n">
        <f aca="false">MIN(MAX(AY64*INDEX(in_cus_mpf_rate,1,C64),INDEX(in_cus_mpf_min,1,C64)),INDEX(in_cus_mpf_max,1,C64))</f>
        <v>34.58</v>
      </c>
      <c r="BD64" s="88" t="n">
        <f aca="false">AY64*INDEX(in_cus_hmf,1,C64)</f>
        <v>10.9735138740459</v>
      </c>
      <c r="BE64" s="88" t="n">
        <f aca="false">MAX(INDEX(in_cus_stb_min,1,C64),INDEX(in_cus_stb_rate,1,C64)/1000*(AY64+BB64+BC64+BD64))</f>
        <v>75</v>
      </c>
      <c r="BF64" s="88" t="n">
        <f aca="false">INDEX(in_cus_broker,1,C64)+INDEX(in_cus_isf,1,C64)+INDEX(in_cus_do_fee,1,C64)+BE64+INDEX(in_cus_isf_bond,1,C64)</f>
        <v>510</v>
      </c>
      <c r="BG64" s="88" t="n">
        <f aca="false">IF(H64=1,INDEX(in_cus_cfc,1,C64)*INDEX(ct_teu,F64)*G64*(1-INDEX(in_cus_cfc_in_freight,1,C64)),0)</f>
        <v>0</v>
      </c>
      <c r="BH64" s="88" t="n">
        <f aca="false">IF(F64=4,1,G64)*(INDEX(in_cus_exam,1,C64)+INDEX(in_cus_exam_dray,1,C64))</f>
        <v>0</v>
      </c>
      <c r="BI64" s="88" t="n">
        <f aca="false">IF(F64=4,1,G64)*INDEX(in_cus_dem_days,1,C64)*INDEX(in_cus_dem_rate,1,C64)</f>
        <v>0</v>
      </c>
      <c r="BJ64" s="88" t="n">
        <f aca="false">BG64+BH64+BI64</f>
        <v>0</v>
      </c>
      <c r="BK64" s="88" t="n">
        <f aca="false">IF(F64=4,(INDEX(in_dra_lcl_cfs_d,1,C64)+INDEX(in_dra_lcl_deliv,1,C64))*P64,G64*(INDEX(tbl_dest_line,E64,C64)*P64*(1+INDEX(in_dra_fsc,1,C64))+INDEX(tbl_dest_tolls,E64,C64)+INDEX(in_dra_chassis_days,1,C64)*INDEX(tbl_dest_chassis,E64,C64)*(1-INDEX(in_dra_chassis_in_dray,1,C64))+INDEX(in_dra_wait_hours,1,C64)*INDEX(in_dra_wait_rate,1,C64)+INDEX(in_dra_split,1,C64)+INDEX(in_dra_prepull,1,C64)+INDEX(in_dra_dryrun,1,C64)))</f>
        <v>1970</v>
      </c>
      <c r="BL64" s="88" t="n">
        <f aca="false">IF(F64=4,0,G64*IF(F64=1,INDEX(in_dra_unload_20,1,C64),INDEX(in_dra_unload_40,1,C64))*Q64*(1-INDEX(in_dra_unload_in_dray,1,C64)))</f>
        <v>450</v>
      </c>
      <c r="BM64" s="88" t="n">
        <f aca="false">AL64+AN64+AO64+AR64+AU64+AZ64+BB64+BC64+BD64+BF64+BJ64+BK64+BL64</f>
        <v>18334.6331882641</v>
      </c>
      <c r="BN64" s="88" t="n">
        <f aca="false">AP64+AU64+BJ64+BK64+BL64</f>
        <v>7010.2781251658</v>
      </c>
      <c r="BO64" s="88" t="n">
        <f aca="false">AQ64+BF64</f>
        <v>1327.6390625829</v>
      </c>
      <c r="BP64" s="88" t="n">
        <f aca="false">AI64*(1+IF(K64=3,INDEX(in_sup_vat_rate,1,C64),0))+AO64*Y64/AB64+AV64*BA64+(BC64+BD64)*AV64/AY64+AZ64*AI64/AL64+BN64*AC64/AF64+BO64*Y64/AB64</f>
        <v>6371.78260120972</v>
      </c>
      <c r="BQ64" s="88" t="n">
        <f aca="false">AJ64*(1+IF(K64=3,INDEX(in_sup_vat_rate,1,C64),0))+AO64*Z64/AB64+AW64*BA64+(BC64+BD64)*AW64/AY64+AZ64*AJ64/AL64+BN64*AD64/AF64+BO64*Z64/AB64</f>
        <v>6689.11550314227</v>
      </c>
      <c r="BR64" s="88" t="n">
        <f aca="false">AK64*(1+IF(K64=3,INDEX(in_sup_vat_rate,1,C64),0))+AO64*AA64/AB64+AX64*BA64+(BC64+BD64)*AX64/AY64+AZ64*AK64/AL64+BN64*AE64/AF64+BO64*AA64/AB64</f>
        <v>5273.73508391211</v>
      </c>
      <c r="BS64" s="89" t="n">
        <f aca="false">BP64+BQ64+BR64-BM64</f>
        <v>0</v>
      </c>
      <c r="BT64" s="85" t="n">
        <f aca="false">Y64*(1-R64)</f>
        <v>19700</v>
      </c>
      <c r="BU64" s="85" t="n">
        <f aca="false">Z64*(1-R64)</f>
        <v>19700</v>
      </c>
      <c r="BV64" s="85" t="n">
        <f aca="false">AA64*(1-R64)</f>
        <v>19700</v>
      </c>
      <c r="BW64" s="85" t="n">
        <f aca="false">BT64+BU64+BV64</f>
        <v>59100</v>
      </c>
      <c r="BX64" s="90" t="n">
        <f aca="false">IF(BT64&gt;0,BP64/BT64,0)</f>
        <v>0.323440741178158</v>
      </c>
      <c r="BY64" s="90" t="n">
        <f aca="false">IF(BU64&gt;0,BQ64/BU64,0)</f>
        <v>0.339549010311791</v>
      </c>
      <c r="BZ64" s="90" t="n">
        <f aca="false">IF(BV64&gt;0,BR64/BV64,0)</f>
        <v>0.267702288523457</v>
      </c>
      <c r="CA64" s="90" t="n">
        <f aca="false">INDEX(in_mkt_listing_3464,1,C64)*(1-IF(sku_flute_3464="B",T64,0))*(1-S64)*N64</f>
        <v>0.234</v>
      </c>
      <c r="CB64" s="90" t="n">
        <f aca="false">INDEX(in_mkt_listing_3463,1,C64)*(1-IF(sku_flute_3463="B",T64,0))*(1-S64)*N64</f>
        <v>0.27</v>
      </c>
      <c r="CC64" s="90" t="n">
        <f aca="false">INDEX(in_mkt_listing_3460,1,C64)*(1-IF(sku_flute_3460="B",T64,0))*(1-S64)*N64</f>
        <v>0.225</v>
      </c>
      <c r="CD64" s="88" t="n">
        <f aca="false">BT64*CA64+BU64*CB64+BV64*CC64</f>
        <v>14361.3</v>
      </c>
      <c r="CE64" s="88" t="n">
        <f aca="false">CD64-BM64</f>
        <v>-3973.33318826409</v>
      </c>
      <c r="CF64" s="87" t="n">
        <f aca="false">IF(CD64&gt;0,CE64/CD64,0)</f>
        <v>-0.276669465038965</v>
      </c>
      <c r="CG64" s="87" t="n">
        <f aca="false">W64+INDEX(in_sel_processing,1,C64)+INDEX(in_sel_bad_debt,1,C64)</f>
        <v>0.058</v>
      </c>
      <c r="CH64" s="88" t="n">
        <f aca="false">CD64*CG64</f>
        <v>832.9554</v>
      </c>
      <c r="CI64" s="88" t="n">
        <f aca="false">INDEX(in_sel_testing,1,C64)*X64+INDEX(in_sel_admin,1,C64)</f>
        <v>3000</v>
      </c>
      <c r="CJ64" s="79" t="n">
        <f aca="false">INDEX(in_sup_lead_days,1,C64)</f>
        <v>21</v>
      </c>
      <c r="CK64" s="79" t="n">
        <f aca="false">CJ64+INDEX(in_oce_transit,1,C64)+IF(F64=4,INDEX(in_oce_lcl_extra_days,1,C64),0)</f>
        <v>51</v>
      </c>
      <c r="CL64" s="79" t="n">
        <f aca="false">CK64+2+INDEX(in_cus_dem_days,1,C64)</f>
        <v>53</v>
      </c>
      <c r="CM64" s="79" t="n">
        <f aca="false">CL64+U64</f>
        <v>98</v>
      </c>
      <c r="CN64" s="79" t="n">
        <f aca="false">CJ64+INDEX(in_sup_vat_lag,1,C64)</f>
        <v>81</v>
      </c>
      <c r="CO64" s="91" t="n">
        <f aca="false">INDEX(in_sup_advance,1,C64)</f>
        <v>0.5</v>
      </c>
      <c r="CP64" s="88" t="n">
        <f aca="false">CO64*(AL64+AM64)+AO64+INDEX(in_sel_testing,1,C64)*X64</f>
        <v>7503.92232656495</v>
      </c>
      <c r="CQ64" s="88" t="n">
        <f aca="false">(1-CO64)*(AL64+AM64)+AR64+AU64+AZ64</f>
        <v>10486.8395143137</v>
      </c>
      <c r="CR64" s="88" t="n">
        <f aca="false">BB64+BC64+BD64+BF64+BJ64</f>
        <v>1652.90490127864</v>
      </c>
      <c r="CS64" s="88" t="n">
        <f aca="false">BK64+BL64</f>
        <v>2420</v>
      </c>
      <c r="CT64" s="88" t="n">
        <f aca="false">IF(K64=2,AM64,0)</f>
        <v>1229.03355389315</v>
      </c>
      <c r="CU64" s="85" t="n">
        <f aca="false">IF(K64=2,CO64*AM64*(CN64-0)+(1-CO64)*AM64*(CN64-CJ64),0)</f>
        <v>86646.8655494668</v>
      </c>
      <c r="CV64" s="85" t="n">
        <f aca="false">(CP64-CO64*CT64)*(CM64-0)+(CQ64-(1-CO64)*CT64)*(CM64-CJ64)+CR64*(CM64-CK64)+CS64*(CM64-CL64)</f>
        <v>1621917.12499996</v>
      </c>
      <c r="CW64" s="88" t="n">
        <f aca="false">INDEX(in_sel_fin_rate,1,C64)/365*(CU64+CV64)</f>
        <v>468.0997234382</v>
      </c>
      <c r="CX64" s="85" t="n">
        <f aca="false">CP64-IF(CN64&lt;=0,CT64,0)</f>
        <v>7503.92232656495</v>
      </c>
      <c r="CY64" s="85" t="n">
        <f aca="false">CP64+CQ64-IF(CN64&lt;=CJ64,CT64,0)</f>
        <v>17990.7618408786</v>
      </c>
      <c r="CZ64" s="85" t="n">
        <f aca="false">CP64+CQ64+CR64-IF(CN64&lt;=CK64,CT64,0)</f>
        <v>19643.6667421572</v>
      </c>
      <c r="DA64" s="85" t="n">
        <f aca="false">CP64+CQ64+CR64+CS64-IF(CN64&lt;=CL64,CT64,0)</f>
        <v>22063.6667421572</v>
      </c>
      <c r="DB64" s="88" t="n">
        <f aca="false">MAX(CX64,CY64,CZ64,DA64)</f>
        <v>22063.6667421572</v>
      </c>
      <c r="DC64" s="88" t="n">
        <f aca="false">CP64+CQ64+CR64+CS64</f>
        <v>22063.6667421572</v>
      </c>
      <c r="DD64" s="88" t="n">
        <f aca="false">CE64-CH64-CI64-CW64</f>
        <v>-8274.38831170229</v>
      </c>
      <c r="DE64" s="87" t="n">
        <f aca="false">IF(CD64&gt;0,DD64/CD64,0)</f>
        <v>-0.576158725999895</v>
      </c>
      <c r="DF64" s="86" t="n">
        <f aca="false">IF(CD64&gt;0,(BM64+CI64+CW64)/(CD64*(1-CG64)),0)</f>
        <v>1.61163346709118</v>
      </c>
      <c r="DG64" s="90" t="n">
        <f aca="false">IF(BW64&gt;0,BM64/BW64,0)</f>
        <v>0.310230680004469</v>
      </c>
      <c r="DH64" s="90" t="n">
        <f aca="false">IF(BW64&gt;0,CD64/BW64,0)</f>
        <v>0.243</v>
      </c>
      <c r="DI64" s="90" t="n">
        <f aca="false">IF(AI64&gt;0,(AI64*IF(K64=3,INDEX(in_sup_vat_rate,1,C64),0)+AV64*BA64+(BC64+BD64)*AV64/AY64+AZ64*AI64/AL64)/AI64,0)</f>
        <v>0.138732328046622</v>
      </c>
      <c r="DJ64" s="90" t="n">
        <f aca="false">IF(AJ64&gt;0,(AJ64*IF(K64=3,INDEX(in_sup_vat_rate,1,C64),0)+AW64*BA64+(BC64+BD64)*AW64/AY64+AZ64*AJ64/AL64)/AJ64,0)</f>
        <v>0.138732328046622</v>
      </c>
      <c r="DK64" s="90" t="n">
        <f aca="false">IF(AK64&gt;0,(AK64*IF(K64=3,INDEX(in_sup_vat_rate,1,C64),0)+AX64*BA64+(BC64+BD64)*AX64/AY64+AZ64*AK64/AL64)/AK64,0)</f>
        <v>0.138732328046622</v>
      </c>
      <c r="DL64" s="90" t="n">
        <f aca="false">IF(Y64&gt;0,(BP64-AI64*(1+DI64))/Y64,0)</f>
        <v>0.138095865773175</v>
      </c>
      <c r="DM64" s="90" t="n">
        <f aca="false">IF(Z64&gt;0,(BQ64-AJ64*(1+DJ64))/Z64,0)</f>
        <v>0.163995908107531</v>
      </c>
      <c r="DN64" s="90" t="n">
        <f aca="false">IF(AA64&gt;0,(BR64-AK64*(1+DK64))/AA64,0)</f>
        <v>0.114804085506729</v>
      </c>
      <c r="DO64" s="86" t="n">
        <f aca="false">IF(Y64&gt;0,(CA64*(1-thr_gm_go)*(1-R64)-DL64)/(1+DI64)*I64/((1+AH64)*J64),"")</f>
        <v>1.61149902992719</v>
      </c>
      <c r="DP64" s="86" t="n">
        <f aca="false">IF(Z64&gt;0,(CB64*(1-thr_gm_go)*(1-R64)-DM64)/(1+DJ64)*I64/((1+AH64)*J64),"")</f>
        <v>1.64370699567075</v>
      </c>
      <c r="DQ64" s="86" t="n">
        <f aca="false">IF(AA64&gt;0,(CC64*(1-thr_gm_go)*(1-R64)-DN64)/(1+DK64)*I64/((1+AH64)*J64),"")</f>
        <v>2.38282392522747</v>
      </c>
      <c r="DR64" s="92" t="n">
        <f aca="false">IF(AND(AY64*INDEX(in_cus_mpf_rate,1,C64)&gt;INDEX(in_cus_mpf_min,1,C64),AY64*INDEX(in_cus_mpf_rate,1,C64)&lt;INDEX(in_cus_mpf_max,1,C64)),INDEX(in_cus_mpf_rate,1,C64),0)</f>
        <v>0</v>
      </c>
      <c r="DS64" s="88" t="n">
        <f aca="false">IF(AZ64&gt;INDEX(in_oce_ins_min,1,C64),INDEX(in_oce_ins_rate,1,C64)*(1+INDEX(in_oce_ins_uplift,1,C64))*AL64,0)</f>
        <v>0</v>
      </c>
      <c r="DT64" s="88" t="n">
        <f aca="false">(AL64+AN64)*(1+BA64+INDEX(in_cus_hmf,1,C64)+DR64)+DS64</f>
        <v>9887.1360005154</v>
      </c>
      <c r="DU64" s="86" t="n">
        <f aca="false">IF(DT64&gt;0,(CD64*(1-thr_gm_go)-(BM64-DT64))/DT64,0)</f>
        <v>0.235000086185745</v>
      </c>
      <c r="DV64" s="86" t="n">
        <f aca="false">IF(DT64&gt;0,(CD64-(BM64-DT64))/DT64,0)</f>
        <v>0.598131027219918</v>
      </c>
      <c r="DW64" s="87" t="n">
        <f aca="false">(1+AH64)*J64*DU64-1</f>
        <v>-0.764999913814255</v>
      </c>
      <c r="DX64" s="87" t="n">
        <f aca="false">(1+AH64)*J64*DV64-1</f>
        <v>-0.401868972780082</v>
      </c>
      <c r="DY64" s="85" t="n">
        <f aca="false">IF(G64&gt;0,(CD64*(1-thr_gm_go)-(BM64-AT64))/G64,"")</f>
        <v>-3563.6581882641</v>
      </c>
      <c r="DZ64" s="90" t="n">
        <f aca="false">IF(AB64&gt;0,(AL64+AN64+BB64+BC64+BD64)/AB64,0)</f>
        <v>0.165361933341923</v>
      </c>
      <c r="EA64" s="88" t="n">
        <f aca="false">BM64-DZ64*AB64</f>
        <v>8412.9171877487</v>
      </c>
      <c r="EB64" s="90" t="n">
        <f aca="false">IF(AB64&gt;0,CD64/AB64,0)</f>
        <v>0.239355</v>
      </c>
      <c r="EC64" s="85" t="n">
        <f aca="false">IF(EB64*(1-thr_gm_go)-DZ64&gt;0,EA64/(EB64*(1-thr_gm_go)-DZ64),"n/a")</f>
        <v>594371.130092538</v>
      </c>
      <c r="ED64" s="85" t="n">
        <f aca="false">IF(EB64-DZ64&gt;0,EA64/(EB64-DZ64),"n/a")</f>
        <v>113698.722971234</v>
      </c>
      <c r="EE64" s="93" t="b">
        <f aca="false">INDEX(cfg_fits,D64,C64)</f>
        <v>1</v>
      </c>
      <c r="EF64" s="87" t="n">
        <f aca="false">IF(F64=4,"",INDEX(cfg_lenutil,D64,C64))</f>
        <v>0.912070410729254</v>
      </c>
      <c r="EG64" s="31" t="str">
        <f aca="false">IF(O64&gt;1,"Check fit (units scaled up)","")</f>
        <v/>
      </c>
    </row>
    <row r="65" customFormat="false" ht="15" hidden="false" customHeight="false" outlineLevel="0" collapsed="false">
      <c r="A65" s="78" t="n">
        <v>2031</v>
      </c>
      <c r="B65" s="9" t="s">
        <v>3213</v>
      </c>
      <c r="C65" s="78" t="n">
        <v>2</v>
      </c>
      <c r="D65" s="78" t="n">
        <v>3</v>
      </c>
      <c r="E65" s="78" t="n">
        <v>1</v>
      </c>
      <c r="F65" s="79" t="n">
        <f aca="false">INDEX(cfg_ct,D65)</f>
        <v>1</v>
      </c>
      <c r="G65" s="79" t="n">
        <f aca="false">INDEX(cfg_n,D65)</f>
        <v>2</v>
      </c>
      <c r="H65" s="79" t="n">
        <f aca="false">INDEX(dest_port,E65)</f>
        <v>1</v>
      </c>
      <c r="I65" s="80" t="n">
        <f aca="false">INDEX(in_fx_cbe,1,C65)*(1-INDEX(in_fx_spread,1,C65))</f>
        <v>52.7748</v>
      </c>
      <c r="J65" s="81" t="n">
        <f aca="false">1</f>
        <v>1</v>
      </c>
      <c r="K65" s="82" t="n">
        <f aca="false">INDEX(in_sup_vat_mode,1,C65)</f>
        <v>2</v>
      </c>
      <c r="L65" s="83" t="n">
        <f aca="false">INDEX(in_cus_s301,1,C65)</f>
        <v>0.125</v>
      </c>
      <c r="M65" s="84" t="n">
        <f aca="false">1</f>
        <v>1</v>
      </c>
      <c r="N65" s="81" t="n">
        <f aca="false">1</f>
        <v>1</v>
      </c>
      <c r="O65" s="81" t="n">
        <f aca="false">1</f>
        <v>1</v>
      </c>
      <c r="P65" s="81" t="n">
        <f aca="false">1</f>
        <v>1</v>
      </c>
      <c r="Q65" s="81" t="n">
        <f aca="false">1</f>
        <v>1</v>
      </c>
      <c r="R65" s="83" t="n">
        <f aca="false">INDEX(in_sel_damage,1,C65)</f>
        <v>0.015</v>
      </c>
      <c r="S65" s="83" t="n">
        <f aca="false">INDEX(in_mkt_dist_margin,1,C65)</f>
        <v>0.25</v>
      </c>
      <c r="T65" s="83" t="n">
        <f aca="false">INDEX(in_mkt_eflute_disc,1,C65)</f>
        <v>0.2</v>
      </c>
      <c r="U65" s="82" t="n">
        <f aca="false">INDEX(in_sel_credit_days,1,C65)</f>
        <v>45</v>
      </c>
      <c r="V65" s="81" t="n">
        <f aca="false">1</f>
        <v>1</v>
      </c>
      <c r="W65" s="83" t="n">
        <f aca="false">INDEX(in_sel_commission,1,C65)</f>
        <v>0.05</v>
      </c>
      <c r="X65" s="82" t="n">
        <f aca="false">1</f>
        <v>1</v>
      </c>
      <c r="Y65" s="85" t="n">
        <f aca="false">INDEX(cfg_u_3464,D65,C65)*O65</f>
        <v>20000</v>
      </c>
      <c r="Z65" s="85" t="n">
        <f aca="false">INDEX(cfg_u_3463,D65,C65)*O65</f>
        <v>20000</v>
      </c>
      <c r="AA65" s="85" t="n">
        <f aca="false">INDEX(cfg_u_3460,D65,C65)*O65</f>
        <v>20000</v>
      </c>
      <c r="AB65" s="85" t="n">
        <f aca="false">Y65+Z65+AA65</f>
        <v>60000</v>
      </c>
      <c r="AC65" s="86" t="n">
        <f aca="false">Y65*INDEX(lg_vpu_3464,C65)</f>
        <v>14.22784</v>
      </c>
      <c r="AD65" s="86" t="n">
        <f aca="false">Z65*INDEX(lg_vpu_3463,C65)</f>
        <v>17.40544</v>
      </c>
      <c r="AE65" s="86" t="n">
        <f aca="false">AA65*INDEX(lg_vpu_3460,C65)</f>
        <v>11.37024</v>
      </c>
      <c r="AF65" s="86" t="n">
        <f aca="false">AC65+AD65+AE65</f>
        <v>43.00352</v>
      </c>
      <c r="AG65" s="85" t="n">
        <f aca="false">Y65*INDEX(lg_kpu_3464,C65)+Z65*INDEX(lg_kpu_3463,C65)+AA65*INDEX(lg_kpu_3460,C65)</f>
        <v>10342.13472</v>
      </c>
      <c r="AH65" s="87" t="n">
        <f aca="false">INDEX(in_sup_requote,1,C65)</f>
        <v>0</v>
      </c>
      <c r="AI65" s="88" t="n">
        <f aca="false">Y65*q_price_3464*(1+AH65)*J65/I65</f>
        <v>3170.0735957313</v>
      </c>
      <c r="AJ65" s="88" t="n">
        <f aca="false">Z65*q_price_3463*(1+AH65)*J65/I65</f>
        <v>2993.85312687116</v>
      </c>
      <c r="AK65" s="88" t="n">
        <f aca="false">AA65*q_price_3460*(1+AH65)*J65/I65</f>
        <v>2614.8843766343</v>
      </c>
      <c r="AL65" s="88" t="n">
        <f aca="false">AI65+AJ65+AK65</f>
        <v>8778.81109923676</v>
      </c>
      <c r="AM65" s="88" t="n">
        <f aca="false">IF(OR(K65=2,K65=3),AL65*INDEX(in_sup_vat_rate,1,C65),0)</f>
        <v>1229.03355389315</v>
      </c>
      <c r="AN65" s="88" t="n">
        <f aca="false">IF(K65=3,AM65,0)</f>
        <v>0</v>
      </c>
      <c r="AO65" s="88" t="n">
        <f aca="false">INDEX(in_sup_tooling_egp,1,C65)/I65</f>
        <v>0</v>
      </c>
      <c r="AP65" s="88" t="n">
        <f aca="false">IF(F65=4,INDEX(in_ori_lcl_truck,1,C65)*V65/I65+INDEX(in_ori_lcl_cfs_o,1,C65),G65*(IF(F65=1,INDEX(in_ori_truck_20,1,C65),INDEX(in_ori_truck_40,1,C65))*V65/I65+INDEX(in_ori_terminal,1,C65)+IF(F65=1,INDEX(in_ori_othc_20,1,C65),INDEX(in_ori_othc_40,1,C65))*(1-INDEX(in_ori_othc_in_freight,1,C65))+INDEX(in_ori_seal,1,C65)+INDEX(in_ori_inspection,1,C65)+INDEX(in_ori_dd_days,1,C65)*IF(F65=1,INDEX(in_ori_dd_20,1,C65),INDEX(in_ori_dd_40,1,C65))+INDEX(in_ori_loading_egp,1,C65)/I65))</f>
        <v>837.917187748698</v>
      </c>
      <c r="AQ65" s="88" t="n">
        <f aca="false">(INDEX(in_ori_clearance,1,C65)+INDEX(in_ori_coo,1,C65))/I65+INDEX(in_ori_bl_fee,1,C65)+INDEX(in_ori_fwd_fee,1,C65)+INDEX(in_ori_qc,1,C65)+INDEX(in_ori_wires,1,C65)*INDEX(in_ori_wire_fee,1,C65)</f>
        <v>817.639062582899</v>
      </c>
      <c r="AR65" s="88" t="n">
        <f aca="false">AP65+AQ65</f>
        <v>1655.5562503316</v>
      </c>
      <c r="AS65" s="85" t="n">
        <f aca="false">INDEX(tbl_port_diff,H65,C65)</f>
        <v>0</v>
      </c>
      <c r="AT65" s="88" t="n">
        <f aca="false">IF(F65=4,MAX(AF65*INDEX(in_oce_lcl_factor,1,C65),AG65/1000,1)*INDEX(in_oce_lcl_rate,1,C65)*M65,G65*(INDEX(tbl_ocean_rate,MIN(F65,3),C65)+AS65)*M65)</f>
        <v>6000</v>
      </c>
      <c r="AU65" s="88" t="n">
        <f aca="false">AT65+INDEX(in_oce_ams,1,C65)</f>
        <v>6035</v>
      </c>
      <c r="AV65" s="88" t="n">
        <f aca="false">AI65*(1+IF(K65=3,INDEX(in_sup_vat_rate,1,C65),0))+AO65*Y65/AB65</f>
        <v>3170.0735957313</v>
      </c>
      <c r="AW65" s="88" t="n">
        <f aca="false">AJ65*(1+IF(K65=3,INDEX(in_sup_vat_rate,1,C65),0))+AO65*Z65/AB65</f>
        <v>2993.85312687116</v>
      </c>
      <c r="AX65" s="88" t="n">
        <f aca="false">AK65*(1+IF(K65=3,INDEX(in_sup_vat_rate,1,C65),0))+AO65*AA65/AB65</f>
        <v>2614.8843766343</v>
      </c>
      <c r="AY65" s="88" t="n">
        <f aca="false">AV65+AW65+AX65</f>
        <v>8778.81109923676</v>
      </c>
      <c r="AZ65" s="88" t="n">
        <f aca="false">MAX(INDEX(in_oce_ins_min,1,C65),INDEX(in_oce_ins_rate,1,C65)*(1+INDEX(in_oce_ins_uplift,1,C65))*(AL65+AO65+AR65+AU65))*(1-INDEX(in_oce_ins_in_other,1,C65))</f>
        <v>75</v>
      </c>
      <c r="BA65" s="87" t="n">
        <f aca="false">INDEX(in_cus_mfn,1,C65)+L65</f>
        <v>0.125</v>
      </c>
      <c r="BB65" s="88" t="n">
        <f aca="false">AY65*BA65</f>
        <v>1097.35138740459</v>
      </c>
      <c r="BC65" s="88" t="n">
        <f aca="false">MIN(MAX(AY65*INDEX(in_cus_mpf_rate,1,C65),INDEX(in_cus_mpf_min,1,C65)),INDEX(in_cus_mpf_max,1,C65))</f>
        <v>34.58</v>
      </c>
      <c r="BD65" s="88" t="n">
        <f aca="false">AY65*INDEX(in_cus_hmf,1,C65)</f>
        <v>10.9735138740459</v>
      </c>
      <c r="BE65" s="88" t="n">
        <f aca="false">MAX(INDEX(in_cus_stb_min,1,C65),INDEX(in_cus_stb_rate,1,C65)/1000*(AY65+BB65+BC65+BD65))</f>
        <v>75</v>
      </c>
      <c r="BF65" s="88" t="n">
        <f aca="false">INDEX(in_cus_broker,1,C65)+INDEX(in_cus_isf,1,C65)+INDEX(in_cus_do_fee,1,C65)+BE65+INDEX(in_cus_isf_bond,1,C65)</f>
        <v>510</v>
      </c>
      <c r="BG65" s="88" t="n">
        <f aca="false">IF(H65=1,INDEX(in_cus_cfc,1,C65)*INDEX(ct_teu,F65)*G65*(1-INDEX(in_cus_cfc_in_freight,1,C65)),0)</f>
        <v>29.6</v>
      </c>
      <c r="BH65" s="88" t="n">
        <f aca="false">IF(F65=4,1,G65)*(INDEX(in_cus_exam,1,C65)+INDEX(in_cus_exam_dray,1,C65))</f>
        <v>0</v>
      </c>
      <c r="BI65" s="88" t="n">
        <f aca="false">IF(F65=4,1,G65)*INDEX(in_cus_dem_days,1,C65)*INDEX(in_cus_dem_rate,1,C65)</f>
        <v>0</v>
      </c>
      <c r="BJ65" s="88" t="n">
        <f aca="false">BG65+BH65+BI65</f>
        <v>29.6</v>
      </c>
      <c r="BK65" s="88" t="n">
        <f aca="false">IF(F65=4,(INDEX(in_dra_lcl_cfs_d,1,C65)+INDEX(in_dra_lcl_deliv,1,C65))*P65,G65*(INDEX(tbl_dest_line,E65,C65)*P65*(1+INDEX(in_dra_fsc,1,C65))+INDEX(tbl_dest_tolls,E65,C65)+INDEX(in_dra_chassis_days,1,C65)*INDEX(tbl_dest_chassis,E65,C65)*(1-INDEX(in_dra_chassis_in_dray,1,C65))+INDEX(in_dra_wait_hours,1,C65)*INDEX(in_dra_wait_rate,1,C65)+INDEX(in_dra_split,1,C65)+INDEX(in_dra_prepull,1,C65)+INDEX(in_dra_dryrun,1,C65)))</f>
        <v>2120</v>
      </c>
      <c r="BL65" s="88" t="n">
        <f aca="false">IF(F65=4,0,G65*IF(F65=1,INDEX(in_dra_unload_20,1,C65),INDEX(in_dra_unload_40,1,C65))*Q65*(1-INDEX(in_dra_unload_in_dray,1,C65)))</f>
        <v>600</v>
      </c>
      <c r="BM65" s="88" t="n">
        <f aca="false">AL65+AN65+AO65+AR65+AU65+AZ65+BB65+BC65+BD65+BF65+BJ65+BK65+BL65</f>
        <v>20946.872250847</v>
      </c>
      <c r="BN65" s="88" t="n">
        <f aca="false">AP65+AU65+BJ65+BK65+BL65</f>
        <v>9622.5171877487</v>
      </c>
      <c r="BO65" s="88" t="n">
        <f aca="false">AQ65+BF65</f>
        <v>1327.6390625829</v>
      </c>
      <c r="BP65" s="88" t="n">
        <f aca="false">AI65*(1+IF(K65=3,INDEX(in_sup_vat_rate,1,C65),0))+AO65*Y65/AB65+AV65*BA65+(BC65+BD65)*AV65/AY65+AZ65*AI65/AL65+BN65*AC65/AF65+BO65*Y65/AB65</f>
        <v>7236.04951294577</v>
      </c>
      <c r="BQ65" s="88" t="n">
        <f aca="false">AJ65*(1+IF(K65=3,INDEX(in_sup_vat_rate,1,C65),0))+AO65*Z65/AB65+AW65*BA65+(BC65+BD65)*AW65/AY65+AZ65*AJ65/AL65+BN65*AD65/AF65+BO65*Z65/AB65</f>
        <v>7746.40500570957</v>
      </c>
      <c r="BR65" s="88" t="n">
        <f aca="false">AK65*(1+IF(K65=3,INDEX(in_sup_vat_rate,1,C65),0))+AO65*AA65/AB65+AX65*BA65+(BC65+BD65)*AX65/AY65+AZ65*AK65/AL65+BN65*AE65/AF65+BO65*AA65/AB65</f>
        <v>5964.41773219166</v>
      </c>
      <c r="BS65" s="89" t="n">
        <f aca="false">BP65+BQ65+BR65-BM65</f>
        <v>0</v>
      </c>
      <c r="BT65" s="85" t="n">
        <f aca="false">Y65*(1-R65)</f>
        <v>19700</v>
      </c>
      <c r="BU65" s="85" t="n">
        <f aca="false">Z65*(1-R65)</f>
        <v>19700</v>
      </c>
      <c r="BV65" s="85" t="n">
        <f aca="false">AA65*(1-R65)</f>
        <v>19700</v>
      </c>
      <c r="BW65" s="85" t="n">
        <f aca="false">BT65+BU65+BV65</f>
        <v>59100</v>
      </c>
      <c r="BX65" s="90" t="n">
        <f aca="false">IF(BT65&gt;0,BP65/BT65,0)</f>
        <v>0.367312158017552</v>
      </c>
      <c r="BY65" s="90" t="n">
        <f aca="false">IF(BU65&gt;0,BQ65/BU65,0)</f>
        <v>0.393218528208608</v>
      </c>
      <c r="BZ65" s="90" t="n">
        <f aca="false">IF(BV65&gt;0,BR65/BV65,0)</f>
        <v>0.302762321431049</v>
      </c>
      <c r="CA65" s="90" t="n">
        <f aca="false">INDEX(in_mkt_listing_3464,1,C65)*(1-IF(sku_flute_3464="B",T65,0))*(1-S65)*N65</f>
        <v>0.234</v>
      </c>
      <c r="CB65" s="90" t="n">
        <f aca="false">INDEX(in_mkt_listing_3463,1,C65)*(1-IF(sku_flute_3463="B",T65,0))*(1-S65)*N65</f>
        <v>0.27</v>
      </c>
      <c r="CC65" s="90" t="n">
        <f aca="false">INDEX(in_mkt_listing_3460,1,C65)*(1-IF(sku_flute_3460="B",T65,0))*(1-S65)*N65</f>
        <v>0.225</v>
      </c>
      <c r="CD65" s="88" t="n">
        <f aca="false">BT65*CA65+BU65*CB65+BV65*CC65</f>
        <v>14361.3</v>
      </c>
      <c r="CE65" s="88" t="n">
        <f aca="false">CD65-BM65</f>
        <v>-6585.57225084699</v>
      </c>
      <c r="CF65" s="87" t="n">
        <f aca="false">IF(CD65&gt;0,CE65/CD65,0)</f>
        <v>-0.458563796511945</v>
      </c>
      <c r="CG65" s="87" t="n">
        <f aca="false">W65+INDEX(in_sel_processing,1,C65)+INDEX(in_sel_bad_debt,1,C65)</f>
        <v>0.058</v>
      </c>
      <c r="CH65" s="88" t="n">
        <f aca="false">CD65*CG65</f>
        <v>832.9554</v>
      </c>
      <c r="CI65" s="88" t="n">
        <f aca="false">INDEX(in_sel_testing,1,C65)*X65+INDEX(in_sel_admin,1,C65)</f>
        <v>3000</v>
      </c>
      <c r="CJ65" s="79" t="n">
        <f aca="false">INDEX(in_sup_lead_days,1,C65)</f>
        <v>21</v>
      </c>
      <c r="CK65" s="79" t="n">
        <f aca="false">CJ65+INDEX(in_oce_transit,1,C65)+IF(F65=4,INDEX(in_oce_lcl_extra_days,1,C65),0)</f>
        <v>51</v>
      </c>
      <c r="CL65" s="79" t="n">
        <f aca="false">CK65+2+INDEX(in_cus_dem_days,1,C65)</f>
        <v>53</v>
      </c>
      <c r="CM65" s="79" t="n">
        <f aca="false">CL65+U65</f>
        <v>98</v>
      </c>
      <c r="CN65" s="79" t="n">
        <f aca="false">CJ65+INDEX(in_sup_vat_lag,1,C65)</f>
        <v>81</v>
      </c>
      <c r="CO65" s="91" t="n">
        <f aca="false">INDEX(in_sup_advance,1,C65)</f>
        <v>0.5</v>
      </c>
      <c r="CP65" s="88" t="n">
        <f aca="false">CO65*(AL65+AM65)+AO65+INDEX(in_sel_testing,1,C65)*X65</f>
        <v>7503.92232656495</v>
      </c>
      <c r="CQ65" s="88" t="n">
        <f aca="false">(1-CO65)*(AL65+AM65)+AR65+AU65+AZ65</f>
        <v>12769.4785768965</v>
      </c>
      <c r="CR65" s="88" t="n">
        <f aca="false">BB65+BC65+BD65+BF65+BJ65</f>
        <v>1682.50490127864</v>
      </c>
      <c r="CS65" s="88" t="n">
        <f aca="false">BK65+BL65</f>
        <v>2720</v>
      </c>
      <c r="CT65" s="88" t="n">
        <f aca="false">IF(K65=2,AM65,0)</f>
        <v>1229.03355389315</v>
      </c>
      <c r="CU65" s="85" t="n">
        <f aca="false">IF(K65=2,CO65*AM65*(CN65-0)+(1-CO65)*AM65*(CN65-CJ65),0)</f>
        <v>86646.8655494668</v>
      </c>
      <c r="CV65" s="85" t="n">
        <f aca="false">(CP65-CO65*CT65)*(CM65-0)+(CQ65-(1-CO65)*CT65)*(CM65-CJ65)+CR65*(CM65-CK65)+CS65*(CM65-CL65)</f>
        <v>1812571.53281885</v>
      </c>
      <c r="CW65" s="88" t="n">
        <f aca="false">INDEX(in_sel_fin_rate,1,C65)/365*(CU65+CV65)</f>
        <v>520.33380777214</v>
      </c>
      <c r="CX65" s="85" t="n">
        <f aca="false">CP65-IF(CN65&lt;=0,CT65,0)</f>
        <v>7503.92232656495</v>
      </c>
      <c r="CY65" s="85" t="n">
        <f aca="false">CP65+CQ65-IF(CN65&lt;=CJ65,CT65,0)</f>
        <v>20273.4009034615</v>
      </c>
      <c r="CZ65" s="85" t="n">
        <f aca="false">CP65+CQ65+CR65-IF(CN65&lt;=CK65,CT65,0)</f>
        <v>21955.9058047401</v>
      </c>
      <c r="DA65" s="85" t="n">
        <f aca="false">CP65+CQ65+CR65+CS65-IF(CN65&lt;=CL65,CT65,0)</f>
        <v>24675.9058047401</v>
      </c>
      <c r="DB65" s="88" t="n">
        <f aca="false">MAX(CX65,CY65,CZ65,DA65)</f>
        <v>24675.9058047401</v>
      </c>
      <c r="DC65" s="88" t="n">
        <f aca="false">CP65+CQ65+CR65+CS65</f>
        <v>24675.9058047401</v>
      </c>
      <c r="DD65" s="88" t="n">
        <f aca="false">CE65-CH65-CI65-CW65</f>
        <v>-10938.8614586191</v>
      </c>
      <c r="DE65" s="87" t="n">
        <f aca="false">IF(CD65&gt;0,DD65/CD65,0)</f>
        <v>-0.76169019925906</v>
      </c>
      <c r="DF65" s="86" t="n">
        <f aca="false">IF(CD65&gt;0,(BM65+CI65+CW65)/(CD65*(1-CG65)),0)</f>
        <v>1.80858832193106</v>
      </c>
      <c r="DG65" s="90" t="n">
        <f aca="false">IF(BW65&gt;0,BM65/BW65,0)</f>
        <v>0.354431002552403</v>
      </c>
      <c r="DH65" s="90" t="n">
        <f aca="false">IF(BW65&gt;0,CD65/BW65,0)</f>
        <v>0.243</v>
      </c>
      <c r="DI65" s="90" t="n">
        <f aca="false">IF(AI65&gt;0,(AI65*IF(K65=3,INDEX(in_sup_vat_rate,1,C65),0)+AV65*BA65+(BC65+BD65)*AV65/AY65+AZ65*AI65/AL65)/AI65,0)</f>
        <v>0.138732328046622</v>
      </c>
      <c r="DJ65" s="90" t="n">
        <f aca="false">IF(AJ65&gt;0,(AJ65*IF(K65=3,INDEX(in_sup_vat_rate,1,C65),0)+AW65*BA65+(BC65+BD65)*AW65/AY65+AZ65*AJ65/AL65)/AJ65,0)</f>
        <v>0.138732328046622</v>
      </c>
      <c r="DK65" s="90" t="n">
        <f aca="false">IF(AK65&gt;0,(AK65*IF(K65=3,INDEX(in_sup_vat_rate,1,C65),0)+AX65*BA65+(BC65+BD65)*AX65/AY65+AZ65*AK65/AL65)/AK65,0)</f>
        <v>0.138732328046622</v>
      </c>
      <c r="DL65" s="90" t="n">
        <f aca="false">IF(Y65&gt;0,(BP65-AI65*(1+DI65))/Y65,0)</f>
        <v>0.181309211359977</v>
      </c>
      <c r="DM65" s="90" t="n">
        <f aca="false">IF(Z65&gt;0,(BQ65-AJ65*(1+DJ65))/Z65,0)</f>
        <v>0.216860383235896</v>
      </c>
      <c r="DN65" s="90" t="n">
        <f aca="false">IF(AA65&gt;0,(BR65-AK65*(1+DK65))/AA65,0)</f>
        <v>0.149338217920707</v>
      </c>
      <c r="DO65" s="86" t="n">
        <f aca="false">IF(Y65&gt;0,(CA65*(1-thr_gm_go)*(1-R65)-DL65)/(1+DI65)*I65/((1+AH65)*J65),"")</f>
        <v>-0.391232968194336</v>
      </c>
      <c r="DP65" s="86" t="n">
        <f aca="false">IF(Z65&gt;0,(CB65*(1-thr_gm_go)*(1-R65)-DM65)/(1+DJ65)*I65/((1+AH65)*J65),"")</f>
        <v>-0.806308722061831</v>
      </c>
      <c r="DQ65" s="86" t="n">
        <f aca="false">IF(AA65&gt;0,(CC65*(1-thr_gm_go)*(1-R65)-DN65)/(1+DK65)*I65/((1+AH65)*J65),"")</f>
        <v>0.782331969011956</v>
      </c>
      <c r="DR65" s="92" t="n">
        <f aca="false">IF(AND(AY65*INDEX(in_cus_mpf_rate,1,C65)&gt;INDEX(in_cus_mpf_min,1,C65),AY65*INDEX(in_cus_mpf_rate,1,C65)&lt;INDEX(in_cus_mpf_max,1,C65)),INDEX(in_cus_mpf_rate,1,C65),0)</f>
        <v>0</v>
      </c>
      <c r="DS65" s="88" t="n">
        <f aca="false">IF(AZ65&gt;INDEX(in_oce_ins_min,1,C65),INDEX(in_oce_ins_rate,1,C65)*(1+INDEX(in_oce_ins_uplift,1,C65))*AL65,0)</f>
        <v>0</v>
      </c>
      <c r="DT65" s="88" t="n">
        <f aca="false">(AL65+AN65)*(1+BA65+INDEX(in_cus_hmf,1,C65)+DR65)+DS65</f>
        <v>9887.1360005154</v>
      </c>
      <c r="DU65" s="86" t="n">
        <f aca="false">IF(DT65&gt;0,(CD65*(1-thr_gm_go)-(BM65-DT65))/DT65,0)</f>
        <v>-0.0292057528405137</v>
      </c>
      <c r="DV65" s="86" t="n">
        <f aca="false">IF(DT65&gt;0,(CD65-(BM65-DT65))/DT65,0)</f>
        <v>0.333925188193659</v>
      </c>
      <c r="DW65" s="87" t="n">
        <f aca="false">(1+AH65)*J65*DU65-1</f>
        <v>-1.02920575284051</v>
      </c>
      <c r="DX65" s="87" t="n">
        <f aca="false">(1+AH65)*J65*DV65-1</f>
        <v>-0.666074811806341</v>
      </c>
      <c r="DY65" s="85" t="n">
        <f aca="false">IF(G65&gt;0,(CD65*(1-thr_gm_go)-(BM65-AT65))/G65,"")</f>
        <v>-2087.9486254235</v>
      </c>
      <c r="DZ65" s="90" t="n">
        <f aca="false">IF(AB65&gt;0,(AL65+AN65+BB65+BC65+BD65)/AB65,0)</f>
        <v>0.165361933341923</v>
      </c>
      <c r="EA65" s="88" t="n">
        <f aca="false">BM65-DZ65*AB65</f>
        <v>11025.1562503316</v>
      </c>
      <c r="EB65" s="90" t="n">
        <f aca="false">IF(AB65&gt;0,CD65/AB65,0)</f>
        <v>0.239355</v>
      </c>
      <c r="EC65" s="85" t="n">
        <f aca="false">IF(EB65*(1-thr_gm_go)-DZ65&gt;0,EA65/(EB65*(1-thr_gm_go)-DZ65),"n/a")</f>
        <v>778925.363665679</v>
      </c>
      <c r="ED65" s="85" t="n">
        <f aca="false">IF(EB65-DZ65&gt;0,EA65/(EB65-DZ65),"n/a")</f>
        <v>149002.558594835</v>
      </c>
      <c r="EE65" s="93" t="b">
        <f aca="false">INDEX(cfg_fits,D65,C65)</f>
        <v>1</v>
      </c>
      <c r="EF65" s="87" t="n">
        <f aca="false">IF(F65=4,"",INDEX(cfg_lenutil,D65,C65))</f>
        <v>0.972413793103448</v>
      </c>
      <c r="EG65" s="31" t="str">
        <f aca="false">IF(O65&gt;1,"Check fit (units scaled up)","")</f>
        <v/>
      </c>
    </row>
    <row r="66" customFormat="false" ht="15" hidden="false" customHeight="false" outlineLevel="0" collapsed="false">
      <c r="A66" s="78" t="n">
        <v>2032</v>
      </c>
      <c r="B66" s="9" t="s">
        <v>3214</v>
      </c>
      <c r="C66" s="78" t="n">
        <v>2</v>
      </c>
      <c r="D66" s="78" t="n">
        <v>3</v>
      </c>
      <c r="E66" s="78" t="n">
        <v>2</v>
      </c>
      <c r="F66" s="79" t="n">
        <f aca="false">INDEX(cfg_ct,D66)</f>
        <v>1</v>
      </c>
      <c r="G66" s="79" t="n">
        <f aca="false">INDEX(cfg_n,D66)</f>
        <v>2</v>
      </c>
      <c r="H66" s="79" t="n">
        <f aca="false">INDEX(dest_port,E66)</f>
        <v>1</v>
      </c>
      <c r="I66" s="80" t="n">
        <f aca="false">INDEX(in_fx_cbe,1,C66)*(1-INDEX(in_fx_spread,1,C66))</f>
        <v>52.7748</v>
      </c>
      <c r="J66" s="81" t="n">
        <f aca="false">1</f>
        <v>1</v>
      </c>
      <c r="K66" s="82" t="n">
        <f aca="false">INDEX(in_sup_vat_mode,1,C66)</f>
        <v>2</v>
      </c>
      <c r="L66" s="83" t="n">
        <f aca="false">INDEX(in_cus_s301,1,C66)</f>
        <v>0.125</v>
      </c>
      <c r="M66" s="84" t="n">
        <f aca="false">1</f>
        <v>1</v>
      </c>
      <c r="N66" s="81" t="n">
        <f aca="false">1</f>
        <v>1</v>
      </c>
      <c r="O66" s="81" t="n">
        <f aca="false">1</f>
        <v>1</v>
      </c>
      <c r="P66" s="81" t="n">
        <f aca="false">1</f>
        <v>1</v>
      </c>
      <c r="Q66" s="81" t="n">
        <f aca="false">1</f>
        <v>1</v>
      </c>
      <c r="R66" s="83" t="n">
        <f aca="false">INDEX(in_sel_damage,1,C66)</f>
        <v>0.015</v>
      </c>
      <c r="S66" s="83" t="n">
        <f aca="false">INDEX(in_mkt_dist_margin,1,C66)</f>
        <v>0.25</v>
      </c>
      <c r="T66" s="83" t="n">
        <f aca="false">INDEX(in_mkt_eflute_disc,1,C66)</f>
        <v>0.2</v>
      </c>
      <c r="U66" s="82" t="n">
        <f aca="false">INDEX(in_sel_credit_days,1,C66)</f>
        <v>45</v>
      </c>
      <c r="V66" s="81" t="n">
        <f aca="false">1</f>
        <v>1</v>
      </c>
      <c r="W66" s="83" t="n">
        <f aca="false">INDEX(in_sel_commission,1,C66)</f>
        <v>0.05</v>
      </c>
      <c r="X66" s="82" t="n">
        <f aca="false">1</f>
        <v>1</v>
      </c>
      <c r="Y66" s="85" t="n">
        <f aca="false">INDEX(cfg_u_3464,D66,C66)*O66</f>
        <v>20000</v>
      </c>
      <c r="Z66" s="85" t="n">
        <f aca="false">INDEX(cfg_u_3463,D66,C66)*O66</f>
        <v>20000</v>
      </c>
      <c r="AA66" s="85" t="n">
        <f aca="false">INDEX(cfg_u_3460,D66,C66)*O66</f>
        <v>20000</v>
      </c>
      <c r="AB66" s="85" t="n">
        <f aca="false">Y66+Z66+AA66</f>
        <v>60000</v>
      </c>
      <c r="AC66" s="86" t="n">
        <f aca="false">Y66*INDEX(lg_vpu_3464,C66)</f>
        <v>14.22784</v>
      </c>
      <c r="AD66" s="86" t="n">
        <f aca="false">Z66*INDEX(lg_vpu_3463,C66)</f>
        <v>17.40544</v>
      </c>
      <c r="AE66" s="86" t="n">
        <f aca="false">AA66*INDEX(lg_vpu_3460,C66)</f>
        <v>11.37024</v>
      </c>
      <c r="AF66" s="86" t="n">
        <f aca="false">AC66+AD66+AE66</f>
        <v>43.00352</v>
      </c>
      <c r="AG66" s="85" t="n">
        <f aca="false">Y66*INDEX(lg_kpu_3464,C66)+Z66*INDEX(lg_kpu_3463,C66)+AA66*INDEX(lg_kpu_3460,C66)</f>
        <v>10342.13472</v>
      </c>
      <c r="AH66" s="87" t="n">
        <f aca="false">INDEX(in_sup_requote,1,C66)</f>
        <v>0</v>
      </c>
      <c r="AI66" s="88" t="n">
        <f aca="false">Y66*q_price_3464*(1+AH66)*J66/I66</f>
        <v>3170.0735957313</v>
      </c>
      <c r="AJ66" s="88" t="n">
        <f aca="false">Z66*q_price_3463*(1+AH66)*J66/I66</f>
        <v>2993.85312687116</v>
      </c>
      <c r="AK66" s="88" t="n">
        <f aca="false">AA66*q_price_3460*(1+AH66)*J66/I66</f>
        <v>2614.8843766343</v>
      </c>
      <c r="AL66" s="88" t="n">
        <f aca="false">AI66+AJ66+AK66</f>
        <v>8778.81109923676</v>
      </c>
      <c r="AM66" s="88" t="n">
        <f aca="false">IF(OR(K66=2,K66=3),AL66*INDEX(in_sup_vat_rate,1,C66),0)</f>
        <v>1229.03355389315</v>
      </c>
      <c r="AN66" s="88" t="n">
        <f aca="false">IF(K66=3,AM66,0)</f>
        <v>0</v>
      </c>
      <c r="AO66" s="88" t="n">
        <f aca="false">INDEX(in_sup_tooling_egp,1,C66)/I66</f>
        <v>0</v>
      </c>
      <c r="AP66" s="88" t="n">
        <f aca="false">IF(F66=4,INDEX(in_ori_lcl_truck,1,C66)*V66/I66+INDEX(in_ori_lcl_cfs_o,1,C66),G66*(IF(F66=1,INDEX(in_ori_truck_20,1,C66),INDEX(in_ori_truck_40,1,C66))*V66/I66+INDEX(in_ori_terminal,1,C66)+IF(F66=1,INDEX(in_ori_othc_20,1,C66),INDEX(in_ori_othc_40,1,C66))*(1-INDEX(in_ori_othc_in_freight,1,C66))+INDEX(in_ori_seal,1,C66)+INDEX(in_ori_inspection,1,C66)+INDEX(in_ori_dd_days,1,C66)*IF(F66=1,INDEX(in_ori_dd_20,1,C66),INDEX(in_ori_dd_40,1,C66))+INDEX(in_ori_loading_egp,1,C66)/I66))</f>
        <v>837.917187748698</v>
      </c>
      <c r="AQ66" s="88" t="n">
        <f aca="false">(INDEX(in_ori_clearance,1,C66)+INDEX(in_ori_coo,1,C66))/I66+INDEX(in_ori_bl_fee,1,C66)+INDEX(in_ori_fwd_fee,1,C66)+INDEX(in_ori_qc,1,C66)+INDEX(in_ori_wires,1,C66)*INDEX(in_ori_wire_fee,1,C66)</f>
        <v>817.639062582899</v>
      </c>
      <c r="AR66" s="88" t="n">
        <f aca="false">AP66+AQ66</f>
        <v>1655.5562503316</v>
      </c>
      <c r="AS66" s="85" t="n">
        <f aca="false">INDEX(tbl_port_diff,H66,C66)</f>
        <v>0</v>
      </c>
      <c r="AT66" s="88" t="n">
        <f aca="false">IF(F66=4,MAX(AF66*INDEX(in_oce_lcl_factor,1,C66),AG66/1000,1)*INDEX(in_oce_lcl_rate,1,C66)*M66,G66*(INDEX(tbl_ocean_rate,MIN(F66,3),C66)+AS66)*M66)</f>
        <v>6000</v>
      </c>
      <c r="AU66" s="88" t="n">
        <f aca="false">AT66+INDEX(in_oce_ams,1,C66)</f>
        <v>6035</v>
      </c>
      <c r="AV66" s="88" t="n">
        <f aca="false">AI66*(1+IF(K66=3,INDEX(in_sup_vat_rate,1,C66),0))+AO66*Y66/AB66</f>
        <v>3170.0735957313</v>
      </c>
      <c r="AW66" s="88" t="n">
        <f aca="false">AJ66*(1+IF(K66=3,INDEX(in_sup_vat_rate,1,C66),0))+AO66*Z66/AB66</f>
        <v>2993.85312687116</v>
      </c>
      <c r="AX66" s="88" t="n">
        <f aca="false">AK66*(1+IF(K66=3,INDEX(in_sup_vat_rate,1,C66),0))+AO66*AA66/AB66</f>
        <v>2614.8843766343</v>
      </c>
      <c r="AY66" s="88" t="n">
        <f aca="false">AV66+AW66+AX66</f>
        <v>8778.81109923676</v>
      </c>
      <c r="AZ66" s="88" t="n">
        <f aca="false">MAX(INDEX(in_oce_ins_min,1,C66),INDEX(in_oce_ins_rate,1,C66)*(1+INDEX(in_oce_ins_uplift,1,C66))*(AL66+AO66+AR66+AU66))*(1-INDEX(in_oce_ins_in_other,1,C66))</f>
        <v>75</v>
      </c>
      <c r="BA66" s="87" t="n">
        <f aca="false">INDEX(in_cus_mfn,1,C66)+L66</f>
        <v>0.125</v>
      </c>
      <c r="BB66" s="88" t="n">
        <f aca="false">AY66*BA66</f>
        <v>1097.35138740459</v>
      </c>
      <c r="BC66" s="88" t="n">
        <f aca="false">MIN(MAX(AY66*INDEX(in_cus_mpf_rate,1,C66),INDEX(in_cus_mpf_min,1,C66)),INDEX(in_cus_mpf_max,1,C66))</f>
        <v>34.58</v>
      </c>
      <c r="BD66" s="88" t="n">
        <f aca="false">AY66*INDEX(in_cus_hmf,1,C66)</f>
        <v>10.9735138740459</v>
      </c>
      <c r="BE66" s="88" t="n">
        <f aca="false">MAX(INDEX(in_cus_stb_min,1,C66),INDEX(in_cus_stb_rate,1,C66)/1000*(AY66+BB66+BC66+BD66))</f>
        <v>75</v>
      </c>
      <c r="BF66" s="88" t="n">
        <f aca="false">INDEX(in_cus_broker,1,C66)+INDEX(in_cus_isf,1,C66)+INDEX(in_cus_do_fee,1,C66)+BE66+INDEX(in_cus_isf_bond,1,C66)</f>
        <v>510</v>
      </c>
      <c r="BG66" s="88" t="n">
        <f aca="false">IF(H66=1,INDEX(in_cus_cfc,1,C66)*INDEX(ct_teu,F66)*G66*(1-INDEX(in_cus_cfc_in_freight,1,C66)),0)</f>
        <v>29.6</v>
      </c>
      <c r="BH66" s="88" t="n">
        <f aca="false">IF(F66=4,1,G66)*(INDEX(in_cus_exam,1,C66)+INDEX(in_cus_exam_dray,1,C66))</f>
        <v>0</v>
      </c>
      <c r="BI66" s="88" t="n">
        <f aca="false">IF(F66=4,1,G66)*INDEX(in_cus_dem_days,1,C66)*INDEX(in_cus_dem_rate,1,C66)</f>
        <v>0</v>
      </c>
      <c r="BJ66" s="88" t="n">
        <f aca="false">BG66+BH66+BI66</f>
        <v>29.6</v>
      </c>
      <c r="BK66" s="88" t="n">
        <f aca="false">IF(F66=4,(INDEX(in_dra_lcl_cfs_d,1,C66)+INDEX(in_dra_lcl_deliv,1,C66))*P66,G66*(INDEX(tbl_dest_line,E66,C66)*P66*(1+INDEX(in_dra_fsc,1,C66))+INDEX(tbl_dest_tolls,E66,C66)+INDEX(in_dra_chassis_days,1,C66)*INDEX(tbl_dest_chassis,E66,C66)*(1-INDEX(in_dra_chassis_in_dray,1,C66))+INDEX(in_dra_wait_hours,1,C66)*INDEX(in_dra_wait_rate,1,C66)+INDEX(in_dra_split,1,C66)+INDEX(in_dra_prepull,1,C66)+INDEX(in_dra_dryrun,1,C66)))</f>
        <v>2700</v>
      </c>
      <c r="BL66" s="88" t="n">
        <f aca="false">IF(F66=4,0,G66*IF(F66=1,INDEX(in_dra_unload_20,1,C66),INDEX(in_dra_unload_40,1,C66))*Q66*(1-INDEX(in_dra_unload_in_dray,1,C66)))</f>
        <v>600</v>
      </c>
      <c r="BM66" s="88" t="n">
        <f aca="false">AL66+AN66+AO66+AR66+AU66+AZ66+BB66+BC66+BD66+BF66+BJ66+BK66+BL66</f>
        <v>21526.872250847</v>
      </c>
      <c r="BN66" s="88" t="n">
        <f aca="false">AP66+AU66+BJ66+BK66+BL66</f>
        <v>10202.5171877487</v>
      </c>
      <c r="BO66" s="88" t="n">
        <f aca="false">AQ66+BF66</f>
        <v>1327.6390625829</v>
      </c>
      <c r="BP66" s="88" t="n">
        <f aca="false">AI66*(1+IF(K66=3,INDEX(in_sup_vat_rate,1,C66),0))+AO66*Y66/AB66+AV66*BA66+(BC66+BD66)*AV66/AY66+AZ66*AI66/AL66+BN66*AC66/AF66+BO66*Y66/AB66</f>
        <v>7427.94420435708</v>
      </c>
      <c r="BQ66" s="88" t="n">
        <f aca="false">AJ66*(1+IF(K66=3,INDEX(in_sup_vat_rate,1,C66),0))+AO66*Z66/AB66+AW66*BA66+(BC66+BD66)*AW66/AY66+AZ66*AJ66/AL66+BN66*AD66/AF66+BO66*Z66/AB66</f>
        <v>7981.15683997802</v>
      </c>
      <c r="BR66" s="88" t="n">
        <f aca="false">AK66*(1+IF(K66=3,INDEX(in_sup_vat_rate,1,C66),0))+AO66*AA66/AB66+AX66*BA66+(BC66+BD66)*AX66/AY66+AZ66*AK66/AL66+BN66*AE66/AF66+BO66*AA66/AB66</f>
        <v>6117.7712065119</v>
      </c>
      <c r="BS66" s="89" t="n">
        <f aca="false">BP66+BQ66+BR66-BM66</f>
        <v>0</v>
      </c>
      <c r="BT66" s="85" t="n">
        <f aca="false">Y66*(1-R66)</f>
        <v>19700</v>
      </c>
      <c r="BU66" s="85" t="n">
        <f aca="false">Z66*(1-R66)</f>
        <v>19700</v>
      </c>
      <c r="BV66" s="85" t="n">
        <f aca="false">AA66*(1-R66)</f>
        <v>19700</v>
      </c>
      <c r="BW66" s="85" t="n">
        <f aca="false">BT66+BU66+BV66</f>
        <v>59100</v>
      </c>
      <c r="BX66" s="90" t="n">
        <f aca="false">IF(BT66&gt;0,BP66/BT66,0)</f>
        <v>0.377053005297314</v>
      </c>
      <c r="BY66" s="90" t="n">
        <f aca="false">IF(BU66&gt;0,BQ66/BU66,0)</f>
        <v>0.405134864973504</v>
      </c>
      <c r="BZ66" s="90" t="n">
        <f aca="false">IF(BV66&gt;0,BR66/BV66,0)</f>
        <v>0.310546761751873</v>
      </c>
      <c r="CA66" s="90" t="n">
        <f aca="false">INDEX(in_mkt_listing_3464,1,C66)*(1-IF(sku_flute_3464="B",T66,0))*(1-S66)*N66</f>
        <v>0.234</v>
      </c>
      <c r="CB66" s="90" t="n">
        <f aca="false">INDEX(in_mkt_listing_3463,1,C66)*(1-IF(sku_flute_3463="B",T66,0))*(1-S66)*N66</f>
        <v>0.27</v>
      </c>
      <c r="CC66" s="90" t="n">
        <f aca="false">INDEX(in_mkt_listing_3460,1,C66)*(1-IF(sku_flute_3460="B",T66,0))*(1-S66)*N66</f>
        <v>0.225</v>
      </c>
      <c r="CD66" s="88" t="n">
        <f aca="false">BT66*CA66+BU66*CB66+BV66*CC66</f>
        <v>14361.3</v>
      </c>
      <c r="CE66" s="88" t="n">
        <f aca="false">CD66-BM66</f>
        <v>-7165.57225084699</v>
      </c>
      <c r="CF66" s="87" t="n">
        <f aca="false">IF(CD66&gt;0,CE66/CD66,0)</f>
        <v>-0.498950112513978</v>
      </c>
      <c r="CG66" s="87" t="n">
        <f aca="false">W66+INDEX(in_sel_processing,1,C66)+INDEX(in_sel_bad_debt,1,C66)</f>
        <v>0.058</v>
      </c>
      <c r="CH66" s="88" t="n">
        <f aca="false">CD66*CG66</f>
        <v>832.9554</v>
      </c>
      <c r="CI66" s="88" t="n">
        <f aca="false">INDEX(in_sel_testing,1,C66)*X66+INDEX(in_sel_admin,1,C66)</f>
        <v>3000</v>
      </c>
      <c r="CJ66" s="79" t="n">
        <f aca="false">INDEX(in_sup_lead_days,1,C66)</f>
        <v>21</v>
      </c>
      <c r="CK66" s="79" t="n">
        <f aca="false">CJ66+INDEX(in_oce_transit,1,C66)+IF(F66=4,INDEX(in_oce_lcl_extra_days,1,C66),0)</f>
        <v>51</v>
      </c>
      <c r="CL66" s="79" t="n">
        <f aca="false">CK66+2+INDEX(in_cus_dem_days,1,C66)</f>
        <v>53</v>
      </c>
      <c r="CM66" s="79" t="n">
        <f aca="false">CL66+U66</f>
        <v>98</v>
      </c>
      <c r="CN66" s="79" t="n">
        <f aca="false">CJ66+INDEX(in_sup_vat_lag,1,C66)</f>
        <v>81</v>
      </c>
      <c r="CO66" s="91" t="n">
        <f aca="false">INDEX(in_sup_advance,1,C66)</f>
        <v>0.5</v>
      </c>
      <c r="CP66" s="88" t="n">
        <f aca="false">CO66*(AL66+AM66)+AO66+INDEX(in_sel_testing,1,C66)*X66</f>
        <v>7503.92232656495</v>
      </c>
      <c r="CQ66" s="88" t="n">
        <f aca="false">(1-CO66)*(AL66+AM66)+AR66+AU66+AZ66</f>
        <v>12769.4785768965</v>
      </c>
      <c r="CR66" s="88" t="n">
        <f aca="false">BB66+BC66+BD66+BF66+BJ66</f>
        <v>1682.50490127864</v>
      </c>
      <c r="CS66" s="88" t="n">
        <f aca="false">BK66+BL66</f>
        <v>3300</v>
      </c>
      <c r="CT66" s="88" t="n">
        <f aca="false">IF(K66=2,AM66,0)</f>
        <v>1229.03355389315</v>
      </c>
      <c r="CU66" s="85" t="n">
        <f aca="false">IF(K66=2,CO66*AM66*(CN66-0)+(1-CO66)*AM66*(CN66-CJ66),0)</f>
        <v>86646.8655494668</v>
      </c>
      <c r="CV66" s="85" t="n">
        <f aca="false">(CP66-CO66*CT66)*(CM66-0)+(CQ66-(1-CO66)*CT66)*(CM66-CJ66)+CR66*(CM66-CK66)+CS66*(CM66-CL66)</f>
        <v>1838671.53281885</v>
      </c>
      <c r="CW66" s="88" t="n">
        <f aca="false">INDEX(in_sel_fin_rate,1,C66)/365*(CU66+CV66)</f>
        <v>527.484492703647</v>
      </c>
      <c r="CX66" s="85" t="n">
        <f aca="false">CP66-IF(CN66&lt;=0,CT66,0)</f>
        <v>7503.92232656495</v>
      </c>
      <c r="CY66" s="85" t="n">
        <f aca="false">CP66+CQ66-IF(CN66&lt;=CJ66,CT66,0)</f>
        <v>20273.4009034615</v>
      </c>
      <c r="CZ66" s="85" t="n">
        <f aca="false">CP66+CQ66+CR66-IF(CN66&lt;=CK66,CT66,0)</f>
        <v>21955.9058047401</v>
      </c>
      <c r="DA66" s="85" t="n">
        <f aca="false">CP66+CQ66+CR66+CS66-IF(CN66&lt;=CL66,CT66,0)</f>
        <v>25255.9058047401</v>
      </c>
      <c r="DB66" s="88" t="n">
        <f aca="false">MAX(CX66,CY66,CZ66,DA66)</f>
        <v>25255.9058047401</v>
      </c>
      <c r="DC66" s="88" t="n">
        <f aca="false">CP66+CQ66+CR66+CS66</f>
        <v>25255.9058047401</v>
      </c>
      <c r="DD66" s="88" t="n">
        <f aca="false">CE66-CH66-CI66-CW66</f>
        <v>-11526.0121435506</v>
      </c>
      <c r="DE66" s="87" t="n">
        <f aca="false">IF(CD66&gt;0,DD66/CD66,0)</f>
        <v>-0.80257442874605</v>
      </c>
      <c r="DF66" s="86" t="n">
        <f aca="false">IF(CD66&gt;0,(BM66+CI66+CW66)/(CD66*(1-CG66)),0)</f>
        <v>1.85198983943317</v>
      </c>
      <c r="DG66" s="90" t="n">
        <f aca="false">IF(BW66&gt;0,BM66/BW66,0)</f>
        <v>0.364244877340897</v>
      </c>
      <c r="DH66" s="90" t="n">
        <f aca="false">IF(BW66&gt;0,CD66/BW66,0)</f>
        <v>0.243</v>
      </c>
      <c r="DI66" s="90" t="n">
        <f aca="false">IF(AI66&gt;0,(AI66*IF(K66=3,INDEX(in_sup_vat_rate,1,C66),0)+AV66*BA66+(BC66+BD66)*AV66/AY66+AZ66*AI66/AL66)/AI66,0)</f>
        <v>0.138732328046622</v>
      </c>
      <c r="DJ66" s="90" t="n">
        <f aca="false">IF(AJ66&gt;0,(AJ66*IF(K66=3,INDEX(in_sup_vat_rate,1,C66),0)+AW66*BA66+(BC66+BD66)*AW66/AY66+AZ66*AJ66/AL66)/AJ66,0)</f>
        <v>0.138732328046622</v>
      </c>
      <c r="DK66" s="90" t="n">
        <f aca="false">IF(AK66&gt;0,(AK66*IF(K66=3,INDEX(in_sup_vat_rate,1,C66),0)+AX66*BA66+(BC66+BD66)*AX66/AY66+AZ66*AK66/AL66)/AK66,0)</f>
        <v>0.138732328046622</v>
      </c>
      <c r="DL66" s="90" t="n">
        <f aca="false">IF(Y66&gt;0,(BP66-AI66*(1+DI66))/Y66,0)</f>
        <v>0.190903945930543</v>
      </c>
      <c r="DM66" s="90" t="n">
        <f aca="false">IF(Z66&gt;0,(BQ66-AJ66*(1+DJ66))/Z66,0)</f>
        <v>0.228597974949319</v>
      </c>
      <c r="DN66" s="90" t="n">
        <f aca="false">IF(AA66&gt;0,(BR66-AK66*(1+DK66))/AA66,0)</f>
        <v>0.157005891636719</v>
      </c>
      <c r="DO66" s="86" t="n">
        <f aca="false">IF(Y66&gt;0,(CA66*(1-thr_gm_go)*(1-R66)-DL66)/(1+DI66)*I66/((1+AH66)*J66),"")</f>
        <v>-0.835903050480734</v>
      </c>
      <c r="DP66" s="86" t="n">
        <f aca="false">IF(Z66&gt;0,(CB66*(1-thr_gm_go)*(1-R66)-DM66)/(1+DJ66)*I66/((1+AH66)*J66),"")</f>
        <v>-1.35028998956491</v>
      </c>
      <c r="DQ66" s="86" t="n">
        <f aca="false">IF(AA66&gt;0,(CC66*(1-thr_gm_go)*(1-R66)-DN66)/(1+DK66)*I66/((1+AH66)*J66),"")</f>
        <v>0.426971945535722</v>
      </c>
      <c r="DR66" s="92" t="n">
        <f aca="false">IF(AND(AY66*INDEX(in_cus_mpf_rate,1,C66)&gt;INDEX(in_cus_mpf_min,1,C66),AY66*INDEX(in_cus_mpf_rate,1,C66)&lt;INDEX(in_cus_mpf_max,1,C66)),INDEX(in_cus_mpf_rate,1,C66),0)</f>
        <v>0</v>
      </c>
      <c r="DS66" s="88" t="n">
        <f aca="false">IF(AZ66&gt;INDEX(in_oce_ins_min,1,C66),INDEX(in_oce_ins_rate,1,C66)*(1+INDEX(in_oce_ins_uplift,1,C66))*AL66,0)</f>
        <v>0</v>
      </c>
      <c r="DT66" s="88" t="n">
        <f aca="false">(AL66+AN66)*(1+BA66+INDEX(in_cus_hmf,1,C66)+DR66)+DS66</f>
        <v>9887.1360005154</v>
      </c>
      <c r="DU66" s="86" t="n">
        <f aca="false">IF(DT66&gt;0,(CD66*(1-thr_gm_go)-(BM66-DT66))/DT66,0)</f>
        <v>-0.0878678365794008</v>
      </c>
      <c r="DV66" s="86" t="n">
        <f aca="false">IF(DT66&gt;0,(CD66-(BM66-DT66))/DT66,0)</f>
        <v>0.275263104454772</v>
      </c>
      <c r="DW66" s="87" t="n">
        <f aca="false">(1+AH66)*J66*DU66-1</f>
        <v>-1.0878678365794</v>
      </c>
      <c r="DX66" s="87" t="n">
        <f aca="false">(1+AH66)*J66*DV66-1</f>
        <v>-0.724736895545228</v>
      </c>
      <c r="DY66" s="85" t="n">
        <f aca="false">IF(G66&gt;0,(CD66*(1-thr_gm_go)-(BM66-AT66))/G66,"")</f>
        <v>-2377.9486254235</v>
      </c>
      <c r="DZ66" s="90" t="n">
        <f aca="false">IF(AB66&gt;0,(AL66+AN66+BB66+BC66+BD66)/AB66,0)</f>
        <v>0.165361933341923</v>
      </c>
      <c r="EA66" s="88" t="n">
        <f aca="false">BM66-DZ66*AB66</f>
        <v>11605.1562503316</v>
      </c>
      <c r="EB66" s="90" t="n">
        <f aca="false">IF(AB66&gt;0,CD66/AB66,0)</f>
        <v>0.239355</v>
      </c>
      <c r="EC66" s="85" t="n">
        <f aca="false">IF(EB66*(1-thr_gm_go)-DZ66&gt;0,EA66/(EB66*(1-thr_gm_go)-DZ66),"n/a")</f>
        <v>819902.262375165</v>
      </c>
      <c r="ED66" s="85" t="n">
        <f aca="false">IF(EB66-DZ66&gt;0,EA66/(EB66-DZ66),"n/a")</f>
        <v>156841.130858371</v>
      </c>
      <c r="EE66" s="93" t="b">
        <f aca="false">INDEX(cfg_fits,D66,C66)</f>
        <v>1</v>
      </c>
      <c r="EF66" s="87" t="n">
        <f aca="false">IF(F66=4,"",INDEX(cfg_lenutil,D66,C66))</f>
        <v>0.972413793103448</v>
      </c>
      <c r="EG66" s="31" t="str">
        <f aca="false">IF(O66&gt;1,"Check fit (units scaled up)","")</f>
        <v/>
      </c>
    </row>
    <row r="67" customFormat="false" ht="15" hidden="false" customHeight="false" outlineLevel="0" collapsed="false">
      <c r="A67" s="78" t="n">
        <v>2033</v>
      </c>
      <c r="B67" s="9" t="s">
        <v>3215</v>
      </c>
      <c r="C67" s="78" t="n">
        <v>2</v>
      </c>
      <c r="D67" s="78" t="n">
        <v>3</v>
      </c>
      <c r="E67" s="78" t="n">
        <v>3</v>
      </c>
      <c r="F67" s="79" t="n">
        <f aca="false">INDEX(cfg_ct,D67)</f>
        <v>1</v>
      </c>
      <c r="G67" s="79" t="n">
        <f aca="false">INDEX(cfg_n,D67)</f>
        <v>2</v>
      </c>
      <c r="H67" s="79" t="n">
        <f aca="false">INDEX(dest_port,E67)</f>
        <v>2</v>
      </c>
      <c r="I67" s="80" t="n">
        <f aca="false">INDEX(in_fx_cbe,1,C67)*(1-INDEX(in_fx_spread,1,C67))</f>
        <v>52.7748</v>
      </c>
      <c r="J67" s="81" t="n">
        <f aca="false">1</f>
        <v>1</v>
      </c>
      <c r="K67" s="82" t="n">
        <f aca="false">INDEX(in_sup_vat_mode,1,C67)</f>
        <v>2</v>
      </c>
      <c r="L67" s="83" t="n">
        <f aca="false">INDEX(in_cus_s301,1,C67)</f>
        <v>0.125</v>
      </c>
      <c r="M67" s="84" t="n">
        <f aca="false">1</f>
        <v>1</v>
      </c>
      <c r="N67" s="81" t="n">
        <f aca="false">1</f>
        <v>1</v>
      </c>
      <c r="O67" s="81" t="n">
        <f aca="false">1</f>
        <v>1</v>
      </c>
      <c r="P67" s="81" t="n">
        <f aca="false">1</f>
        <v>1</v>
      </c>
      <c r="Q67" s="81" t="n">
        <f aca="false">1</f>
        <v>1</v>
      </c>
      <c r="R67" s="83" t="n">
        <f aca="false">INDEX(in_sel_damage,1,C67)</f>
        <v>0.015</v>
      </c>
      <c r="S67" s="83" t="n">
        <f aca="false">INDEX(in_mkt_dist_margin,1,C67)</f>
        <v>0.25</v>
      </c>
      <c r="T67" s="83" t="n">
        <f aca="false">INDEX(in_mkt_eflute_disc,1,C67)</f>
        <v>0.2</v>
      </c>
      <c r="U67" s="82" t="n">
        <f aca="false">INDEX(in_sel_credit_days,1,C67)</f>
        <v>45</v>
      </c>
      <c r="V67" s="81" t="n">
        <f aca="false">1</f>
        <v>1</v>
      </c>
      <c r="W67" s="83" t="n">
        <f aca="false">INDEX(in_sel_commission,1,C67)</f>
        <v>0.05</v>
      </c>
      <c r="X67" s="82" t="n">
        <f aca="false">1</f>
        <v>1</v>
      </c>
      <c r="Y67" s="85" t="n">
        <f aca="false">INDEX(cfg_u_3464,D67,C67)*O67</f>
        <v>20000</v>
      </c>
      <c r="Z67" s="85" t="n">
        <f aca="false">INDEX(cfg_u_3463,D67,C67)*O67</f>
        <v>20000</v>
      </c>
      <c r="AA67" s="85" t="n">
        <f aca="false">INDEX(cfg_u_3460,D67,C67)*O67</f>
        <v>20000</v>
      </c>
      <c r="AB67" s="85" t="n">
        <f aca="false">Y67+Z67+AA67</f>
        <v>60000</v>
      </c>
      <c r="AC67" s="86" t="n">
        <f aca="false">Y67*INDEX(lg_vpu_3464,C67)</f>
        <v>14.22784</v>
      </c>
      <c r="AD67" s="86" t="n">
        <f aca="false">Z67*INDEX(lg_vpu_3463,C67)</f>
        <v>17.40544</v>
      </c>
      <c r="AE67" s="86" t="n">
        <f aca="false">AA67*INDEX(lg_vpu_3460,C67)</f>
        <v>11.37024</v>
      </c>
      <c r="AF67" s="86" t="n">
        <f aca="false">AC67+AD67+AE67</f>
        <v>43.00352</v>
      </c>
      <c r="AG67" s="85" t="n">
        <f aca="false">Y67*INDEX(lg_kpu_3464,C67)+Z67*INDEX(lg_kpu_3463,C67)+AA67*INDEX(lg_kpu_3460,C67)</f>
        <v>10342.13472</v>
      </c>
      <c r="AH67" s="87" t="n">
        <f aca="false">INDEX(in_sup_requote,1,C67)</f>
        <v>0</v>
      </c>
      <c r="AI67" s="88" t="n">
        <f aca="false">Y67*q_price_3464*(1+AH67)*J67/I67</f>
        <v>3170.0735957313</v>
      </c>
      <c r="AJ67" s="88" t="n">
        <f aca="false">Z67*q_price_3463*(1+AH67)*J67/I67</f>
        <v>2993.85312687116</v>
      </c>
      <c r="AK67" s="88" t="n">
        <f aca="false">AA67*q_price_3460*(1+AH67)*J67/I67</f>
        <v>2614.8843766343</v>
      </c>
      <c r="AL67" s="88" t="n">
        <f aca="false">AI67+AJ67+AK67</f>
        <v>8778.81109923676</v>
      </c>
      <c r="AM67" s="88" t="n">
        <f aca="false">IF(OR(K67=2,K67=3),AL67*INDEX(in_sup_vat_rate,1,C67),0)</f>
        <v>1229.03355389315</v>
      </c>
      <c r="AN67" s="88" t="n">
        <f aca="false">IF(K67=3,AM67,0)</f>
        <v>0</v>
      </c>
      <c r="AO67" s="88" t="n">
        <f aca="false">INDEX(in_sup_tooling_egp,1,C67)/I67</f>
        <v>0</v>
      </c>
      <c r="AP67" s="88" t="n">
        <f aca="false">IF(F67=4,INDEX(in_ori_lcl_truck,1,C67)*V67/I67+INDEX(in_ori_lcl_cfs_o,1,C67),G67*(IF(F67=1,INDEX(in_ori_truck_20,1,C67),INDEX(in_ori_truck_40,1,C67))*V67/I67+INDEX(in_ori_terminal,1,C67)+IF(F67=1,INDEX(in_ori_othc_20,1,C67),INDEX(in_ori_othc_40,1,C67))*(1-INDEX(in_ori_othc_in_freight,1,C67))+INDEX(in_ori_seal,1,C67)+INDEX(in_ori_inspection,1,C67)+INDEX(in_ori_dd_days,1,C67)*IF(F67=1,INDEX(in_ori_dd_20,1,C67),INDEX(in_ori_dd_40,1,C67))+INDEX(in_ori_loading_egp,1,C67)/I67))</f>
        <v>837.917187748698</v>
      </c>
      <c r="AQ67" s="88" t="n">
        <f aca="false">(INDEX(in_ori_clearance,1,C67)+INDEX(in_ori_coo,1,C67))/I67+INDEX(in_ori_bl_fee,1,C67)+INDEX(in_ori_fwd_fee,1,C67)+INDEX(in_ori_qc,1,C67)+INDEX(in_ori_wires,1,C67)*INDEX(in_ori_wire_fee,1,C67)</f>
        <v>817.639062582899</v>
      </c>
      <c r="AR67" s="88" t="n">
        <f aca="false">AP67+AQ67</f>
        <v>1655.5562503316</v>
      </c>
      <c r="AS67" s="85" t="n">
        <f aca="false">INDEX(tbl_port_diff,H67,C67)</f>
        <v>150</v>
      </c>
      <c r="AT67" s="88" t="n">
        <f aca="false">IF(F67=4,MAX(AF67*INDEX(in_oce_lcl_factor,1,C67),AG67/1000,1)*INDEX(in_oce_lcl_rate,1,C67)*M67,G67*(INDEX(tbl_ocean_rate,MIN(F67,3),C67)+AS67)*M67)</f>
        <v>6300</v>
      </c>
      <c r="AU67" s="88" t="n">
        <f aca="false">AT67+INDEX(in_oce_ams,1,C67)</f>
        <v>6335</v>
      </c>
      <c r="AV67" s="88" t="n">
        <f aca="false">AI67*(1+IF(K67=3,INDEX(in_sup_vat_rate,1,C67),0))+AO67*Y67/AB67</f>
        <v>3170.0735957313</v>
      </c>
      <c r="AW67" s="88" t="n">
        <f aca="false">AJ67*(1+IF(K67=3,INDEX(in_sup_vat_rate,1,C67),0))+AO67*Z67/AB67</f>
        <v>2993.85312687116</v>
      </c>
      <c r="AX67" s="88" t="n">
        <f aca="false">AK67*(1+IF(K67=3,INDEX(in_sup_vat_rate,1,C67),0))+AO67*AA67/AB67</f>
        <v>2614.8843766343</v>
      </c>
      <c r="AY67" s="88" t="n">
        <f aca="false">AV67+AW67+AX67</f>
        <v>8778.81109923676</v>
      </c>
      <c r="AZ67" s="88" t="n">
        <f aca="false">MAX(INDEX(in_oce_ins_min,1,C67),INDEX(in_oce_ins_rate,1,C67)*(1+INDEX(in_oce_ins_uplift,1,C67))*(AL67+AO67+AR67+AU67))*(1-INDEX(in_oce_ins_in_other,1,C67))</f>
        <v>75</v>
      </c>
      <c r="BA67" s="87" t="n">
        <f aca="false">INDEX(in_cus_mfn,1,C67)+L67</f>
        <v>0.125</v>
      </c>
      <c r="BB67" s="88" t="n">
        <f aca="false">AY67*BA67</f>
        <v>1097.35138740459</v>
      </c>
      <c r="BC67" s="88" t="n">
        <f aca="false">MIN(MAX(AY67*INDEX(in_cus_mpf_rate,1,C67),INDEX(in_cus_mpf_min,1,C67)),INDEX(in_cus_mpf_max,1,C67))</f>
        <v>34.58</v>
      </c>
      <c r="BD67" s="88" t="n">
        <f aca="false">AY67*INDEX(in_cus_hmf,1,C67)</f>
        <v>10.9735138740459</v>
      </c>
      <c r="BE67" s="88" t="n">
        <f aca="false">MAX(INDEX(in_cus_stb_min,1,C67),INDEX(in_cus_stb_rate,1,C67)/1000*(AY67+BB67+BC67+BD67))</f>
        <v>75</v>
      </c>
      <c r="BF67" s="88" t="n">
        <f aca="false">INDEX(in_cus_broker,1,C67)+INDEX(in_cus_isf,1,C67)+INDEX(in_cus_do_fee,1,C67)+BE67+INDEX(in_cus_isf_bond,1,C67)</f>
        <v>510</v>
      </c>
      <c r="BG67" s="88" t="n">
        <f aca="false">IF(H67=1,INDEX(in_cus_cfc,1,C67)*INDEX(ct_teu,F67)*G67*(1-INDEX(in_cus_cfc_in_freight,1,C67)),0)</f>
        <v>0</v>
      </c>
      <c r="BH67" s="88" t="n">
        <f aca="false">IF(F67=4,1,G67)*(INDEX(in_cus_exam,1,C67)+INDEX(in_cus_exam_dray,1,C67))</f>
        <v>0</v>
      </c>
      <c r="BI67" s="88" t="n">
        <f aca="false">IF(F67=4,1,G67)*INDEX(in_cus_dem_days,1,C67)*INDEX(in_cus_dem_rate,1,C67)</f>
        <v>0</v>
      </c>
      <c r="BJ67" s="88" t="n">
        <f aca="false">BG67+BH67+BI67</f>
        <v>0</v>
      </c>
      <c r="BK67" s="88" t="n">
        <f aca="false">IF(F67=4,(INDEX(in_dra_lcl_cfs_d,1,C67)+INDEX(in_dra_lcl_deliv,1,C67))*P67,G67*(INDEX(tbl_dest_line,E67,C67)*P67*(1+INDEX(in_dra_fsc,1,C67))+INDEX(tbl_dest_tolls,E67,C67)+INDEX(in_dra_chassis_days,1,C67)*INDEX(tbl_dest_chassis,E67,C67)*(1-INDEX(in_dra_chassis_in_dray,1,C67))+INDEX(in_dra_wait_hours,1,C67)*INDEX(in_dra_wait_rate,1,C67)+INDEX(in_dra_split,1,C67)+INDEX(in_dra_prepull,1,C67)+INDEX(in_dra_dryrun,1,C67)))</f>
        <v>1808</v>
      </c>
      <c r="BL67" s="88" t="n">
        <f aca="false">IF(F67=4,0,G67*IF(F67=1,INDEX(in_dra_unload_20,1,C67),INDEX(in_dra_unload_40,1,C67))*Q67*(1-INDEX(in_dra_unload_in_dray,1,C67)))</f>
        <v>600</v>
      </c>
      <c r="BM67" s="88" t="n">
        <f aca="false">AL67+AN67+AO67+AR67+AU67+AZ67+BB67+BC67+BD67+BF67+BJ67+BK67+BL67</f>
        <v>20905.272250847</v>
      </c>
      <c r="BN67" s="88" t="n">
        <f aca="false">AP67+AU67+BJ67+BK67+BL67</f>
        <v>9580.9171877487</v>
      </c>
      <c r="BO67" s="88" t="n">
        <f aca="false">AQ67+BF67</f>
        <v>1327.6390625829</v>
      </c>
      <c r="BP67" s="88" t="n">
        <f aca="false">AI67*(1+IF(K67=3,INDEX(in_sup_vat_rate,1,C67),0))+AO67*Y67/AB67+AV67*BA67+(BC67+BD67)*AV67/AY67+AZ67*AI67/AL67+BN67*AC67/AF67+BO67*Y67/AB67</f>
        <v>7222.28603163075</v>
      </c>
      <c r="BQ67" s="88" t="n">
        <f aca="false">AJ67*(1+IF(K67=3,INDEX(in_sup_vat_rate,1,C67),0))+AO67*Z67/AB67+AW67*BA67+(BC67+BD67)*AW67/AY67+AZ67*AJ67/AL67+BN67*AD67/AF67+BO67*Z67/AB67</f>
        <v>7729.56763276894</v>
      </c>
      <c r="BR67" s="88" t="n">
        <f aca="false">AK67*(1+IF(K67=3,INDEX(in_sup_vat_rate,1,C67),0))+AO67*AA67/AB67+AX67*BA67+(BC67+BD67)*AX67/AY67+AZ67*AK67/AL67+BN67*AE67/AF67+BO67*AA67/AB67</f>
        <v>5953.41858644731</v>
      </c>
      <c r="BS67" s="89" t="n">
        <f aca="false">BP67+BQ67+BR67-BM67</f>
        <v>0</v>
      </c>
      <c r="BT67" s="85" t="n">
        <f aca="false">Y67*(1-R67)</f>
        <v>19700</v>
      </c>
      <c r="BU67" s="85" t="n">
        <f aca="false">Z67*(1-R67)</f>
        <v>19700</v>
      </c>
      <c r="BV67" s="85" t="n">
        <f aca="false">AA67*(1-R67)</f>
        <v>19700</v>
      </c>
      <c r="BW67" s="85" t="n">
        <f aca="false">BT67+BU67+BV67</f>
        <v>59100</v>
      </c>
      <c r="BX67" s="90" t="n">
        <f aca="false">IF(BT67&gt;0,BP67/BT67,0)</f>
        <v>0.366613504143693</v>
      </c>
      <c r="BY67" s="90" t="n">
        <f aca="false">IF(BU67&gt;0,BQ67/BU67,0)</f>
        <v>0.39236383922685</v>
      </c>
      <c r="BZ67" s="90" t="n">
        <f aca="false">IF(BV67&gt;0,BR67/BV67,0)</f>
        <v>0.302203989159762</v>
      </c>
      <c r="CA67" s="90" t="n">
        <f aca="false">INDEX(in_mkt_listing_3464,1,C67)*(1-IF(sku_flute_3464="B",T67,0))*(1-S67)*N67</f>
        <v>0.234</v>
      </c>
      <c r="CB67" s="90" t="n">
        <f aca="false">INDEX(in_mkt_listing_3463,1,C67)*(1-IF(sku_flute_3463="B",T67,0))*(1-S67)*N67</f>
        <v>0.27</v>
      </c>
      <c r="CC67" s="90" t="n">
        <f aca="false">INDEX(in_mkt_listing_3460,1,C67)*(1-IF(sku_flute_3460="B",T67,0))*(1-S67)*N67</f>
        <v>0.225</v>
      </c>
      <c r="CD67" s="88" t="n">
        <f aca="false">BT67*CA67+BU67*CB67+BV67*CC67</f>
        <v>14361.3</v>
      </c>
      <c r="CE67" s="88" t="n">
        <f aca="false">CD67-BM67</f>
        <v>-6543.972250847</v>
      </c>
      <c r="CF67" s="87" t="n">
        <f aca="false">IF(CD67&gt;0,CE67/CD67,0)</f>
        <v>-0.455667122812489</v>
      </c>
      <c r="CG67" s="87" t="n">
        <f aca="false">W67+INDEX(in_sel_processing,1,C67)+INDEX(in_sel_bad_debt,1,C67)</f>
        <v>0.058</v>
      </c>
      <c r="CH67" s="88" t="n">
        <f aca="false">CD67*CG67</f>
        <v>832.9554</v>
      </c>
      <c r="CI67" s="88" t="n">
        <f aca="false">INDEX(in_sel_testing,1,C67)*X67+INDEX(in_sel_admin,1,C67)</f>
        <v>3000</v>
      </c>
      <c r="CJ67" s="79" t="n">
        <f aca="false">INDEX(in_sup_lead_days,1,C67)</f>
        <v>21</v>
      </c>
      <c r="CK67" s="79" t="n">
        <f aca="false">CJ67+INDEX(in_oce_transit,1,C67)+IF(F67=4,INDEX(in_oce_lcl_extra_days,1,C67),0)</f>
        <v>51</v>
      </c>
      <c r="CL67" s="79" t="n">
        <f aca="false">CK67+2+INDEX(in_cus_dem_days,1,C67)</f>
        <v>53</v>
      </c>
      <c r="CM67" s="79" t="n">
        <f aca="false">CL67+U67</f>
        <v>98</v>
      </c>
      <c r="CN67" s="79" t="n">
        <f aca="false">CJ67+INDEX(in_sup_vat_lag,1,C67)</f>
        <v>81</v>
      </c>
      <c r="CO67" s="91" t="n">
        <f aca="false">INDEX(in_sup_advance,1,C67)</f>
        <v>0.5</v>
      </c>
      <c r="CP67" s="88" t="n">
        <f aca="false">CO67*(AL67+AM67)+AO67+INDEX(in_sel_testing,1,C67)*X67</f>
        <v>7503.92232656495</v>
      </c>
      <c r="CQ67" s="88" t="n">
        <f aca="false">(1-CO67)*(AL67+AM67)+AR67+AU67+AZ67</f>
        <v>13069.4785768965</v>
      </c>
      <c r="CR67" s="88" t="n">
        <f aca="false">BB67+BC67+BD67+BF67+BJ67</f>
        <v>1652.90490127864</v>
      </c>
      <c r="CS67" s="88" t="n">
        <f aca="false">BK67+BL67</f>
        <v>2408</v>
      </c>
      <c r="CT67" s="88" t="n">
        <f aca="false">IF(K67=2,AM67,0)</f>
        <v>1229.03355389315</v>
      </c>
      <c r="CU67" s="85" t="n">
        <f aca="false">IF(K67=2,CO67*AM67*(CN67-0)+(1-CO67)*AM67*(CN67-CJ67),0)</f>
        <v>86646.8655494668</v>
      </c>
      <c r="CV67" s="85" t="n">
        <f aca="false">(CP67-CO67*CT67)*(CM67-0)+(CQ67-(1-CO67)*CT67)*(CM67-CJ67)+CR67*(CM67-CK67)+CS67*(CM67-CL67)</f>
        <v>1820240.33281885</v>
      </c>
      <c r="CW67" s="88" t="n">
        <f aca="false">INDEX(in_sel_fin_rate,1,C67)/365*(CU67+CV67)</f>
        <v>522.434848868031</v>
      </c>
      <c r="CX67" s="85" t="n">
        <f aca="false">CP67-IF(CN67&lt;=0,CT67,0)</f>
        <v>7503.92232656495</v>
      </c>
      <c r="CY67" s="85" t="n">
        <f aca="false">CP67+CQ67-IF(CN67&lt;=CJ67,CT67,0)</f>
        <v>20573.4009034615</v>
      </c>
      <c r="CZ67" s="85" t="n">
        <f aca="false">CP67+CQ67+CR67-IF(CN67&lt;=CK67,CT67,0)</f>
        <v>22226.3058047401</v>
      </c>
      <c r="DA67" s="85" t="n">
        <f aca="false">CP67+CQ67+CR67+CS67-IF(CN67&lt;=CL67,CT67,0)</f>
        <v>24634.3058047401</v>
      </c>
      <c r="DB67" s="88" t="n">
        <f aca="false">MAX(CX67,CY67,CZ67,DA67)</f>
        <v>24634.3058047401</v>
      </c>
      <c r="DC67" s="88" t="n">
        <f aca="false">CP67+CQ67+CR67+CS67</f>
        <v>24634.3058047401</v>
      </c>
      <c r="DD67" s="88" t="n">
        <f aca="false">CE67-CH67-CI67-CW67</f>
        <v>-10899.362499715</v>
      </c>
      <c r="DE67" s="87" t="n">
        <f aca="false">IF(CD67&gt;0,DD67/CD67,0)</f>
        <v>-0.758939824369314</v>
      </c>
      <c r="DF67" s="86" t="n">
        <f aca="false">IF(CD67&gt;0,(BM67+CI67+CW67)/(CD67*(1-CG67)),0)</f>
        <v>1.80566860336445</v>
      </c>
      <c r="DG67" s="90" t="n">
        <f aca="false">IF(BW67&gt;0,BM67/BW67,0)</f>
        <v>0.353727110843435</v>
      </c>
      <c r="DH67" s="90" t="n">
        <f aca="false">IF(BW67&gt;0,CD67/BW67,0)</f>
        <v>0.243</v>
      </c>
      <c r="DI67" s="90" t="n">
        <f aca="false">IF(AI67&gt;0,(AI67*IF(K67=3,INDEX(in_sup_vat_rate,1,C67),0)+AV67*BA67+(BC67+BD67)*AV67/AY67+AZ67*AI67/AL67)/AI67,0)</f>
        <v>0.138732328046622</v>
      </c>
      <c r="DJ67" s="90" t="n">
        <f aca="false">IF(AJ67&gt;0,(AJ67*IF(K67=3,INDEX(in_sup_vat_rate,1,C67),0)+AW67*BA67+(BC67+BD67)*AW67/AY67+AZ67*AJ67/AL67)/AJ67,0)</f>
        <v>0.138732328046622</v>
      </c>
      <c r="DK67" s="90" t="n">
        <f aca="false">IF(AK67&gt;0,(AK67*IF(K67=3,INDEX(in_sup_vat_rate,1,C67),0)+AX67*BA67+(BC67+BD67)*AX67/AY67+AZ67*AK67/AL67)/AK67,0)</f>
        <v>0.138732328046622</v>
      </c>
      <c r="DL67" s="90" t="n">
        <f aca="false">IF(Y67&gt;0,(BP67-AI67*(1+DI67))/Y67,0)</f>
        <v>0.180621037294226</v>
      </c>
      <c r="DM67" s="90" t="n">
        <f aca="false">IF(Z67&gt;0,(BQ67-AJ67*(1+DJ67))/Z67,0)</f>
        <v>0.216018514588864</v>
      </c>
      <c r="DN67" s="90" t="n">
        <f aca="false">IF(AA67&gt;0,(BR67-AK67*(1+DK67))/AA67,0)</f>
        <v>0.148788260633489</v>
      </c>
      <c r="DO67" s="86" t="n">
        <f aca="false">IF(Y67&gt;0,(CA67*(1-thr_gm_go)*(1-R67)-DL67)/(1+DI67)*I67/((1+AH67)*J67),"")</f>
        <v>-0.359339389878621</v>
      </c>
      <c r="DP67" s="86" t="n">
        <f aca="false">IF(Z67&gt;0,(CB67*(1-thr_gm_go)*(1-R67)-DM67)/(1+DJ67)*I67/((1+AH67)*J67),"")</f>
        <v>-0.767292134599541</v>
      </c>
      <c r="DQ67" s="86" t="n">
        <f aca="false">IF(AA67&gt;0,(CC67*(1-thr_gm_go)*(1-R67)-DN67)/(1+DK67)*I67/((1+AH67)*J67),"")</f>
        <v>0.807819860350942</v>
      </c>
      <c r="DR67" s="92" t="n">
        <f aca="false">IF(AND(AY67*INDEX(in_cus_mpf_rate,1,C67)&gt;INDEX(in_cus_mpf_min,1,C67),AY67*INDEX(in_cus_mpf_rate,1,C67)&lt;INDEX(in_cus_mpf_max,1,C67)),INDEX(in_cus_mpf_rate,1,C67),0)</f>
        <v>0</v>
      </c>
      <c r="DS67" s="88" t="n">
        <f aca="false">IF(AZ67&gt;INDEX(in_oce_ins_min,1,C67),INDEX(in_oce_ins_rate,1,C67)*(1+INDEX(in_oce_ins_uplift,1,C67))*AL67,0)</f>
        <v>0</v>
      </c>
      <c r="DT67" s="88" t="n">
        <f aca="false">(AL67+AN67)*(1+BA67+INDEX(in_cus_hmf,1,C67)+DR67)+DS67</f>
        <v>9887.1360005154</v>
      </c>
      <c r="DU67" s="86" t="n">
        <f aca="false">IF(DT67&gt;0,(CD67*(1-thr_gm_go)-(BM67-DT67))/DT67,0)</f>
        <v>-0.024998265455104</v>
      </c>
      <c r="DV67" s="86" t="n">
        <f aca="false">IF(DT67&gt;0,(CD67-(BM67-DT67))/DT67,0)</f>
        <v>0.338132675579069</v>
      </c>
      <c r="DW67" s="87" t="n">
        <f aca="false">(1+AH67)*J67*DU67-1</f>
        <v>-1.0249982654551</v>
      </c>
      <c r="DX67" s="87" t="n">
        <f aca="false">(1+AH67)*J67*DV67-1</f>
        <v>-0.661867324420931</v>
      </c>
      <c r="DY67" s="85" t="n">
        <f aca="false">IF(G67&gt;0,(CD67*(1-thr_gm_go)-(BM67-AT67))/G67,"")</f>
        <v>-1917.1486254235</v>
      </c>
      <c r="DZ67" s="90" t="n">
        <f aca="false">IF(AB67&gt;0,(AL67+AN67+BB67+BC67+BD67)/AB67,0)</f>
        <v>0.165361933341923</v>
      </c>
      <c r="EA67" s="88" t="n">
        <f aca="false">BM67-DZ67*AB67</f>
        <v>10983.5562503316</v>
      </c>
      <c r="EB67" s="90" t="n">
        <f aca="false">IF(AB67&gt;0,CD67/AB67,0)</f>
        <v>0.239355</v>
      </c>
      <c r="EC67" s="85" t="n">
        <f aca="false">IF(EB67*(1-thr_gm_go)-DZ67&gt;0,EA67/(EB67*(1-thr_gm_go)-DZ67),"n/a")</f>
        <v>775986.330930654</v>
      </c>
      <c r="ED67" s="85" t="n">
        <f aca="false">IF(EB67-DZ67&gt;0,EA67/(EB67-DZ67),"n/a")</f>
        <v>148440.343756623</v>
      </c>
      <c r="EE67" s="93" t="b">
        <f aca="false">INDEX(cfg_fits,D67,C67)</f>
        <v>1</v>
      </c>
      <c r="EF67" s="87" t="n">
        <f aca="false">IF(F67=4,"",INDEX(cfg_lenutil,D67,C67))</f>
        <v>0.972413793103448</v>
      </c>
      <c r="EG67" s="31" t="str">
        <f aca="false">IF(O67&gt;1,"Check fit (units scaled up)","")</f>
        <v/>
      </c>
    </row>
    <row r="68" customFormat="false" ht="15" hidden="false" customHeight="false" outlineLevel="0" collapsed="false">
      <c r="A68" s="78" t="n">
        <v>2034</v>
      </c>
      <c r="B68" s="9" t="s">
        <v>3216</v>
      </c>
      <c r="C68" s="78" t="n">
        <v>2</v>
      </c>
      <c r="D68" s="78" t="n">
        <v>3</v>
      </c>
      <c r="E68" s="78" t="n">
        <v>4</v>
      </c>
      <c r="F68" s="79" t="n">
        <f aca="false">INDEX(cfg_ct,D68)</f>
        <v>1</v>
      </c>
      <c r="G68" s="79" t="n">
        <f aca="false">INDEX(cfg_n,D68)</f>
        <v>2</v>
      </c>
      <c r="H68" s="79" t="n">
        <f aca="false">INDEX(dest_port,E68)</f>
        <v>3</v>
      </c>
      <c r="I68" s="80" t="n">
        <f aca="false">INDEX(in_fx_cbe,1,C68)*(1-INDEX(in_fx_spread,1,C68))</f>
        <v>52.7748</v>
      </c>
      <c r="J68" s="81" t="n">
        <f aca="false">1</f>
        <v>1</v>
      </c>
      <c r="K68" s="82" t="n">
        <f aca="false">INDEX(in_sup_vat_mode,1,C68)</f>
        <v>2</v>
      </c>
      <c r="L68" s="83" t="n">
        <f aca="false">INDEX(in_cus_s301,1,C68)</f>
        <v>0.125</v>
      </c>
      <c r="M68" s="84" t="n">
        <f aca="false">1</f>
        <v>1</v>
      </c>
      <c r="N68" s="81" t="n">
        <f aca="false">1</f>
        <v>1</v>
      </c>
      <c r="O68" s="81" t="n">
        <f aca="false">1</f>
        <v>1</v>
      </c>
      <c r="P68" s="81" t="n">
        <f aca="false">1</f>
        <v>1</v>
      </c>
      <c r="Q68" s="81" t="n">
        <f aca="false">1</f>
        <v>1</v>
      </c>
      <c r="R68" s="83" t="n">
        <f aca="false">INDEX(in_sel_damage,1,C68)</f>
        <v>0.015</v>
      </c>
      <c r="S68" s="83" t="n">
        <f aca="false">INDEX(in_mkt_dist_margin,1,C68)</f>
        <v>0.25</v>
      </c>
      <c r="T68" s="83" t="n">
        <f aca="false">INDEX(in_mkt_eflute_disc,1,C68)</f>
        <v>0.2</v>
      </c>
      <c r="U68" s="82" t="n">
        <f aca="false">INDEX(in_sel_credit_days,1,C68)</f>
        <v>45</v>
      </c>
      <c r="V68" s="81" t="n">
        <f aca="false">1</f>
        <v>1</v>
      </c>
      <c r="W68" s="83" t="n">
        <f aca="false">INDEX(in_sel_commission,1,C68)</f>
        <v>0.05</v>
      </c>
      <c r="X68" s="82" t="n">
        <f aca="false">1</f>
        <v>1</v>
      </c>
      <c r="Y68" s="85" t="n">
        <f aca="false">INDEX(cfg_u_3464,D68,C68)*O68</f>
        <v>20000</v>
      </c>
      <c r="Z68" s="85" t="n">
        <f aca="false">INDEX(cfg_u_3463,D68,C68)*O68</f>
        <v>20000</v>
      </c>
      <c r="AA68" s="85" t="n">
        <f aca="false">INDEX(cfg_u_3460,D68,C68)*O68</f>
        <v>20000</v>
      </c>
      <c r="AB68" s="85" t="n">
        <f aca="false">Y68+Z68+AA68</f>
        <v>60000</v>
      </c>
      <c r="AC68" s="86" t="n">
        <f aca="false">Y68*INDEX(lg_vpu_3464,C68)</f>
        <v>14.22784</v>
      </c>
      <c r="AD68" s="86" t="n">
        <f aca="false">Z68*INDEX(lg_vpu_3463,C68)</f>
        <v>17.40544</v>
      </c>
      <c r="AE68" s="86" t="n">
        <f aca="false">AA68*INDEX(lg_vpu_3460,C68)</f>
        <v>11.37024</v>
      </c>
      <c r="AF68" s="86" t="n">
        <f aca="false">AC68+AD68+AE68</f>
        <v>43.00352</v>
      </c>
      <c r="AG68" s="85" t="n">
        <f aca="false">Y68*INDEX(lg_kpu_3464,C68)+Z68*INDEX(lg_kpu_3463,C68)+AA68*INDEX(lg_kpu_3460,C68)</f>
        <v>10342.13472</v>
      </c>
      <c r="AH68" s="87" t="n">
        <f aca="false">INDEX(in_sup_requote,1,C68)</f>
        <v>0</v>
      </c>
      <c r="AI68" s="88" t="n">
        <f aca="false">Y68*q_price_3464*(1+AH68)*J68/I68</f>
        <v>3170.0735957313</v>
      </c>
      <c r="AJ68" s="88" t="n">
        <f aca="false">Z68*q_price_3463*(1+AH68)*J68/I68</f>
        <v>2993.85312687116</v>
      </c>
      <c r="AK68" s="88" t="n">
        <f aca="false">AA68*q_price_3460*(1+AH68)*J68/I68</f>
        <v>2614.8843766343</v>
      </c>
      <c r="AL68" s="88" t="n">
        <f aca="false">AI68+AJ68+AK68</f>
        <v>8778.81109923676</v>
      </c>
      <c r="AM68" s="88" t="n">
        <f aca="false">IF(OR(K68=2,K68=3),AL68*INDEX(in_sup_vat_rate,1,C68),0)</f>
        <v>1229.03355389315</v>
      </c>
      <c r="AN68" s="88" t="n">
        <f aca="false">IF(K68=3,AM68,0)</f>
        <v>0</v>
      </c>
      <c r="AO68" s="88" t="n">
        <f aca="false">INDEX(in_sup_tooling_egp,1,C68)/I68</f>
        <v>0</v>
      </c>
      <c r="AP68" s="88" t="n">
        <f aca="false">IF(F68=4,INDEX(in_ori_lcl_truck,1,C68)*V68/I68+INDEX(in_ori_lcl_cfs_o,1,C68),G68*(IF(F68=1,INDEX(in_ori_truck_20,1,C68),INDEX(in_ori_truck_40,1,C68))*V68/I68+INDEX(in_ori_terminal,1,C68)+IF(F68=1,INDEX(in_ori_othc_20,1,C68),INDEX(in_ori_othc_40,1,C68))*(1-INDEX(in_ori_othc_in_freight,1,C68))+INDEX(in_ori_seal,1,C68)+INDEX(in_ori_inspection,1,C68)+INDEX(in_ori_dd_days,1,C68)*IF(F68=1,INDEX(in_ori_dd_20,1,C68),INDEX(in_ori_dd_40,1,C68))+INDEX(in_ori_loading_egp,1,C68)/I68))</f>
        <v>837.917187748698</v>
      </c>
      <c r="AQ68" s="88" t="n">
        <f aca="false">(INDEX(in_ori_clearance,1,C68)+INDEX(in_ori_coo,1,C68))/I68+INDEX(in_ori_bl_fee,1,C68)+INDEX(in_ori_fwd_fee,1,C68)+INDEX(in_ori_qc,1,C68)+INDEX(in_ori_wires,1,C68)*INDEX(in_ori_wire_fee,1,C68)</f>
        <v>817.639062582899</v>
      </c>
      <c r="AR68" s="88" t="n">
        <f aca="false">AP68+AQ68</f>
        <v>1655.5562503316</v>
      </c>
      <c r="AS68" s="85" t="n">
        <f aca="false">INDEX(tbl_port_diff,H68,C68)</f>
        <v>0</v>
      </c>
      <c r="AT68" s="88" t="n">
        <f aca="false">IF(F68=4,MAX(AF68*INDEX(in_oce_lcl_factor,1,C68),AG68/1000,1)*INDEX(in_oce_lcl_rate,1,C68)*M68,G68*(INDEX(tbl_ocean_rate,MIN(F68,3),C68)+AS68)*M68)</f>
        <v>6000</v>
      </c>
      <c r="AU68" s="88" t="n">
        <f aca="false">AT68+INDEX(in_oce_ams,1,C68)</f>
        <v>6035</v>
      </c>
      <c r="AV68" s="88" t="n">
        <f aca="false">AI68*(1+IF(K68=3,INDEX(in_sup_vat_rate,1,C68),0))+AO68*Y68/AB68</f>
        <v>3170.0735957313</v>
      </c>
      <c r="AW68" s="88" t="n">
        <f aca="false">AJ68*(1+IF(K68=3,INDEX(in_sup_vat_rate,1,C68),0))+AO68*Z68/AB68</f>
        <v>2993.85312687116</v>
      </c>
      <c r="AX68" s="88" t="n">
        <f aca="false">AK68*(1+IF(K68=3,INDEX(in_sup_vat_rate,1,C68),0))+AO68*AA68/AB68</f>
        <v>2614.8843766343</v>
      </c>
      <c r="AY68" s="88" t="n">
        <f aca="false">AV68+AW68+AX68</f>
        <v>8778.81109923676</v>
      </c>
      <c r="AZ68" s="88" t="n">
        <f aca="false">MAX(INDEX(in_oce_ins_min,1,C68),INDEX(in_oce_ins_rate,1,C68)*(1+INDEX(in_oce_ins_uplift,1,C68))*(AL68+AO68+AR68+AU68))*(1-INDEX(in_oce_ins_in_other,1,C68))</f>
        <v>75</v>
      </c>
      <c r="BA68" s="87" t="n">
        <f aca="false">INDEX(in_cus_mfn,1,C68)+L68</f>
        <v>0.125</v>
      </c>
      <c r="BB68" s="88" t="n">
        <f aca="false">AY68*BA68</f>
        <v>1097.35138740459</v>
      </c>
      <c r="BC68" s="88" t="n">
        <f aca="false">MIN(MAX(AY68*INDEX(in_cus_mpf_rate,1,C68),INDEX(in_cus_mpf_min,1,C68)),INDEX(in_cus_mpf_max,1,C68))</f>
        <v>34.58</v>
      </c>
      <c r="BD68" s="88" t="n">
        <f aca="false">AY68*INDEX(in_cus_hmf,1,C68)</f>
        <v>10.9735138740459</v>
      </c>
      <c r="BE68" s="88" t="n">
        <f aca="false">MAX(INDEX(in_cus_stb_min,1,C68),INDEX(in_cus_stb_rate,1,C68)/1000*(AY68+BB68+BC68+BD68))</f>
        <v>75</v>
      </c>
      <c r="BF68" s="88" t="n">
        <f aca="false">INDEX(in_cus_broker,1,C68)+INDEX(in_cus_isf,1,C68)+INDEX(in_cus_do_fee,1,C68)+BE68+INDEX(in_cus_isf_bond,1,C68)</f>
        <v>510</v>
      </c>
      <c r="BG68" s="88" t="n">
        <f aca="false">IF(H68=1,INDEX(in_cus_cfc,1,C68)*INDEX(ct_teu,F68)*G68*(1-INDEX(in_cus_cfc_in_freight,1,C68)),0)</f>
        <v>0</v>
      </c>
      <c r="BH68" s="88" t="n">
        <f aca="false">IF(F68=4,1,G68)*(INDEX(in_cus_exam,1,C68)+INDEX(in_cus_exam_dray,1,C68))</f>
        <v>0</v>
      </c>
      <c r="BI68" s="88" t="n">
        <f aca="false">IF(F68=4,1,G68)*INDEX(in_cus_dem_days,1,C68)*INDEX(in_cus_dem_rate,1,C68)</f>
        <v>0</v>
      </c>
      <c r="BJ68" s="88" t="n">
        <f aca="false">BG68+BH68+BI68</f>
        <v>0</v>
      </c>
      <c r="BK68" s="88" t="n">
        <f aca="false">IF(F68=4,(INDEX(in_dra_lcl_cfs_d,1,C68)+INDEX(in_dra_lcl_deliv,1,C68))*P68,G68*(INDEX(tbl_dest_line,E68,C68)*P68*(1+INDEX(in_dra_fsc,1,C68))+INDEX(tbl_dest_tolls,E68,C68)+INDEX(in_dra_chassis_days,1,C68)*INDEX(tbl_dest_chassis,E68,C68)*(1-INDEX(in_dra_chassis_in_dray,1,C68))+INDEX(in_dra_wait_hours,1,C68)*INDEX(in_dra_wait_rate,1,C68)+INDEX(in_dra_split,1,C68)+INDEX(in_dra_prepull,1,C68)+INDEX(in_dra_dryrun,1,C68)))</f>
        <v>3008</v>
      </c>
      <c r="BL68" s="88" t="n">
        <f aca="false">IF(F68=4,0,G68*IF(F68=1,INDEX(in_dra_unload_20,1,C68),INDEX(in_dra_unload_40,1,C68))*Q68*(1-INDEX(in_dra_unload_in_dray,1,C68)))</f>
        <v>600</v>
      </c>
      <c r="BM68" s="88" t="n">
        <f aca="false">AL68+AN68+AO68+AR68+AU68+AZ68+BB68+BC68+BD68+BF68+BJ68+BK68+BL68</f>
        <v>21805.272250847</v>
      </c>
      <c r="BN68" s="88" t="n">
        <f aca="false">AP68+AU68+BJ68+BK68+BL68</f>
        <v>10480.9171877487</v>
      </c>
      <c r="BO68" s="88" t="n">
        <f aca="false">AQ68+BF68</f>
        <v>1327.6390625829</v>
      </c>
      <c r="BP68" s="88" t="n">
        <f aca="false">AI68*(1+IF(K68=3,INDEX(in_sup_vat_rate,1,C68),0))+AO68*Y68/AB68+AV68*BA68+(BC68+BD68)*AV68/AY68+AZ68*AI68/AL68+BN68*AC68/AF68+BO68*Y68/AB68</f>
        <v>7520.05365623451</v>
      </c>
      <c r="BQ68" s="88" t="n">
        <f aca="false">AJ68*(1+IF(K68=3,INDEX(in_sup_vat_rate,1,C68),0))+AO68*Z68/AB68+AW68*BA68+(BC68+BD68)*AW68/AY68+AZ68*AJ68/AL68+BN68*AD68/AF68+BO68*Z68/AB68</f>
        <v>8093.83772042688</v>
      </c>
      <c r="BR68" s="88" t="n">
        <f aca="false">AK68*(1+IF(K68=3,INDEX(in_sup_vat_rate,1,C68),0))+AO68*AA68/AB68+AX68*BA68+(BC68+BD68)*AX68/AY68+AZ68*AK68/AL68+BN68*AE68/AF68+BO68*AA68/AB68</f>
        <v>6191.38087418561</v>
      </c>
      <c r="BS68" s="89" t="n">
        <f aca="false">BP68+BQ68+BR68-BM68</f>
        <v>0</v>
      </c>
      <c r="BT68" s="85" t="n">
        <f aca="false">Y68*(1-R68)</f>
        <v>19700</v>
      </c>
      <c r="BU68" s="85" t="n">
        <f aca="false">Z68*(1-R68)</f>
        <v>19700</v>
      </c>
      <c r="BV68" s="85" t="n">
        <f aca="false">AA68*(1-R68)</f>
        <v>19700</v>
      </c>
      <c r="BW68" s="85" t="n">
        <f aca="false">BT68+BU68+BV68</f>
        <v>59100</v>
      </c>
      <c r="BX68" s="90" t="n">
        <f aca="false">IF(BT68&gt;0,BP68/BT68,0)</f>
        <v>0.381728611991599</v>
      </c>
      <c r="BY68" s="90" t="n">
        <f aca="false">IF(BU68&gt;0,BQ68/BU68,0)</f>
        <v>0.410854706620654</v>
      </c>
      <c r="BZ68" s="90" t="n">
        <f aca="false">IF(BV68&gt;0,BR68/BV68,0)</f>
        <v>0.314283293105869</v>
      </c>
      <c r="CA68" s="90" t="n">
        <f aca="false">INDEX(in_mkt_listing_3464,1,C68)*(1-IF(sku_flute_3464="B",T68,0))*(1-S68)*N68</f>
        <v>0.234</v>
      </c>
      <c r="CB68" s="90" t="n">
        <f aca="false">INDEX(in_mkt_listing_3463,1,C68)*(1-IF(sku_flute_3463="B",T68,0))*(1-S68)*N68</f>
        <v>0.27</v>
      </c>
      <c r="CC68" s="90" t="n">
        <f aca="false">INDEX(in_mkt_listing_3460,1,C68)*(1-IF(sku_flute_3460="B",T68,0))*(1-S68)*N68</f>
        <v>0.225</v>
      </c>
      <c r="CD68" s="88" t="n">
        <f aca="false">BT68*CA68+BU68*CB68+BV68*CC68</f>
        <v>14361.3</v>
      </c>
      <c r="CE68" s="88" t="n">
        <f aca="false">CD68-BM68</f>
        <v>-7443.972250847</v>
      </c>
      <c r="CF68" s="87" t="n">
        <f aca="false">IF(CD68&gt;0,CE68/CD68,0)</f>
        <v>-0.518335544194954</v>
      </c>
      <c r="CG68" s="87" t="n">
        <f aca="false">W68+INDEX(in_sel_processing,1,C68)+INDEX(in_sel_bad_debt,1,C68)</f>
        <v>0.058</v>
      </c>
      <c r="CH68" s="88" t="n">
        <f aca="false">CD68*CG68</f>
        <v>832.9554</v>
      </c>
      <c r="CI68" s="88" t="n">
        <f aca="false">INDEX(in_sel_testing,1,C68)*X68+INDEX(in_sel_admin,1,C68)</f>
        <v>3000</v>
      </c>
      <c r="CJ68" s="79" t="n">
        <f aca="false">INDEX(in_sup_lead_days,1,C68)</f>
        <v>21</v>
      </c>
      <c r="CK68" s="79" t="n">
        <f aca="false">CJ68+INDEX(in_oce_transit,1,C68)+IF(F68=4,INDEX(in_oce_lcl_extra_days,1,C68),0)</f>
        <v>51</v>
      </c>
      <c r="CL68" s="79" t="n">
        <f aca="false">CK68+2+INDEX(in_cus_dem_days,1,C68)</f>
        <v>53</v>
      </c>
      <c r="CM68" s="79" t="n">
        <f aca="false">CL68+U68</f>
        <v>98</v>
      </c>
      <c r="CN68" s="79" t="n">
        <f aca="false">CJ68+INDEX(in_sup_vat_lag,1,C68)</f>
        <v>81</v>
      </c>
      <c r="CO68" s="91" t="n">
        <f aca="false">INDEX(in_sup_advance,1,C68)</f>
        <v>0.5</v>
      </c>
      <c r="CP68" s="88" t="n">
        <f aca="false">CO68*(AL68+AM68)+AO68+INDEX(in_sel_testing,1,C68)*X68</f>
        <v>7503.92232656495</v>
      </c>
      <c r="CQ68" s="88" t="n">
        <f aca="false">(1-CO68)*(AL68+AM68)+AR68+AU68+AZ68</f>
        <v>12769.4785768965</v>
      </c>
      <c r="CR68" s="88" t="n">
        <f aca="false">BB68+BC68+BD68+BF68+BJ68</f>
        <v>1652.90490127864</v>
      </c>
      <c r="CS68" s="88" t="n">
        <f aca="false">BK68+BL68</f>
        <v>3608</v>
      </c>
      <c r="CT68" s="88" t="n">
        <f aca="false">IF(K68=2,AM68,0)</f>
        <v>1229.03355389315</v>
      </c>
      <c r="CU68" s="85" t="n">
        <f aca="false">IF(K68=2,CO68*AM68*(CN68-0)+(1-CO68)*AM68*(CN68-CJ68),0)</f>
        <v>86646.8655494668</v>
      </c>
      <c r="CV68" s="85" t="n">
        <f aca="false">(CP68-CO68*CT68)*(CM68-0)+(CQ68-(1-CO68)*CT68)*(CM68-CJ68)+CR68*(CM68-CK68)+CS68*(CM68-CL68)</f>
        <v>1851140.33281885</v>
      </c>
      <c r="CW68" s="88" t="n">
        <f aca="false">INDEX(in_sel_fin_rate,1,C68)/365*(CU68+CV68)</f>
        <v>530.900602292688</v>
      </c>
      <c r="CX68" s="85" t="n">
        <f aca="false">CP68-IF(CN68&lt;=0,CT68,0)</f>
        <v>7503.92232656495</v>
      </c>
      <c r="CY68" s="85" t="n">
        <f aca="false">CP68+CQ68-IF(CN68&lt;=CJ68,CT68,0)</f>
        <v>20273.4009034615</v>
      </c>
      <c r="CZ68" s="85" t="n">
        <f aca="false">CP68+CQ68+CR68-IF(CN68&lt;=CK68,CT68,0)</f>
        <v>21926.3058047401</v>
      </c>
      <c r="DA68" s="85" t="n">
        <f aca="false">CP68+CQ68+CR68+CS68-IF(CN68&lt;=CL68,CT68,0)</f>
        <v>25534.3058047401</v>
      </c>
      <c r="DB68" s="88" t="n">
        <f aca="false">MAX(CX68,CY68,CZ68,DA68)</f>
        <v>25534.3058047401</v>
      </c>
      <c r="DC68" s="88" t="n">
        <f aca="false">CP68+CQ68+CR68+CS68</f>
        <v>25534.3058047401</v>
      </c>
      <c r="DD68" s="88" t="n">
        <f aca="false">CE68-CH68-CI68-CW68</f>
        <v>-11807.8282531397</v>
      </c>
      <c r="DE68" s="87" t="n">
        <f aca="false">IF(CD68&gt;0,DD68/CD68,0)</f>
        <v>-0.82219772953282</v>
      </c>
      <c r="DF68" s="86" t="n">
        <f aca="false">IF(CD68&gt;0,(BM68+CI68+CW68)/(CD68*(1-CG68)),0)</f>
        <v>1.87282136893081</v>
      </c>
      <c r="DG68" s="90" t="n">
        <f aca="false">IF(BW68&gt;0,BM68/BW68,0)</f>
        <v>0.368955537239374</v>
      </c>
      <c r="DH68" s="90" t="n">
        <f aca="false">IF(BW68&gt;0,CD68/BW68,0)</f>
        <v>0.243</v>
      </c>
      <c r="DI68" s="90" t="n">
        <f aca="false">IF(AI68&gt;0,(AI68*IF(K68=3,INDEX(in_sup_vat_rate,1,C68),0)+AV68*BA68+(BC68+BD68)*AV68/AY68+AZ68*AI68/AL68)/AI68,0)</f>
        <v>0.138732328046622</v>
      </c>
      <c r="DJ68" s="90" t="n">
        <f aca="false">IF(AJ68&gt;0,(AJ68*IF(K68=3,INDEX(in_sup_vat_rate,1,C68),0)+AW68*BA68+(BC68+BD68)*AW68/AY68+AZ68*AJ68/AL68)/AJ68,0)</f>
        <v>0.138732328046622</v>
      </c>
      <c r="DK68" s="90" t="n">
        <f aca="false">IF(AK68&gt;0,(AK68*IF(K68=3,INDEX(in_sup_vat_rate,1,C68),0)+AX68*BA68+(BC68+BD68)*AX68/AY68+AZ68*AK68/AL68)/AK68,0)</f>
        <v>0.138732328046622</v>
      </c>
      <c r="DL68" s="90" t="n">
        <f aca="false">IF(Y68&gt;0,(BP68-AI68*(1+DI68))/Y68,0)</f>
        <v>0.195509418524414</v>
      </c>
      <c r="DM68" s="90" t="n">
        <f aca="false">IF(Z68&gt;0,(BQ68-AJ68*(1+DJ68))/Z68,0)</f>
        <v>0.234232018971761</v>
      </c>
      <c r="DN68" s="90" t="n">
        <f aca="false">IF(AA68&gt;0,(BR68-AK68*(1+DK68))/AA68,0)</f>
        <v>0.160686375020405</v>
      </c>
      <c r="DO68" s="86" t="n">
        <f aca="false">IF(Y68&gt;0,(CA68*(1-thr_gm_go)*(1-R68)-DL68)/(1+DI68)*I68/((1+AH68)*J68),"")</f>
        <v>-1.04934468997821</v>
      </c>
      <c r="DP68" s="86" t="n">
        <f aca="false">IF(Z68&gt;0,(CB68*(1-thr_gm_go)*(1-R68)-DM68)/(1+DJ68)*I68/((1+AH68)*J68),"")</f>
        <v>-1.61140099796639</v>
      </c>
      <c r="DQ68" s="86" t="n">
        <f aca="false">IF(AA68&gt;0,(CC68*(1-thr_gm_go)*(1-R68)-DN68)/(1+DK68)*I68/((1+AH68)*J68),"")</f>
        <v>0.256399134267129</v>
      </c>
      <c r="DR68" s="92" t="n">
        <f aca="false">IF(AND(AY68*INDEX(in_cus_mpf_rate,1,C68)&gt;INDEX(in_cus_mpf_min,1,C68),AY68*INDEX(in_cus_mpf_rate,1,C68)&lt;INDEX(in_cus_mpf_max,1,C68)),INDEX(in_cus_mpf_rate,1,C68),0)</f>
        <v>0</v>
      </c>
      <c r="DS68" s="88" t="n">
        <f aca="false">IF(AZ68&gt;INDEX(in_oce_ins_min,1,C68),INDEX(in_oce_ins_rate,1,C68)*(1+INDEX(in_oce_ins_uplift,1,C68))*AL68,0)</f>
        <v>0</v>
      </c>
      <c r="DT68" s="88" t="n">
        <f aca="false">(AL68+AN68)*(1+BA68+INDEX(in_cus_hmf,1,C68)+DR68)+DS68</f>
        <v>9887.1360005154</v>
      </c>
      <c r="DU68" s="86" t="n">
        <f aca="false">IF(DT68&gt;0,(CD68*(1-thr_gm_go)-(BM68-DT68))/DT68,0)</f>
        <v>-0.116025636774067</v>
      </c>
      <c r="DV68" s="86" t="n">
        <f aca="false">IF(DT68&gt;0,(CD68-(BM68-DT68))/DT68,0)</f>
        <v>0.247105304260106</v>
      </c>
      <c r="DW68" s="87" t="n">
        <f aca="false">(1+AH68)*J68*DU68-1</f>
        <v>-1.11602563677407</v>
      </c>
      <c r="DX68" s="87" t="n">
        <f aca="false">(1+AH68)*J68*DV68-1</f>
        <v>-0.752894695739894</v>
      </c>
      <c r="DY68" s="85" t="n">
        <f aca="false">IF(G68&gt;0,(CD68*(1-thr_gm_go)-(BM68-AT68))/G68,"")</f>
        <v>-2517.1486254235</v>
      </c>
      <c r="DZ68" s="90" t="n">
        <f aca="false">IF(AB68&gt;0,(AL68+AN68+BB68+BC68+BD68)/AB68,0)</f>
        <v>0.165361933341923</v>
      </c>
      <c r="EA68" s="88" t="n">
        <f aca="false">BM68-DZ68*AB68</f>
        <v>11883.5562503316</v>
      </c>
      <c r="EB68" s="90" t="n">
        <f aca="false">IF(AB68&gt;0,CD68/AB68,0)</f>
        <v>0.239355</v>
      </c>
      <c r="EC68" s="85" t="n">
        <f aca="false">IF(EB68*(1-thr_gm_go)-DZ68&gt;0,EA68/(EB68*(1-thr_gm_go)-DZ68),"n/a")</f>
        <v>839571.173755718</v>
      </c>
      <c r="ED68" s="85" t="n">
        <f aca="false">IF(EB68-DZ68&gt;0,EA68/(EB68-DZ68),"n/a")</f>
        <v>160603.645544869</v>
      </c>
      <c r="EE68" s="93" t="b">
        <f aca="false">INDEX(cfg_fits,D68,C68)</f>
        <v>1</v>
      </c>
      <c r="EF68" s="87" t="n">
        <f aca="false">IF(F68=4,"",INDEX(cfg_lenutil,D68,C68))</f>
        <v>0.972413793103448</v>
      </c>
      <c r="EG68" s="31" t="str">
        <f aca="false">IF(O68&gt;1,"Check fit (units scaled up)","")</f>
        <v/>
      </c>
    </row>
    <row r="69" customFormat="false" ht="15" hidden="false" customHeight="false" outlineLevel="0" collapsed="false">
      <c r="A69" s="78" t="n">
        <v>2035</v>
      </c>
      <c r="B69" s="9" t="s">
        <v>3217</v>
      </c>
      <c r="C69" s="78" t="n">
        <v>2</v>
      </c>
      <c r="D69" s="78" t="n">
        <v>3</v>
      </c>
      <c r="E69" s="78" t="n">
        <v>5</v>
      </c>
      <c r="F69" s="79" t="n">
        <f aca="false">INDEX(cfg_ct,D69)</f>
        <v>1</v>
      </c>
      <c r="G69" s="79" t="n">
        <f aca="false">INDEX(cfg_n,D69)</f>
        <v>2</v>
      </c>
      <c r="H69" s="79" t="n">
        <f aca="false">INDEX(dest_port,E69)</f>
        <v>4</v>
      </c>
      <c r="I69" s="80" t="n">
        <f aca="false">INDEX(in_fx_cbe,1,C69)*(1-INDEX(in_fx_spread,1,C69))</f>
        <v>52.7748</v>
      </c>
      <c r="J69" s="81" t="n">
        <f aca="false">1</f>
        <v>1</v>
      </c>
      <c r="K69" s="82" t="n">
        <f aca="false">INDEX(in_sup_vat_mode,1,C69)</f>
        <v>2</v>
      </c>
      <c r="L69" s="83" t="n">
        <f aca="false">INDEX(in_cus_s301,1,C69)</f>
        <v>0.125</v>
      </c>
      <c r="M69" s="84" t="n">
        <f aca="false">1</f>
        <v>1</v>
      </c>
      <c r="N69" s="81" t="n">
        <f aca="false">1</f>
        <v>1</v>
      </c>
      <c r="O69" s="81" t="n">
        <f aca="false">1</f>
        <v>1</v>
      </c>
      <c r="P69" s="81" t="n">
        <f aca="false">1</f>
        <v>1</v>
      </c>
      <c r="Q69" s="81" t="n">
        <f aca="false">1</f>
        <v>1</v>
      </c>
      <c r="R69" s="83" t="n">
        <f aca="false">INDEX(in_sel_damage,1,C69)</f>
        <v>0.015</v>
      </c>
      <c r="S69" s="83" t="n">
        <f aca="false">INDEX(in_mkt_dist_margin,1,C69)</f>
        <v>0.25</v>
      </c>
      <c r="T69" s="83" t="n">
        <f aca="false">INDEX(in_mkt_eflute_disc,1,C69)</f>
        <v>0.2</v>
      </c>
      <c r="U69" s="82" t="n">
        <f aca="false">INDEX(in_sel_credit_days,1,C69)</f>
        <v>45</v>
      </c>
      <c r="V69" s="81" t="n">
        <f aca="false">1</f>
        <v>1</v>
      </c>
      <c r="W69" s="83" t="n">
        <f aca="false">INDEX(in_sel_commission,1,C69)</f>
        <v>0.05</v>
      </c>
      <c r="X69" s="82" t="n">
        <f aca="false">1</f>
        <v>1</v>
      </c>
      <c r="Y69" s="85" t="n">
        <f aca="false">INDEX(cfg_u_3464,D69,C69)*O69</f>
        <v>20000</v>
      </c>
      <c r="Z69" s="85" t="n">
        <f aca="false">INDEX(cfg_u_3463,D69,C69)*O69</f>
        <v>20000</v>
      </c>
      <c r="AA69" s="85" t="n">
        <f aca="false">INDEX(cfg_u_3460,D69,C69)*O69</f>
        <v>20000</v>
      </c>
      <c r="AB69" s="85" t="n">
        <f aca="false">Y69+Z69+AA69</f>
        <v>60000</v>
      </c>
      <c r="AC69" s="86" t="n">
        <f aca="false">Y69*INDEX(lg_vpu_3464,C69)</f>
        <v>14.22784</v>
      </c>
      <c r="AD69" s="86" t="n">
        <f aca="false">Z69*INDEX(lg_vpu_3463,C69)</f>
        <v>17.40544</v>
      </c>
      <c r="AE69" s="86" t="n">
        <f aca="false">AA69*INDEX(lg_vpu_3460,C69)</f>
        <v>11.37024</v>
      </c>
      <c r="AF69" s="86" t="n">
        <f aca="false">AC69+AD69+AE69</f>
        <v>43.00352</v>
      </c>
      <c r="AG69" s="85" t="n">
        <f aca="false">Y69*INDEX(lg_kpu_3464,C69)+Z69*INDEX(lg_kpu_3463,C69)+AA69*INDEX(lg_kpu_3460,C69)</f>
        <v>10342.13472</v>
      </c>
      <c r="AH69" s="87" t="n">
        <f aca="false">INDEX(in_sup_requote,1,C69)</f>
        <v>0</v>
      </c>
      <c r="AI69" s="88" t="n">
        <f aca="false">Y69*q_price_3464*(1+AH69)*J69/I69</f>
        <v>3170.0735957313</v>
      </c>
      <c r="AJ69" s="88" t="n">
        <f aca="false">Z69*q_price_3463*(1+AH69)*J69/I69</f>
        <v>2993.85312687116</v>
      </c>
      <c r="AK69" s="88" t="n">
        <f aca="false">AA69*q_price_3460*(1+AH69)*J69/I69</f>
        <v>2614.8843766343</v>
      </c>
      <c r="AL69" s="88" t="n">
        <f aca="false">AI69+AJ69+AK69</f>
        <v>8778.81109923676</v>
      </c>
      <c r="AM69" s="88" t="n">
        <f aca="false">IF(OR(K69=2,K69=3),AL69*INDEX(in_sup_vat_rate,1,C69),0)</f>
        <v>1229.03355389315</v>
      </c>
      <c r="AN69" s="88" t="n">
        <f aca="false">IF(K69=3,AM69,0)</f>
        <v>0</v>
      </c>
      <c r="AO69" s="88" t="n">
        <f aca="false">INDEX(in_sup_tooling_egp,1,C69)/I69</f>
        <v>0</v>
      </c>
      <c r="AP69" s="88" t="n">
        <f aca="false">IF(F69=4,INDEX(in_ori_lcl_truck,1,C69)*V69/I69+INDEX(in_ori_lcl_cfs_o,1,C69),G69*(IF(F69=1,INDEX(in_ori_truck_20,1,C69),INDEX(in_ori_truck_40,1,C69))*V69/I69+INDEX(in_ori_terminal,1,C69)+IF(F69=1,INDEX(in_ori_othc_20,1,C69),INDEX(in_ori_othc_40,1,C69))*(1-INDEX(in_ori_othc_in_freight,1,C69))+INDEX(in_ori_seal,1,C69)+INDEX(in_ori_inspection,1,C69)+INDEX(in_ori_dd_days,1,C69)*IF(F69=1,INDEX(in_ori_dd_20,1,C69),INDEX(in_ori_dd_40,1,C69))+INDEX(in_ori_loading_egp,1,C69)/I69))</f>
        <v>837.917187748698</v>
      </c>
      <c r="AQ69" s="88" t="n">
        <f aca="false">(INDEX(in_ori_clearance,1,C69)+INDEX(in_ori_coo,1,C69))/I69+INDEX(in_ori_bl_fee,1,C69)+INDEX(in_ori_fwd_fee,1,C69)+INDEX(in_ori_qc,1,C69)+INDEX(in_ori_wires,1,C69)*INDEX(in_ori_wire_fee,1,C69)</f>
        <v>817.639062582899</v>
      </c>
      <c r="AR69" s="88" t="n">
        <f aca="false">AP69+AQ69</f>
        <v>1655.5562503316</v>
      </c>
      <c r="AS69" s="85" t="n">
        <f aca="false">INDEX(tbl_port_diff,H69,C69)</f>
        <v>100</v>
      </c>
      <c r="AT69" s="88" t="n">
        <f aca="false">IF(F69=4,MAX(AF69*INDEX(in_oce_lcl_factor,1,C69),AG69/1000,1)*INDEX(in_oce_lcl_rate,1,C69)*M69,G69*(INDEX(tbl_ocean_rate,MIN(F69,3),C69)+AS69)*M69)</f>
        <v>6200</v>
      </c>
      <c r="AU69" s="88" t="n">
        <f aca="false">AT69+INDEX(in_oce_ams,1,C69)</f>
        <v>6235</v>
      </c>
      <c r="AV69" s="88" t="n">
        <f aca="false">AI69*(1+IF(K69=3,INDEX(in_sup_vat_rate,1,C69),0))+AO69*Y69/AB69</f>
        <v>3170.0735957313</v>
      </c>
      <c r="AW69" s="88" t="n">
        <f aca="false">AJ69*(1+IF(K69=3,INDEX(in_sup_vat_rate,1,C69),0))+AO69*Z69/AB69</f>
        <v>2993.85312687116</v>
      </c>
      <c r="AX69" s="88" t="n">
        <f aca="false">AK69*(1+IF(K69=3,INDEX(in_sup_vat_rate,1,C69),0))+AO69*AA69/AB69</f>
        <v>2614.8843766343</v>
      </c>
      <c r="AY69" s="88" t="n">
        <f aca="false">AV69+AW69+AX69</f>
        <v>8778.81109923676</v>
      </c>
      <c r="AZ69" s="88" t="n">
        <f aca="false">MAX(INDEX(in_oce_ins_min,1,C69),INDEX(in_oce_ins_rate,1,C69)*(1+INDEX(in_oce_ins_uplift,1,C69))*(AL69+AO69+AR69+AU69))*(1-INDEX(in_oce_ins_in_other,1,C69))</f>
        <v>75</v>
      </c>
      <c r="BA69" s="87" t="n">
        <f aca="false">INDEX(in_cus_mfn,1,C69)+L69</f>
        <v>0.125</v>
      </c>
      <c r="BB69" s="88" t="n">
        <f aca="false">AY69*BA69</f>
        <v>1097.35138740459</v>
      </c>
      <c r="BC69" s="88" t="n">
        <f aca="false">MIN(MAX(AY69*INDEX(in_cus_mpf_rate,1,C69),INDEX(in_cus_mpf_min,1,C69)),INDEX(in_cus_mpf_max,1,C69))</f>
        <v>34.58</v>
      </c>
      <c r="BD69" s="88" t="n">
        <f aca="false">AY69*INDEX(in_cus_hmf,1,C69)</f>
        <v>10.9735138740459</v>
      </c>
      <c r="BE69" s="88" t="n">
        <f aca="false">MAX(INDEX(in_cus_stb_min,1,C69),INDEX(in_cus_stb_rate,1,C69)/1000*(AY69+BB69+BC69+BD69))</f>
        <v>75</v>
      </c>
      <c r="BF69" s="88" t="n">
        <f aca="false">INDEX(in_cus_broker,1,C69)+INDEX(in_cus_isf,1,C69)+INDEX(in_cus_do_fee,1,C69)+BE69+INDEX(in_cus_isf_bond,1,C69)</f>
        <v>510</v>
      </c>
      <c r="BG69" s="88" t="n">
        <f aca="false">IF(H69=1,INDEX(in_cus_cfc,1,C69)*INDEX(ct_teu,F69)*G69*(1-INDEX(in_cus_cfc_in_freight,1,C69)),0)</f>
        <v>0</v>
      </c>
      <c r="BH69" s="88" t="n">
        <f aca="false">IF(F69=4,1,G69)*(INDEX(in_cus_exam,1,C69)+INDEX(in_cus_exam_dray,1,C69))</f>
        <v>0</v>
      </c>
      <c r="BI69" s="88" t="n">
        <f aca="false">IF(F69=4,1,G69)*INDEX(in_cus_dem_days,1,C69)*INDEX(in_cus_dem_rate,1,C69)</f>
        <v>0</v>
      </c>
      <c r="BJ69" s="88" t="n">
        <f aca="false">BG69+BH69+BI69</f>
        <v>0</v>
      </c>
      <c r="BK69" s="88" t="n">
        <f aca="false">IF(F69=4,(INDEX(in_dra_lcl_cfs_d,1,C69)+INDEX(in_dra_lcl_deliv,1,C69))*P69,G69*(INDEX(tbl_dest_line,E69,C69)*P69*(1+INDEX(in_dra_fsc,1,C69))+INDEX(tbl_dest_tolls,E69,C69)+INDEX(in_dra_chassis_days,1,C69)*INDEX(tbl_dest_chassis,E69,C69)*(1-INDEX(in_dra_chassis_in_dray,1,C69))+INDEX(in_dra_wait_hours,1,C69)*INDEX(in_dra_wait_rate,1,C69)+INDEX(in_dra_split,1,C69)+INDEX(in_dra_prepull,1,C69)+INDEX(in_dra_dryrun,1,C69)))</f>
        <v>3940</v>
      </c>
      <c r="BL69" s="88" t="n">
        <f aca="false">IF(F69=4,0,G69*IF(F69=1,INDEX(in_dra_unload_20,1,C69),INDEX(in_dra_unload_40,1,C69))*Q69*(1-INDEX(in_dra_unload_in_dray,1,C69)))</f>
        <v>600</v>
      </c>
      <c r="BM69" s="88" t="n">
        <f aca="false">AL69+AN69+AO69+AR69+AU69+AZ69+BB69+BC69+BD69+BF69+BJ69+BK69+BL69</f>
        <v>22937.272250847</v>
      </c>
      <c r="BN69" s="88" t="n">
        <f aca="false">AP69+AU69+BJ69+BK69+BL69</f>
        <v>11612.9171877487</v>
      </c>
      <c r="BO69" s="88" t="n">
        <f aca="false">AQ69+BF69</f>
        <v>1327.6390625829</v>
      </c>
      <c r="BP69" s="88" t="n">
        <f aca="false">AI69*(1+IF(K69=3,INDEX(in_sup_vat_rate,1,C69),0))+AO69*Y69/AB69+AV69*BA69+(BC69+BD69)*AV69/AY69+AZ69*AI69/AL69+BN69*AC69/AF69+BO69*Y69/AB69</f>
        <v>7894.57915740278</v>
      </c>
      <c r="BQ69" s="88" t="n">
        <f aca="false">AJ69*(1+IF(K69=3,INDEX(in_sup_vat_rate,1,C69),0))+AO69*Z69/AB69+AW69*BA69+(BC69+BD69)*AW69/AY69+AZ69*AJ69/AL69+BN69*AD69/AF69+BO69*Z69/AB69</f>
        <v>8552.0085417922</v>
      </c>
      <c r="BR69" s="88" t="n">
        <f aca="false">AK69*(1+IF(K69=3,INDEX(in_sup_vat_rate,1,C69),0))+AO69*AA69/AB69+AX69*BA69+(BC69+BD69)*AX69/AY69+AZ69*AK69/AL69+BN69*AE69/AF69+BO69*AA69/AB69</f>
        <v>6490.68455165202</v>
      </c>
      <c r="BS69" s="89" t="n">
        <f aca="false">BP69+BQ69+BR69-BM69</f>
        <v>0</v>
      </c>
      <c r="BT69" s="85" t="n">
        <f aca="false">Y69*(1-R69)</f>
        <v>19700</v>
      </c>
      <c r="BU69" s="85" t="n">
        <f aca="false">Z69*(1-R69)</f>
        <v>19700</v>
      </c>
      <c r="BV69" s="85" t="n">
        <f aca="false">AA69*(1-R69)</f>
        <v>19700</v>
      </c>
      <c r="BW69" s="85" t="n">
        <f aca="false">BT69+BU69+BV69</f>
        <v>59100</v>
      </c>
      <c r="BX69" s="90" t="n">
        <f aca="false">IF(BT69&gt;0,BP69/BT69,0)</f>
        <v>0.40074005875141</v>
      </c>
      <c r="BY69" s="90" t="n">
        <f aca="false">IF(BU69&gt;0,BQ69/BU69,0)</f>
        <v>0.434112108720416</v>
      </c>
      <c r="BZ69" s="90" t="n">
        <f aca="false">IF(BV69&gt;0,BR69/BV69,0)</f>
        <v>0.329476373180305</v>
      </c>
      <c r="CA69" s="90" t="n">
        <f aca="false">INDEX(in_mkt_listing_3464,1,C69)*(1-IF(sku_flute_3464="B",T69,0))*(1-S69)*N69</f>
        <v>0.234</v>
      </c>
      <c r="CB69" s="90" t="n">
        <f aca="false">INDEX(in_mkt_listing_3463,1,C69)*(1-IF(sku_flute_3463="B",T69,0))*(1-S69)*N69</f>
        <v>0.27</v>
      </c>
      <c r="CC69" s="90" t="n">
        <f aca="false">INDEX(in_mkt_listing_3460,1,C69)*(1-IF(sku_flute_3460="B",T69,0))*(1-S69)*N69</f>
        <v>0.225</v>
      </c>
      <c r="CD69" s="88" t="n">
        <f aca="false">BT69*CA69+BU69*CB69+BV69*CC69</f>
        <v>14361.3</v>
      </c>
      <c r="CE69" s="88" t="n">
        <f aca="false">CD69-BM69</f>
        <v>-8575.972250847</v>
      </c>
      <c r="CF69" s="87" t="n">
        <f aca="false">IF(CD69&gt;0,CE69/CD69,0)</f>
        <v>-0.597158491978233</v>
      </c>
      <c r="CG69" s="87" t="n">
        <f aca="false">W69+INDEX(in_sel_processing,1,C69)+INDEX(in_sel_bad_debt,1,C69)</f>
        <v>0.058</v>
      </c>
      <c r="CH69" s="88" t="n">
        <f aca="false">CD69*CG69</f>
        <v>832.9554</v>
      </c>
      <c r="CI69" s="88" t="n">
        <f aca="false">INDEX(in_sel_testing,1,C69)*X69+INDEX(in_sel_admin,1,C69)</f>
        <v>3000</v>
      </c>
      <c r="CJ69" s="79" t="n">
        <f aca="false">INDEX(in_sup_lead_days,1,C69)</f>
        <v>21</v>
      </c>
      <c r="CK69" s="79" t="n">
        <f aca="false">CJ69+INDEX(in_oce_transit,1,C69)+IF(F69=4,INDEX(in_oce_lcl_extra_days,1,C69),0)</f>
        <v>51</v>
      </c>
      <c r="CL69" s="79" t="n">
        <f aca="false">CK69+2+INDEX(in_cus_dem_days,1,C69)</f>
        <v>53</v>
      </c>
      <c r="CM69" s="79" t="n">
        <f aca="false">CL69+U69</f>
        <v>98</v>
      </c>
      <c r="CN69" s="79" t="n">
        <f aca="false">CJ69+INDEX(in_sup_vat_lag,1,C69)</f>
        <v>81</v>
      </c>
      <c r="CO69" s="91" t="n">
        <f aca="false">INDEX(in_sup_advance,1,C69)</f>
        <v>0.5</v>
      </c>
      <c r="CP69" s="88" t="n">
        <f aca="false">CO69*(AL69+AM69)+AO69+INDEX(in_sel_testing,1,C69)*X69</f>
        <v>7503.92232656495</v>
      </c>
      <c r="CQ69" s="88" t="n">
        <f aca="false">(1-CO69)*(AL69+AM69)+AR69+AU69+AZ69</f>
        <v>12969.4785768965</v>
      </c>
      <c r="CR69" s="88" t="n">
        <f aca="false">BB69+BC69+BD69+BF69+BJ69</f>
        <v>1652.90490127864</v>
      </c>
      <c r="CS69" s="88" t="n">
        <f aca="false">BK69+BL69</f>
        <v>4540</v>
      </c>
      <c r="CT69" s="88" t="n">
        <f aca="false">IF(K69=2,AM69,0)</f>
        <v>1229.03355389315</v>
      </c>
      <c r="CU69" s="85" t="n">
        <f aca="false">IF(K69=2,CO69*AM69*(CN69-0)+(1-CO69)*AM69*(CN69-CJ69),0)</f>
        <v>86646.8655494668</v>
      </c>
      <c r="CV69" s="85" t="n">
        <f aca="false">(CP69-CO69*CT69)*(CM69-0)+(CQ69-(1-CO69)*CT69)*(CM69-CJ69)+CR69*(CM69-CK69)+CS69*(CM69-CL69)</f>
        <v>1908480.33281885</v>
      </c>
      <c r="CW69" s="88" t="n">
        <f aca="false">INDEX(in_sel_fin_rate,1,C69)/365*(CU69+CV69)</f>
        <v>546.610191333784</v>
      </c>
      <c r="CX69" s="85" t="n">
        <f aca="false">CP69-IF(CN69&lt;=0,CT69,0)</f>
        <v>7503.92232656495</v>
      </c>
      <c r="CY69" s="85" t="n">
        <f aca="false">CP69+CQ69-IF(CN69&lt;=CJ69,CT69,0)</f>
        <v>20473.4009034615</v>
      </c>
      <c r="CZ69" s="85" t="n">
        <f aca="false">CP69+CQ69+CR69-IF(CN69&lt;=CK69,CT69,0)</f>
        <v>22126.3058047401</v>
      </c>
      <c r="DA69" s="85" t="n">
        <f aca="false">CP69+CQ69+CR69+CS69-IF(CN69&lt;=CL69,CT69,0)</f>
        <v>26666.3058047401</v>
      </c>
      <c r="DB69" s="88" t="n">
        <f aca="false">MAX(CX69,CY69,CZ69,DA69)</f>
        <v>26666.3058047401</v>
      </c>
      <c r="DC69" s="88" t="n">
        <f aca="false">CP69+CQ69+CR69+CS69</f>
        <v>26666.3058047401</v>
      </c>
      <c r="DD69" s="88" t="n">
        <f aca="false">CE69-CH69-CI69-CW69</f>
        <v>-12955.5378421808</v>
      </c>
      <c r="DE69" s="87" t="n">
        <f aca="false">IF(CD69&gt;0,DD69/CD69,0)</f>
        <v>-0.902114560811401</v>
      </c>
      <c r="DF69" s="86" t="n">
        <f aca="false">IF(CD69&gt;0,(BM69+CI69+CW69)/(CD69*(1-CG69)),0)</f>
        <v>1.95765876943886</v>
      </c>
      <c r="DG69" s="90" t="n">
        <f aca="false">IF(BW69&gt;0,BM69/BW69,0)</f>
        <v>0.388109513550711</v>
      </c>
      <c r="DH69" s="90" t="n">
        <f aca="false">IF(BW69&gt;0,CD69/BW69,0)</f>
        <v>0.243</v>
      </c>
      <c r="DI69" s="90" t="n">
        <f aca="false">IF(AI69&gt;0,(AI69*IF(K69=3,INDEX(in_sup_vat_rate,1,C69),0)+AV69*BA69+(BC69+BD69)*AV69/AY69+AZ69*AI69/AL69)/AI69,0)</f>
        <v>0.138732328046622</v>
      </c>
      <c r="DJ69" s="90" t="n">
        <f aca="false">IF(AJ69&gt;0,(AJ69*IF(K69=3,INDEX(in_sup_vat_rate,1,C69),0)+AW69*BA69+(BC69+BD69)*AW69/AY69+AZ69*AJ69/AL69)/AJ69,0)</f>
        <v>0.138732328046622</v>
      </c>
      <c r="DK69" s="90" t="n">
        <f aca="false">IF(AK69&gt;0,(AK69*IF(K69=3,INDEX(in_sup_vat_rate,1,C69),0)+AX69*BA69+(BC69+BD69)*AX69/AY69+AZ69*AK69/AL69)/AK69,0)</f>
        <v>0.138732328046622</v>
      </c>
      <c r="DL69" s="90" t="n">
        <f aca="false">IF(Y69&gt;0,(BP69-AI69*(1+DI69))/Y69,0)</f>
        <v>0.214235693582828</v>
      </c>
      <c r="DM69" s="90" t="n">
        <f aca="false">IF(Z69&gt;0,(BQ69-AJ69*(1+DJ69))/Z69,0)</f>
        <v>0.257140560040027</v>
      </c>
      <c r="DN69" s="90" t="n">
        <f aca="false">IF(AA69&gt;0,(BR69-AK69*(1+DK69))/AA69,0)</f>
        <v>0.175651558893725</v>
      </c>
      <c r="DO69" s="86" t="n">
        <f aca="false">IF(Y69&gt;0,(CA69*(1-thr_gm_go)*(1-R69)-DL69)/(1+DI69)*I69/((1+AH69)*J69),"")</f>
        <v>-1.91721802299235</v>
      </c>
      <c r="DP69" s="86" t="n">
        <f aca="false">IF(Z69&gt;0,(CB69*(1-thr_gm_go)*(1-R69)-DM69)/(1+DJ69)*I69/((1+AH69)*J69),"")</f>
        <v>-2.67310236833446</v>
      </c>
      <c r="DQ69" s="86" t="n">
        <f aca="false">IF(AA69&gt;0,(CC69*(1-thr_gm_go)*(1-R69)-DN69)/(1+DK69)*I69/((1+AH69)*J69),"")</f>
        <v>-0.437165601207177</v>
      </c>
      <c r="DR69" s="92" t="n">
        <f aca="false">IF(AND(AY69*INDEX(in_cus_mpf_rate,1,C69)&gt;INDEX(in_cus_mpf_min,1,C69),AY69*INDEX(in_cus_mpf_rate,1,C69)&lt;INDEX(in_cus_mpf_max,1,C69)),INDEX(in_cus_mpf_rate,1,C69),0)</f>
        <v>0</v>
      </c>
      <c r="DS69" s="88" t="n">
        <f aca="false">IF(AZ69&gt;INDEX(in_oce_ins_min,1,C69),INDEX(in_oce_ins_rate,1,C69)*(1+INDEX(in_oce_ins_uplift,1,C69))*AL69,0)</f>
        <v>0</v>
      </c>
      <c r="DT69" s="88" t="n">
        <f aca="false">(AL69+AN69)*(1+BA69+INDEX(in_cus_hmf,1,C69)+DR69)+DS69</f>
        <v>9887.1360005154</v>
      </c>
      <c r="DU69" s="86" t="n">
        <f aca="false">IF(DT69&gt;0,(CD69*(1-thr_gm_go)-(BM69-DT69))/DT69,0)</f>
        <v>-0.230517841588585</v>
      </c>
      <c r="DV69" s="86" t="n">
        <f aca="false">IF(DT69&gt;0,(CD69-(BM69-DT69))/DT69,0)</f>
        <v>0.132613099445588</v>
      </c>
      <c r="DW69" s="87" t="n">
        <f aca="false">(1+AH69)*J69*DU69-1</f>
        <v>-1.23051784158858</v>
      </c>
      <c r="DX69" s="87" t="n">
        <f aca="false">(1+AH69)*J69*DV69-1</f>
        <v>-0.867386900554412</v>
      </c>
      <c r="DY69" s="85" t="n">
        <f aca="false">IF(G69&gt;0,(CD69*(1-thr_gm_go)-(BM69-AT69))/G69,"")</f>
        <v>-2983.1486254235</v>
      </c>
      <c r="DZ69" s="90" t="n">
        <f aca="false">IF(AB69&gt;0,(AL69+AN69+BB69+BC69+BD69)/AB69,0)</f>
        <v>0.165361933341923</v>
      </c>
      <c r="EA69" s="88" t="n">
        <f aca="false">BM69-DZ69*AB69</f>
        <v>13015.5562503316</v>
      </c>
      <c r="EB69" s="90" t="n">
        <f aca="false">IF(AB69&gt;0,CD69/AB69,0)</f>
        <v>0.239355</v>
      </c>
      <c r="EC69" s="85" t="n">
        <f aca="false">IF(EB69*(1-thr_gm_go)-DZ69&gt;0,EA69/(EB69*(1-thr_gm_go)-DZ69),"n/a")</f>
        <v>919546.776064577</v>
      </c>
      <c r="ED69" s="85" t="n">
        <f aca="false">IF(EB69-DZ69&gt;0,EA69/(EB69-DZ69),"n/a")</f>
        <v>175902.376238529</v>
      </c>
      <c r="EE69" s="93" t="b">
        <f aca="false">INDEX(cfg_fits,D69,C69)</f>
        <v>1</v>
      </c>
      <c r="EF69" s="87" t="n">
        <f aca="false">IF(F69=4,"",INDEX(cfg_lenutil,D69,C69))</f>
        <v>0.972413793103448</v>
      </c>
      <c r="EG69" s="31" t="str">
        <f aca="false">IF(O69&gt;1,"Check fit (units scaled up)","")</f>
        <v/>
      </c>
    </row>
    <row r="70" customFormat="false" ht="15" hidden="false" customHeight="false" outlineLevel="0" collapsed="false">
      <c r="A70" s="78" t="n">
        <v>2041</v>
      </c>
      <c r="B70" s="9" t="s">
        <v>3218</v>
      </c>
      <c r="C70" s="78" t="n">
        <v>2</v>
      </c>
      <c r="D70" s="78" t="n">
        <v>4</v>
      </c>
      <c r="E70" s="78" t="n">
        <v>1</v>
      </c>
      <c r="F70" s="79" t="n">
        <f aca="false">INDEX(cfg_ct,D70)</f>
        <v>3</v>
      </c>
      <c r="G70" s="79" t="n">
        <f aca="false">INDEX(cfg_n,D70)</f>
        <v>1</v>
      </c>
      <c r="H70" s="79" t="n">
        <f aca="false">INDEX(dest_port,E70)</f>
        <v>1</v>
      </c>
      <c r="I70" s="80" t="n">
        <f aca="false">INDEX(in_fx_cbe,1,C70)*(1-INDEX(in_fx_spread,1,C70))</f>
        <v>52.7748</v>
      </c>
      <c r="J70" s="81" t="n">
        <f aca="false">1</f>
        <v>1</v>
      </c>
      <c r="K70" s="82" t="n">
        <f aca="false">INDEX(in_sup_vat_mode,1,C70)</f>
        <v>2</v>
      </c>
      <c r="L70" s="83" t="n">
        <f aca="false">INDEX(in_cus_s301,1,C70)</f>
        <v>0.125</v>
      </c>
      <c r="M70" s="84" t="n">
        <f aca="false">1</f>
        <v>1</v>
      </c>
      <c r="N70" s="81" t="n">
        <f aca="false">1</f>
        <v>1</v>
      </c>
      <c r="O70" s="81" t="n">
        <f aca="false">1</f>
        <v>1</v>
      </c>
      <c r="P70" s="81" t="n">
        <f aca="false">1</f>
        <v>1</v>
      </c>
      <c r="Q70" s="81" t="n">
        <f aca="false">1</f>
        <v>1</v>
      </c>
      <c r="R70" s="83" t="n">
        <f aca="false">INDEX(in_sel_damage,1,C70)</f>
        <v>0.015</v>
      </c>
      <c r="S70" s="83" t="n">
        <f aca="false">INDEX(in_mkt_dist_margin,1,C70)</f>
        <v>0.25</v>
      </c>
      <c r="T70" s="83" t="n">
        <f aca="false">INDEX(in_mkt_eflute_disc,1,C70)</f>
        <v>0.2</v>
      </c>
      <c r="U70" s="82" t="n">
        <f aca="false">INDEX(in_sel_credit_days,1,C70)</f>
        <v>45</v>
      </c>
      <c r="V70" s="81" t="n">
        <f aca="false">1</f>
        <v>1</v>
      </c>
      <c r="W70" s="83" t="n">
        <f aca="false">INDEX(in_sel_commission,1,C70)</f>
        <v>0.05</v>
      </c>
      <c r="X70" s="82" t="n">
        <f aca="false">1</f>
        <v>1</v>
      </c>
      <c r="Y70" s="85" t="n">
        <f aca="false">INDEX(cfg_u_3464,D70,C70)*O70</f>
        <v>25800</v>
      </c>
      <c r="Z70" s="85" t="n">
        <f aca="false">INDEX(cfg_u_3463,D70,C70)*O70</f>
        <v>25800</v>
      </c>
      <c r="AA70" s="85" t="n">
        <f aca="false">INDEX(cfg_u_3460,D70,C70)*O70</f>
        <v>25800</v>
      </c>
      <c r="AB70" s="85" t="n">
        <f aca="false">Y70+Z70+AA70</f>
        <v>77400</v>
      </c>
      <c r="AC70" s="86" t="n">
        <f aca="false">Y70*INDEX(lg_vpu_3464,C70)</f>
        <v>18.3539136</v>
      </c>
      <c r="AD70" s="86" t="n">
        <f aca="false">Z70*INDEX(lg_vpu_3463,C70)</f>
        <v>22.4530176</v>
      </c>
      <c r="AE70" s="86" t="n">
        <f aca="false">AA70*INDEX(lg_vpu_3460,C70)</f>
        <v>14.6676096</v>
      </c>
      <c r="AF70" s="86" t="n">
        <f aca="false">AC70+AD70+AE70</f>
        <v>55.4745408</v>
      </c>
      <c r="AG70" s="85" t="n">
        <f aca="false">Y70*INDEX(lg_kpu_3464,C70)+Z70*INDEX(lg_kpu_3463,C70)+AA70*INDEX(lg_kpu_3460,C70)</f>
        <v>13341.3537888</v>
      </c>
      <c r="AH70" s="87" t="n">
        <f aca="false">INDEX(in_sup_requote,1,C70)</f>
        <v>0</v>
      </c>
      <c r="AI70" s="88" t="n">
        <f aca="false">Y70*q_price_3464*(1+AH70)*J70/I70</f>
        <v>4089.39493849337</v>
      </c>
      <c r="AJ70" s="88" t="n">
        <f aca="false">Z70*q_price_3463*(1+AH70)*J70/I70</f>
        <v>3862.07053366379</v>
      </c>
      <c r="AK70" s="88" t="n">
        <f aca="false">AA70*q_price_3460*(1+AH70)*J70/I70</f>
        <v>3373.20084585825</v>
      </c>
      <c r="AL70" s="88" t="n">
        <f aca="false">AI70+AJ70+AK70</f>
        <v>11324.6663180154</v>
      </c>
      <c r="AM70" s="88" t="n">
        <f aca="false">IF(OR(K70=2,K70=3),AL70*INDEX(in_sup_vat_rate,1,C70),0)</f>
        <v>1585.45328452216</v>
      </c>
      <c r="AN70" s="88" t="n">
        <f aca="false">IF(K70=3,AM70,0)</f>
        <v>0</v>
      </c>
      <c r="AO70" s="88" t="n">
        <f aca="false">INDEX(in_sup_tooling_egp,1,C70)/I70</f>
        <v>0</v>
      </c>
      <c r="AP70" s="88" t="n">
        <f aca="false">IF(F70=4,INDEX(in_ori_lcl_truck,1,C70)*V70/I70+INDEX(in_ori_lcl_cfs_o,1,C70),G70*(IF(F70=1,INDEX(in_ori_truck_20,1,C70),INDEX(in_ori_truck_40,1,C70))*V70/I70+INDEX(in_ori_terminal,1,C70)+IF(F70=1,INDEX(in_ori_othc_20,1,C70),INDEX(in_ori_othc_40,1,C70))*(1-INDEX(in_ori_othc_in_freight,1,C70))+INDEX(in_ori_seal,1,C70)+INDEX(in_ori_inspection,1,C70)+INDEX(in_ori_dd_days,1,C70)*IF(F70=1,INDEX(in_ori_dd_20,1,C70),INDEX(in_ori_dd_40,1,C70))+INDEX(in_ori_loading_egp,1,C70)/I70))</f>
        <v>555.278125165799</v>
      </c>
      <c r="AQ70" s="88" t="n">
        <f aca="false">(INDEX(in_ori_clearance,1,C70)+INDEX(in_ori_coo,1,C70))/I70+INDEX(in_ori_bl_fee,1,C70)+INDEX(in_ori_fwd_fee,1,C70)+INDEX(in_ori_qc,1,C70)+INDEX(in_ori_wires,1,C70)*INDEX(in_ori_wire_fee,1,C70)</f>
        <v>817.639062582899</v>
      </c>
      <c r="AR70" s="88" t="n">
        <f aca="false">AP70+AQ70</f>
        <v>1372.9171877487</v>
      </c>
      <c r="AS70" s="85" t="n">
        <f aca="false">INDEX(tbl_port_diff,H70,C70)</f>
        <v>0</v>
      </c>
      <c r="AT70" s="88" t="n">
        <f aca="false">IF(F70=4,MAX(AF70*INDEX(in_oce_lcl_factor,1,C70),AG70/1000,1)*INDEX(in_oce_lcl_rate,1,C70)*M70,G70*(INDEX(tbl_ocean_rate,MIN(F70,3),C70)+AS70)*M70)</f>
        <v>4000</v>
      </c>
      <c r="AU70" s="88" t="n">
        <f aca="false">AT70+INDEX(in_oce_ams,1,C70)</f>
        <v>4035</v>
      </c>
      <c r="AV70" s="88" t="n">
        <f aca="false">AI70*(1+IF(K70=3,INDEX(in_sup_vat_rate,1,C70),0))+AO70*Y70/AB70</f>
        <v>4089.39493849337</v>
      </c>
      <c r="AW70" s="88" t="n">
        <f aca="false">AJ70*(1+IF(K70=3,INDEX(in_sup_vat_rate,1,C70),0))+AO70*Z70/AB70</f>
        <v>3862.07053366379</v>
      </c>
      <c r="AX70" s="88" t="n">
        <f aca="false">AK70*(1+IF(K70=3,INDEX(in_sup_vat_rate,1,C70),0))+AO70*AA70/AB70</f>
        <v>3373.20084585825</v>
      </c>
      <c r="AY70" s="88" t="n">
        <f aca="false">AV70+AW70+AX70</f>
        <v>11324.6663180154</v>
      </c>
      <c r="AZ70" s="88" t="n">
        <f aca="false">MAX(INDEX(in_oce_ins_min,1,C70),INDEX(in_oce_ins_rate,1,C70)*(1+INDEX(in_oce_ins_uplift,1,C70))*(AL70+AO70+AR70+AU70))*(1-INDEX(in_oce_ins_in_other,1,C70))</f>
        <v>75</v>
      </c>
      <c r="BA70" s="87" t="n">
        <f aca="false">INDEX(in_cus_mfn,1,C70)+L70</f>
        <v>0.125</v>
      </c>
      <c r="BB70" s="88" t="n">
        <f aca="false">AY70*BA70</f>
        <v>1415.58328975193</v>
      </c>
      <c r="BC70" s="88" t="n">
        <f aca="false">MIN(MAX(AY70*INDEX(in_cus_mpf_rate,1,C70),INDEX(in_cus_mpf_min,1,C70)),INDEX(in_cus_mpf_max,1,C70))</f>
        <v>39.2286441256054</v>
      </c>
      <c r="BD70" s="88" t="n">
        <f aca="false">AY70*INDEX(in_cus_hmf,1,C70)</f>
        <v>14.1558328975193</v>
      </c>
      <c r="BE70" s="88" t="n">
        <f aca="false">MAX(INDEX(in_cus_stb_min,1,C70),INDEX(in_cus_stb_rate,1,C70)/1000*(AY70+BB70+BC70+BD70))</f>
        <v>76.7618045087428</v>
      </c>
      <c r="BF70" s="88" t="n">
        <f aca="false">INDEX(in_cus_broker,1,C70)+INDEX(in_cus_isf,1,C70)+INDEX(in_cus_do_fee,1,C70)+BE70+INDEX(in_cus_isf_bond,1,C70)</f>
        <v>511.761804508743</v>
      </c>
      <c r="BG70" s="88" t="n">
        <f aca="false">IF(H70=1,INDEX(in_cus_cfc,1,C70)*INDEX(ct_teu,F70)*G70*(1-INDEX(in_cus_cfc_in_freight,1,C70)),0)</f>
        <v>29.6</v>
      </c>
      <c r="BH70" s="88" t="n">
        <f aca="false">IF(F70=4,1,G70)*(INDEX(in_cus_exam,1,C70)+INDEX(in_cus_exam_dray,1,C70))</f>
        <v>0</v>
      </c>
      <c r="BI70" s="88" t="n">
        <f aca="false">IF(F70=4,1,G70)*INDEX(in_cus_dem_days,1,C70)*INDEX(in_cus_dem_rate,1,C70)</f>
        <v>0</v>
      </c>
      <c r="BJ70" s="88" t="n">
        <f aca="false">BG70+BH70+BI70</f>
        <v>29.6</v>
      </c>
      <c r="BK70" s="88" t="n">
        <f aca="false">IF(F70=4,(INDEX(in_dra_lcl_cfs_d,1,C70)+INDEX(in_dra_lcl_deliv,1,C70))*P70,G70*(INDEX(tbl_dest_line,E70,C70)*P70*(1+INDEX(in_dra_fsc,1,C70))+INDEX(tbl_dest_tolls,E70,C70)+INDEX(in_dra_chassis_days,1,C70)*INDEX(tbl_dest_chassis,E70,C70)*(1-INDEX(in_dra_chassis_in_dray,1,C70))+INDEX(in_dra_wait_hours,1,C70)*INDEX(in_dra_wait_rate,1,C70)+INDEX(in_dra_split,1,C70)+INDEX(in_dra_prepull,1,C70)+INDEX(in_dra_dryrun,1,C70)))</f>
        <v>1060</v>
      </c>
      <c r="BL70" s="88" t="n">
        <f aca="false">IF(F70=4,0,G70*IF(F70=1,INDEX(in_dra_unload_20,1,C70),INDEX(in_dra_unload_40,1,C70))*Q70*(1-INDEX(in_dra_unload_in_dray,1,C70)))</f>
        <v>450</v>
      </c>
      <c r="BM70" s="88" t="n">
        <f aca="false">AL70+AN70+AO70+AR70+AU70+AZ70+BB70+BC70+BD70+BF70+BJ70+BK70+BL70</f>
        <v>20327.9130770479</v>
      </c>
      <c r="BN70" s="88" t="n">
        <f aca="false">AP70+AU70+BJ70+BK70+BL70</f>
        <v>6129.8781251658</v>
      </c>
      <c r="BO70" s="88" t="n">
        <f aca="false">AQ70+BF70</f>
        <v>1329.40086709164</v>
      </c>
      <c r="BP70" s="88" t="n">
        <f aca="false">AI70*(1+IF(K70=3,INDEX(in_sup_vat_rate,1,C70),0))+AO70*Y70/AB70+AV70*BA70+(BC70+BD70)*AV70/AY70+AZ70*AI70/AL70+BN70*AC70/AF70+BO70*Y70/AB70</f>
        <v>7118.15127339316</v>
      </c>
      <c r="BQ70" s="88" t="n">
        <f aca="false">AJ70*(1+IF(K70=3,INDEX(in_sup_vat_rate,1,C70),0))+AO70*Z70/AB70+AW70*BA70+(BC70+BD70)*AW70/AY70+AZ70*AJ70/AL70+BN70*AD70/AF70+BO70*Z70/AB70</f>
        <v>7312.78086621743</v>
      </c>
      <c r="BR70" s="88" t="n">
        <f aca="false">AK70*(1+IF(K70=3,INDEX(in_sup_vat_rate,1,C70),0))+AO70*AA70/AB70+AX70*BA70+(BC70+BD70)*AX70/AY70+AZ70*AK70/AL70+BN70*AE70/AF70+BO70*AA70/AB70</f>
        <v>5896.98093743733</v>
      </c>
      <c r="BS70" s="89" t="n">
        <f aca="false">BP70+BQ70+BR70-BM70</f>
        <v>0</v>
      </c>
      <c r="BT70" s="85" t="n">
        <f aca="false">Y70*(1-R70)</f>
        <v>25413</v>
      </c>
      <c r="BU70" s="85" t="n">
        <f aca="false">Z70*(1-R70)</f>
        <v>25413</v>
      </c>
      <c r="BV70" s="85" t="n">
        <f aca="false">AA70*(1-R70)</f>
        <v>25413</v>
      </c>
      <c r="BW70" s="85" t="n">
        <f aca="false">BT70+BU70+BV70</f>
        <v>76239</v>
      </c>
      <c r="BX70" s="90" t="n">
        <f aca="false">IF(BT70&gt;0,BP70/BT70,0)</f>
        <v>0.280098818454852</v>
      </c>
      <c r="BY70" s="90" t="n">
        <f aca="false">IF(BU70&gt;0,BQ70/BU70,0)</f>
        <v>0.28775748106156</v>
      </c>
      <c r="BZ70" s="90" t="n">
        <f aca="false">IF(BV70&gt;0,BR70/BV70,0)</f>
        <v>0.232045840217106</v>
      </c>
      <c r="CA70" s="90" t="n">
        <f aca="false">INDEX(in_mkt_listing_3464,1,C70)*(1-IF(sku_flute_3464="B",T70,0))*(1-S70)*N70</f>
        <v>0.234</v>
      </c>
      <c r="CB70" s="90" t="n">
        <f aca="false">INDEX(in_mkt_listing_3463,1,C70)*(1-IF(sku_flute_3463="B",T70,0))*(1-S70)*N70</f>
        <v>0.27</v>
      </c>
      <c r="CC70" s="90" t="n">
        <f aca="false">INDEX(in_mkt_listing_3460,1,C70)*(1-IF(sku_flute_3460="B",T70,0))*(1-S70)*N70</f>
        <v>0.225</v>
      </c>
      <c r="CD70" s="88" t="n">
        <f aca="false">BT70*CA70+BU70*CB70+BV70*CC70</f>
        <v>18526.077</v>
      </c>
      <c r="CE70" s="88" t="n">
        <f aca="false">CD70-BM70</f>
        <v>-1801.83607704791</v>
      </c>
      <c r="CF70" s="87" t="n">
        <f aca="false">IF(CD70&gt;0,CE70/CD70,0)</f>
        <v>-0.0972594509376113</v>
      </c>
      <c r="CG70" s="87" t="n">
        <f aca="false">W70+INDEX(in_sel_processing,1,C70)+INDEX(in_sel_bad_debt,1,C70)</f>
        <v>0.058</v>
      </c>
      <c r="CH70" s="88" t="n">
        <f aca="false">CD70*CG70</f>
        <v>1074.512466</v>
      </c>
      <c r="CI70" s="88" t="n">
        <f aca="false">INDEX(in_sel_testing,1,C70)*X70+INDEX(in_sel_admin,1,C70)</f>
        <v>3000</v>
      </c>
      <c r="CJ70" s="79" t="n">
        <f aca="false">INDEX(in_sup_lead_days,1,C70)</f>
        <v>21</v>
      </c>
      <c r="CK70" s="79" t="n">
        <f aca="false">CJ70+INDEX(in_oce_transit,1,C70)+IF(F70=4,INDEX(in_oce_lcl_extra_days,1,C70),0)</f>
        <v>51</v>
      </c>
      <c r="CL70" s="79" t="n">
        <f aca="false">CK70+2+INDEX(in_cus_dem_days,1,C70)</f>
        <v>53</v>
      </c>
      <c r="CM70" s="79" t="n">
        <f aca="false">CL70+U70</f>
        <v>98</v>
      </c>
      <c r="CN70" s="79" t="n">
        <f aca="false">CJ70+INDEX(in_sup_vat_lag,1,C70)</f>
        <v>81</v>
      </c>
      <c r="CO70" s="91" t="n">
        <f aca="false">INDEX(in_sup_advance,1,C70)</f>
        <v>0.5</v>
      </c>
      <c r="CP70" s="88" t="n">
        <f aca="false">CO70*(AL70+AM70)+AO70+INDEX(in_sel_testing,1,C70)*X70</f>
        <v>8955.05980126879</v>
      </c>
      <c r="CQ70" s="88" t="n">
        <f aca="false">(1-CO70)*(AL70+AM70)+AR70+AU70+AZ70</f>
        <v>11937.9769890175</v>
      </c>
      <c r="CR70" s="88" t="n">
        <f aca="false">BB70+BC70+BD70+BF70+BJ70</f>
        <v>2010.32957128379</v>
      </c>
      <c r="CS70" s="88" t="n">
        <f aca="false">BK70+BL70</f>
        <v>1510</v>
      </c>
      <c r="CT70" s="88" t="n">
        <f aca="false">IF(K70=2,AM70,0)</f>
        <v>1585.45328452216</v>
      </c>
      <c r="CU70" s="85" t="n">
        <f aca="false">IF(K70=2,CO70*AM70*(CN70-0)+(1-CO70)*AM70*(CN70-CJ70),0)</f>
        <v>111774.456558812</v>
      </c>
      <c r="CV70" s="85" t="n">
        <f aca="false">(CP70-CO70*CT70)*(CM70-0)+(CQ70-(1-CO70)*CT70)*(CM70-CJ70)+CR70*(CM70-CK70)+CS70*(CM70-CL70)</f>
        <v>1820528.41613334</v>
      </c>
      <c r="CW70" s="88" t="n">
        <f aca="false">INDEX(in_sel_fin_rate,1,C70)/365*(CU70+CV70)</f>
        <v>529.398047312918</v>
      </c>
      <c r="CX70" s="85" t="n">
        <f aca="false">CP70-IF(CN70&lt;=0,CT70,0)</f>
        <v>8955.05980126879</v>
      </c>
      <c r="CY70" s="85" t="n">
        <f aca="false">CP70+CQ70-IF(CN70&lt;=CJ70,CT70,0)</f>
        <v>20893.0367902863</v>
      </c>
      <c r="CZ70" s="85" t="n">
        <f aca="false">CP70+CQ70+CR70-IF(CN70&lt;=CK70,CT70,0)</f>
        <v>22903.3663615701</v>
      </c>
      <c r="DA70" s="85" t="n">
        <f aca="false">CP70+CQ70+CR70+CS70-IF(CN70&lt;=CL70,CT70,0)</f>
        <v>24413.3663615701</v>
      </c>
      <c r="DB70" s="88" t="n">
        <f aca="false">MAX(CX70,CY70,CZ70,DA70)</f>
        <v>24413.3663615701</v>
      </c>
      <c r="DC70" s="88" t="n">
        <f aca="false">CP70+CQ70+CR70+CS70</f>
        <v>24413.3663615701</v>
      </c>
      <c r="DD70" s="88" t="n">
        <f aca="false">CE70-CH70-CI70-CW70</f>
        <v>-6405.74659036083</v>
      </c>
      <c r="DE70" s="87" t="n">
        <f aca="false">IF(CD70&gt;0,DD70/CD70,0)</f>
        <v>-0.345769187419486</v>
      </c>
      <c r="DF70" s="86" t="n">
        <f aca="false">IF(CD70&gt;0,(BM70+CI70+CW70)/(CD70*(1-CG70)),0)</f>
        <v>1.367058585371</v>
      </c>
      <c r="DG70" s="90" t="n">
        <f aca="false">IF(BW70&gt;0,BM70/BW70,0)</f>
        <v>0.26663404657784</v>
      </c>
      <c r="DH70" s="90" t="n">
        <f aca="false">IF(BW70&gt;0,CD70/BW70,0)</f>
        <v>0.243</v>
      </c>
      <c r="DI70" s="90" t="n">
        <f aca="false">IF(AI70&gt;0,(AI70*IF(K70=3,INDEX(in_sup_vat_rate,1,C70),0)+AV70*BA70+(BC70+BD70)*AV70/AY70+AZ70*AI70/AL70)/AI70,0)</f>
        <v>0.136336711689146</v>
      </c>
      <c r="DJ70" s="90" t="n">
        <f aca="false">IF(AJ70&gt;0,(AJ70*IF(K70=3,INDEX(in_sup_vat_rate,1,C70),0)+AW70*BA70+(BC70+BD70)*AW70/AY70+AZ70*AJ70/AL70)/AJ70,0)</f>
        <v>0.136336711689146</v>
      </c>
      <c r="DK70" s="90" t="n">
        <f aca="false">IF(AK70&gt;0,(AK70*IF(K70=3,INDEX(in_sup_vat_rate,1,C70),0)+AX70*BA70+(BC70+BD70)*AX70/AY70+AZ70*AK70/AL70)/AK70,0)</f>
        <v>0.136336711689146</v>
      </c>
      <c r="DL70" s="90" t="n">
        <f aca="false">IF(Y70&gt;0,(BP70-AI70*(1+DI70))/Y70,0)</f>
        <v>0.0957837858987348</v>
      </c>
      <c r="DM70" s="90" t="n">
        <f aca="false">IF(Z70&gt;0,(BQ70-AJ70*(1+DJ70))/Z70,0)</f>
        <v>0.113339857972185</v>
      </c>
      <c r="DN70" s="90" t="n">
        <f aca="false">IF(AA70&gt;0,(BR70-AK70*(1+DK70))/AA70,0)</f>
        <v>0.0799956969142526</v>
      </c>
      <c r="DO70" s="86" t="n">
        <f aca="false">IF(Y70&gt;0,(CA70*(1-thr_gm_go)*(1-R70)-DL70)/(1+DI70)*I70/((1+AH70)*J70),"")</f>
        <v>3.57999310688847</v>
      </c>
      <c r="DP70" s="86" t="n">
        <f aca="false">IF(Z70&gt;0,(CB70*(1-thr_gm_go)*(1-R70)-DM70)/(1+DJ70)*I70/((1+AH70)*J70),"")</f>
        <v>3.99978735328661</v>
      </c>
      <c r="DQ70" s="86" t="n">
        <f aca="false">IF(AA70&gt;0,(CC70*(1-thr_gm_go)*(1-R70)-DN70)/(1+DK70)*I70/((1+AH70)*J70),"")</f>
        <v>4.00445073645962</v>
      </c>
      <c r="DR70" s="92" t="n">
        <f aca="false">IF(AND(AY70*INDEX(in_cus_mpf_rate,1,C70)&gt;INDEX(in_cus_mpf_min,1,C70),AY70*INDEX(in_cus_mpf_rate,1,C70)&lt;INDEX(in_cus_mpf_max,1,C70)),INDEX(in_cus_mpf_rate,1,C70),0)</f>
        <v>0.003464</v>
      </c>
      <c r="DS70" s="88" t="n">
        <f aca="false">IF(AZ70&gt;INDEX(in_oce_ins_min,1,C70),INDEX(in_oce_ins_rate,1,C70)*(1+INDEX(in_oce_ins_uplift,1,C70))*AL70,0)</f>
        <v>0</v>
      </c>
      <c r="DT70" s="88" t="n">
        <f aca="false">(AL70+AN70)*(1+BA70+INDEX(in_cus_hmf,1,C70)+DR70)+DS70</f>
        <v>12793.6340847905</v>
      </c>
      <c r="DU70" s="86" t="n">
        <f aca="false">IF(DT70&gt;0,(CD70*(1-thr_gm_go)-(BM70-DT70))/DT70,0)</f>
        <v>0.497144026129674</v>
      </c>
      <c r="DV70" s="86" t="n">
        <f aca="false">IF(DT70&gt;0,(CD70-(BM70-DT70))/DT70,0)</f>
        <v>0.859161512271951</v>
      </c>
      <c r="DW70" s="87" t="n">
        <f aca="false">(1+AH70)*J70*DU70-1</f>
        <v>-0.502855973870326</v>
      </c>
      <c r="DX70" s="87" t="n">
        <f aca="false">(1+AH70)*J70*DV70-1</f>
        <v>-0.140838487728049</v>
      </c>
      <c r="DY70" s="85" t="n">
        <f aca="false">IF(G70&gt;0,(CD70*(1-thr_gm_go)-(BM70-AT70))/G70,"")</f>
        <v>-2433.35532704791</v>
      </c>
      <c r="DZ70" s="90" t="n">
        <f aca="false">IF(AB70&gt;0,(AL70+AN70+BB70+BC70+BD70)/AB70,0)</f>
        <v>0.165292430036053</v>
      </c>
      <c r="EA70" s="88" t="n">
        <f aca="false">BM70-DZ70*AB70</f>
        <v>7534.27899225744</v>
      </c>
      <c r="EB70" s="90" t="n">
        <f aca="false">IF(AB70&gt;0,CD70/AB70,0)</f>
        <v>0.239355</v>
      </c>
      <c r="EC70" s="85" t="n">
        <f aca="false">IF(EB70*(1-thr_gm_go)-DZ70&gt;0,EA70/(EB70*(1-thr_gm_go)-DZ70),"n/a")</f>
        <v>529694.485121035</v>
      </c>
      <c r="ED70" s="85" t="n">
        <f aca="false">IF(EB70-DZ70&gt;0,EA70/(EB70-DZ70),"n/a")</f>
        <v>101728.565399837</v>
      </c>
      <c r="EE70" s="93" t="b">
        <f aca="false">INDEX(cfg_fits,D70,C70)</f>
        <v>1</v>
      </c>
      <c r="EF70" s="87" t="n">
        <f aca="false">IF(F70=4,"",INDEX(cfg_lenutil,D70,C70))</f>
        <v>0.999580888516345</v>
      </c>
      <c r="EG70" s="31" t="str">
        <f aca="false">IF(O70&gt;1,"Check fit (units scaled up)","")</f>
        <v/>
      </c>
    </row>
    <row r="71" customFormat="false" ht="15" hidden="false" customHeight="false" outlineLevel="0" collapsed="false">
      <c r="A71" s="78" t="n">
        <v>2042</v>
      </c>
      <c r="B71" s="9" t="s">
        <v>3219</v>
      </c>
      <c r="C71" s="78" t="n">
        <v>2</v>
      </c>
      <c r="D71" s="78" t="n">
        <v>4</v>
      </c>
      <c r="E71" s="78" t="n">
        <v>2</v>
      </c>
      <c r="F71" s="79" t="n">
        <f aca="false">INDEX(cfg_ct,D71)</f>
        <v>3</v>
      </c>
      <c r="G71" s="79" t="n">
        <f aca="false">INDEX(cfg_n,D71)</f>
        <v>1</v>
      </c>
      <c r="H71" s="79" t="n">
        <f aca="false">INDEX(dest_port,E71)</f>
        <v>1</v>
      </c>
      <c r="I71" s="80" t="n">
        <f aca="false">INDEX(in_fx_cbe,1,C71)*(1-INDEX(in_fx_spread,1,C71))</f>
        <v>52.7748</v>
      </c>
      <c r="J71" s="81" t="n">
        <f aca="false">1</f>
        <v>1</v>
      </c>
      <c r="K71" s="82" t="n">
        <f aca="false">INDEX(in_sup_vat_mode,1,C71)</f>
        <v>2</v>
      </c>
      <c r="L71" s="83" t="n">
        <f aca="false">INDEX(in_cus_s301,1,C71)</f>
        <v>0.125</v>
      </c>
      <c r="M71" s="84" t="n">
        <f aca="false">1</f>
        <v>1</v>
      </c>
      <c r="N71" s="81" t="n">
        <f aca="false">1</f>
        <v>1</v>
      </c>
      <c r="O71" s="81" t="n">
        <f aca="false">1</f>
        <v>1</v>
      </c>
      <c r="P71" s="81" t="n">
        <f aca="false">1</f>
        <v>1</v>
      </c>
      <c r="Q71" s="81" t="n">
        <f aca="false">1</f>
        <v>1</v>
      </c>
      <c r="R71" s="83" t="n">
        <f aca="false">INDEX(in_sel_damage,1,C71)</f>
        <v>0.015</v>
      </c>
      <c r="S71" s="83" t="n">
        <f aca="false">INDEX(in_mkt_dist_margin,1,C71)</f>
        <v>0.25</v>
      </c>
      <c r="T71" s="83" t="n">
        <f aca="false">INDEX(in_mkt_eflute_disc,1,C71)</f>
        <v>0.2</v>
      </c>
      <c r="U71" s="82" t="n">
        <f aca="false">INDEX(in_sel_credit_days,1,C71)</f>
        <v>45</v>
      </c>
      <c r="V71" s="81" t="n">
        <f aca="false">1</f>
        <v>1</v>
      </c>
      <c r="W71" s="83" t="n">
        <f aca="false">INDEX(in_sel_commission,1,C71)</f>
        <v>0.05</v>
      </c>
      <c r="X71" s="82" t="n">
        <f aca="false">1</f>
        <v>1</v>
      </c>
      <c r="Y71" s="85" t="n">
        <f aca="false">INDEX(cfg_u_3464,D71,C71)*O71</f>
        <v>25800</v>
      </c>
      <c r="Z71" s="85" t="n">
        <f aca="false">INDEX(cfg_u_3463,D71,C71)*O71</f>
        <v>25800</v>
      </c>
      <c r="AA71" s="85" t="n">
        <f aca="false">INDEX(cfg_u_3460,D71,C71)*O71</f>
        <v>25800</v>
      </c>
      <c r="AB71" s="85" t="n">
        <f aca="false">Y71+Z71+AA71</f>
        <v>77400</v>
      </c>
      <c r="AC71" s="86" t="n">
        <f aca="false">Y71*INDEX(lg_vpu_3464,C71)</f>
        <v>18.3539136</v>
      </c>
      <c r="AD71" s="86" t="n">
        <f aca="false">Z71*INDEX(lg_vpu_3463,C71)</f>
        <v>22.4530176</v>
      </c>
      <c r="AE71" s="86" t="n">
        <f aca="false">AA71*INDEX(lg_vpu_3460,C71)</f>
        <v>14.6676096</v>
      </c>
      <c r="AF71" s="86" t="n">
        <f aca="false">AC71+AD71+AE71</f>
        <v>55.4745408</v>
      </c>
      <c r="AG71" s="85" t="n">
        <f aca="false">Y71*INDEX(lg_kpu_3464,C71)+Z71*INDEX(lg_kpu_3463,C71)+AA71*INDEX(lg_kpu_3460,C71)</f>
        <v>13341.3537888</v>
      </c>
      <c r="AH71" s="87" t="n">
        <f aca="false">INDEX(in_sup_requote,1,C71)</f>
        <v>0</v>
      </c>
      <c r="AI71" s="88" t="n">
        <f aca="false">Y71*q_price_3464*(1+AH71)*J71/I71</f>
        <v>4089.39493849337</v>
      </c>
      <c r="AJ71" s="88" t="n">
        <f aca="false">Z71*q_price_3463*(1+AH71)*J71/I71</f>
        <v>3862.07053366379</v>
      </c>
      <c r="AK71" s="88" t="n">
        <f aca="false">AA71*q_price_3460*(1+AH71)*J71/I71</f>
        <v>3373.20084585825</v>
      </c>
      <c r="AL71" s="88" t="n">
        <f aca="false">AI71+AJ71+AK71</f>
        <v>11324.6663180154</v>
      </c>
      <c r="AM71" s="88" t="n">
        <f aca="false">IF(OR(K71=2,K71=3),AL71*INDEX(in_sup_vat_rate,1,C71),0)</f>
        <v>1585.45328452216</v>
      </c>
      <c r="AN71" s="88" t="n">
        <f aca="false">IF(K71=3,AM71,0)</f>
        <v>0</v>
      </c>
      <c r="AO71" s="88" t="n">
        <f aca="false">INDEX(in_sup_tooling_egp,1,C71)/I71</f>
        <v>0</v>
      </c>
      <c r="AP71" s="88" t="n">
        <f aca="false">IF(F71=4,INDEX(in_ori_lcl_truck,1,C71)*V71/I71+INDEX(in_ori_lcl_cfs_o,1,C71),G71*(IF(F71=1,INDEX(in_ori_truck_20,1,C71),INDEX(in_ori_truck_40,1,C71))*V71/I71+INDEX(in_ori_terminal,1,C71)+IF(F71=1,INDEX(in_ori_othc_20,1,C71),INDEX(in_ori_othc_40,1,C71))*(1-INDEX(in_ori_othc_in_freight,1,C71))+INDEX(in_ori_seal,1,C71)+INDEX(in_ori_inspection,1,C71)+INDEX(in_ori_dd_days,1,C71)*IF(F71=1,INDEX(in_ori_dd_20,1,C71),INDEX(in_ori_dd_40,1,C71))+INDEX(in_ori_loading_egp,1,C71)/I71))</f>
        <v>555.278125165799</v>
      </c>
      <c r="AQ71" s="88" t="n">
        <f aca="false">(INDEX(in_ori_clearance,1,C71)+INDEX(in_ori_coo,1,C71))/I71+INDEX(in_ori_bl_fee,1,C71)+INDEX(in_ori_fwd_fee,1,C71)+INDEX(in_ori_qc,1,C71)+INDEX(in_ori_wires,1,C71)*INDEX(in_ori_wire_fee,1,C71)</f>
        <v>817.639062582899</v>
      </c>
      <c r="AR71" s="88" t="n">
        <f aca="false">AP71+AQ71</f>
        <v>1372.9171877487</v>
      </c>
      <c r="AS71" s="85" t="n">
        <f aca="false">INDEX(tbl_port_diff,H71,C71)</f>
        <v>0</v>
      </c>
      <c r="AT71" s="88" t="n">
        <f aca="false">IF(F71=4,MAX(AF71*INDEX(in_oce_lcl_factor,1,C71),AG71/1000,1)*INDEX(in_oce_lcl_rate,1,C71)*M71,G71*(INDEX(tbl_ocean_rate,MIN(F71,3),C71)+AS71)*M71)</f>
        <v>4000</v>
      </c>
      <c r="AU71" s="88" t="n">
        <f aca="false">AT71+INDEX(in_oce_ams,1,C71)</f>
        <v>4035</v>
      </c>
      <c r="AV71" s="88" t="n">
        <f aca="false">AI71*(1+IF(K71=3,INDEX(in_sup_vat_rate,1,C71),0))+AO71*Y71/AB71</f>
        <v>4089.39493849337</v>
      </c>
      <c r="AW71" s="88" t="n">
        <f aca="false">AJ71*(1+IF(K71=3,INDEX(in_sup_vat_rate,1,C71),0))+AO71*Z71/AB71</f>
        <v>3862.07053366379</v>
      </c>
      <c r="AX71" s="88" t="n">
        <f aca="false">AK71*(1+IF(K71=3,INDEX(in_sup_vat_rate,1,C71),0))+AO71*AA71/AB71</f>
        <v>3373.20084585825</v>
      </c>
      <c r="AY71" s="88" t="n">
        <f aca="false">AV71+AW71+AX71</f>
        <v>11324.6663180154</v>
      </c>
      <c r="AZ71" s="88" t="n">
        <f aca="false">MAX(INDEX(in_oce_ins_min,1,C71),INDEX(in_oce_ins_rate,1,C71)*(1+INDEX(in_oce_ins_uplift,1,C71))*(AL71+AO71+AR71+AU71))*(1-INDEX(in_oce_ins_in_other,1,C71))</f>
        <v>75</v>
      </c>
      <c r="BA71" s="87" t="n">
        <f aca="false">INDEX(in_cus_mfn,1,C71)+L71</f>
        <v>0.125</v>
      </c>
      <c r="BB71" s="88" t="n">
        <f aca="false">AY71*BA71</f>
        <v>1415.58328975193</v>
      </c>
      <c r="BC71" s="88" t="n">
        <f aca="false">MIN(MAX(AY71*INDEX(in_cus_mpf_rate,1,C71),INDEX(in_cus_mpf_min,1,C71)),INDEX(in_cus_mpf_max,1,C71))</f>
        <v>39.2286441256054</v>
      </c>
      <c r="BD71" s="88" t="n">
        <f aca="false">AY71*INDEX(in_cus_hmf,1,C71)</f>
        <v>14.1558328975193</v>
      </c>
      <c r="BE71" s="88" t="n">
        <f aca="false">MAX(INDEX(in_cus_stb_min,1,C71),INDEX(in_cus_stb_rate,1,C71)/1000*(AY71+BB71+BC71+BD71))</f>
        <v>76.7618045087428</v>
      </c>
      <c r="BF71" s="88" t="n">
        <f aca="false">INDEX(in_cus_broker,1,C71)+INDEX(in_cus_isf,1,C71)+INDEX(in_cus_do_fee,1,C71)+BE71+INDEX(in_cus_isf_bond,1,C71)</f>
        <v>511.761804508743</v>
      </c>
      <c r="BG71" s="88" t="n">
        <f aca="false">IF(H71=1,INDEX(in_cus_cfc,1,C71)*INDEX(ct_teu,F71)*G71*(1-INDEX(in_cus_cfc_in_freight,1,C71)),0)</f>
        <v>29.6</v>
      </c>
      <c r="BH71" s="88" t="n">
        <f aca="false">IF(F71=4,1,G71)*(INDEX(in_cus_exam,1,C71)+INDEX(in_cus_exam_dray,1,C71))</f>
        <v>0</v>
      </c>
      <c r="BI71" s="88" t="n">
        <f aca="false">IF(F71=4,1,G71)*INDEX(in_cus_dem_days,1,C71)*INDEX(in_cus_dem_rate,1,C71)</f>
        <v>0</v>
      </c>
      <c r="BJ71" s="88" t="n">
        <f aca="false">BG71+BH71+BI71</f>
        <v>29.6</v>
      </c>
      <c r="BK71" s="88" t="n">
        <f aca="false">IF(F71=4,(INDEX(in_dra_lcl_cfs_d,1,C71)+INDEX(in_dra_lcl_deliv,1,C71))*P71,G71*(INDEX(tbl_dest_line,E71,C71)*P71*(1+INDEX(in_dra_fsc,1,C71))+INDEX(tbl_dest_tolls,E71,C71)+INDEX(in_dra_chassis_days,1,C71)*INDEX(tbl_dest_chassis,E71,C71)*(1-INDEX(in_dra_chassis_in_dray,1,C71))+INDEX(in_dra_wait_hours,1,C71)*INDEX(in_dra_wait_rate,1,C71)+INDEX(in_dra_split,1,C71)+INDEX(in_dra_prepull,1,C71)+INDEX(in_dra_dryrun,1,C71)))</f>
        <v>1350</v>
      </c>
      <c r="BL71" s="88" t="n">
        <f aca="false">IF(F71=4,0,G71*IF(F71=1,INDEX(in_dra_unload_20,1,C71),INDEX(in_dra_unload_40,1,C71))*Q71*(1-INDEX(in_dra_unload_in_dray,1,C71)))</f>
        <v>450</v>
      </c>
      <c r="BM71" s="88" t="n">
        <f aca="false">AL71+AN71+AO71+AR71+AU71+AZ71+BB71+BC71+BD71+BF71+BJ71+BK71+BL71</f>
        <v>20617.9130770479</v>
      </c>
      <c r="BN71" s="88" t="n">
        <f aca="false">AP71+AU71+BJ71+BK71+BL71</f>
        <v>6419.8781251658</v>
      </c>
      <c r="BO71" s="88" t="n">
        <f aca="false">AQ71+BF71</f>
        <v>1329.40086709164</v>
      </c>
      <c r="BP71" s="88" t="n">
        <f aca="false">AI71*(1+IF(K71=3,INDEX(in_sup_vat_rate,1,C71),0))+AO71*Y71/AB71+AV71*BA71+(BC71+BD71)*AV71/AY71+AZ71*AI71/AL71+BN71*AC71/AF71+BO71*Y71/AB71</f>
        <v>7214.09861909881</v>
      </c>
      <c r="BQ71" s="88" t="n">
        <f aca="false">AJ71*(1+IF(K71=3,INDEX(in_sup_vat_rate,1,C71),0))+AO71*Z71/AB71+AW71*BA71+(BC71+BD71)*AW71/AY71+AZ71*AJ71/AL71+BN71*AD71/AF71+BO71*Z71/AB71</f>
        <v>7430.15678335166</v>
      </c>
      <c r="BR71" s="88" t="n">
        <f aca="false">AK71*(1+IF(K71=3,INDEX(in_sup_vat_rate,1,C71),0))+AO71*AA71/AB71+AX71*BA71+(BC71+BD71)*AX71/AY71+AZ71*AK71/AL71+BN71*AE71/AF71+BO71*AA71/AB71</f>
        <v>5973.65767459745</v>
      </c>
      <c r="BS71" s="89" t="n">
        <f aca="false">BP71+BQ71+BR71-BM71</f>
        <v>0</v>
      </c>
      <c r="BT71" s="85" t="n">
        <f aca="false">Y71*(1-R71)</f>
        <v>25413</v>
      </c>
      <c r="BU71" s="85" t="n">
        <f aca="false">Z71*(1-R71)</f>
        <v>25413</v>
      </c>
      <c r="BV71" s="85" t="n">
        <f aca="false">AA71*(1-R71)</f>
        <v>25413</v>
      </c>
      <c r="BW71" s="85" t="n">
        <f aca="false">BT71+BU71+BV71</f>
        <v>76239</v>
      </c>
      <c r="BX71" s="90" t="n">
        <f aca="false">IF(BT71&gt;0,BP71/BT71,0)</f>
        <v>0.28387434065631</v>
      </c>
      <c r="BY71" s="90" t="n">
        <f aca="false">IF(BU71&gt;0,BQ71/BU71,0)</f>
        <v>0.292376216241752</v>
      </c>
      <c r="BZ71" s="90" t="n">
        <f aca="false">IF(BV71&gt;0,BR71/BV71,0)</f>
        <v>0.235063065147659</v>
      </c>
      <c r="CA71" s="90" t="n">
        <f aca="false">INDEX(in_mkt_listing_3464,1,C71)*(1-IF(sku_flute_3464="B",T71,0))*(1-S71)*N71</f>
        <v>0.234</v>
      </c>
      <c r="CB71" s="90" t="n">
        <f aca="false">INDEX(in_mkt_listing_3463,1,C71)*(1-IF(sku_flute_3463="B",T71,0))*(1-S71)*N71</f>
        <v>0.27</v>
      </c>
      <c r="CC71" s="90" t="n">
        <f aca="false">INDEX(in_mkt_listing_3460,1,C71)*(1-IF(sku_flute_3460="B",T71,0))*(1-S71)*N71</f>
        <v>0.225</v>
      </c>
      <c r="CD71" s="88" t="n">
        <f aca="false">BT71*CA71+BU71*CB71+BV71*CC71</f>
        <v>18526.077</v>
      </c>
      <c r="CE71" s="88" t="n">
        <f aca="false">CD71-BM71</f>
        <v>-2091.83607704791</v>
      </c>
      <c r="CF71" s="87" t="n">
        <f aca="false">IF(CD71&gt;0,CE71/CD71,0)</f>
        <v>-0.112913061791113</v>
      </c>
      <c r="CG71" s="87" t="n">
        <f aca="false">W71+INDEX(in_sel_processing,1,C71)+INDEX(in_sel_bad_debt,1,C71)</f>
        <v>0.058</v>
      </c>
      <c r="CH71" s="88" t="n">
        <f aca="false">CD71*CG71</f>
        <v>1074.512466</v>
      </c>
      <c r="CI71" s="88" t="n">
        <f aca="false">INDEX(in_sel_testing,1,C71)*X71+INDEX(in_sel_admin,1,C71)</f>
        <v>3000</v>
      </c>
      <c r="CJ71" s="79" t="n">
        <f aca="false">INDEX(in_sup_lead_days,1,C71)</f>
        <v>21</v>
      </c>
      <c r="CK71" s="79" t="n">
        <f aca="false">CJ71+INDEX(in_oce_transit,1,C71)+IF(F71=4,INDEX(in_oce_lcl_extra_days,1,C71),0)</f>
        <v>51</v>
      </c>
      <c r="CL71" s="79" t="n">
        <f aca="false">CK71+2+INDEX(in_cus_dem_days,1,C71)</f>
        <v>53</v>
      </c>
      <c r="CM71" s="79" t="n">
        <f aca="false">CL71+U71</f>
        <v>98</v>
      </c>
      <c r="CN71" s="79" t="n">
        <f aca="false">CJ71+INDEX(in_sup_vat_lag,1,C71)</f>
        <v>81</v>
      </c>
      <c r="CO71" s="91" t="n">
        <f aca="false">INDEX(in_sup_advance,1,C71)</f>
        <v>0.5</v>
      </c>
      <c r="CP71" s="88" t="n">
        <f aca="false">CO71*(AL71+AM71)+AO71+INDEX(in_sel_testing,1,C71)*X71</f>
        <v>8955.05980126879</v>
      </c>
      <c r="CQ71" s="88" t="n">
        <f aca="false">(1-CO71)*(AL71+AM71)+AR71+AU71+AZ71</f>
        <v>11937.9769890175</v>
      </c>
      <c r="CR71" s="88" t="n">
        <f aca="false">BB71+BC71+BD71+BF71+BJ71</f>
        <v>2010.32957128379</v>
      </c>
      <c r="CS71" s="88" t="n">
        <f aca="false">BK71+BL71</f>
        <v>1800</v>
      </c>
      <c r="CT71" s="88" t="n">
        <f aca="false">IF(K71=2,AM71,0)</f>
        <v>1585.45328452216</v>
      </c>
      <c r="CU71" s="85" t="n">
        <f aca="false">IF(K71=2,CO71*AM71*(CN71-0)+(1-CO71)*AM71*(CN71-CJ71),0)</f>
        <v>111774.456558812</v>
      </c>
      <c r="CV71" s="85" t="n">
        <f aca="false">(CP71-CO71*CT71)*(CM71-0)+(CQ71-(1-CO71)*CT71)*(CM71-CJ71)+CR71*(CM71-CK71)+CS71*(CM71-CL71)</f>
        <v>1833578.41613334</v>
      </c>
      <c r="CW71" s="88" t="n">
        <f aca="false">INDEX(in_sel_fin_rate,1,C71)/365*(CU71+CV71)</f>
        <v>532.973389778671</v>
      </c>
      <c r="CX71" s="85" t="n">
        <f aca="false">CP71-IF(CN71&lt;=0,CT71,0)</f>
        <v>8955.05980126879</v>
      </c>
      <c r="CY71" s="85" t="n">
        <f aca="false">CP71+CQ71-IF(CN71&lt;=CJ71,CT71,0)</f>
        <v>20893.0367902863</v>
      </c>
      <c r="CZ71" s="85" t="n">
        <f aca="false">CP71+CQ71+CR71-IF(CN71&lt;=CK71,CT71,0)</f>
        <v>22903.3663615701</v>
      </c>
      <c r="DA71" s="85" t="n">
        <f aca="false">CP71+CQ71+CR71+CS71-IF(CN71&lt;=CL71,CT71,0)</f>
        <v>24703.3663615701</v>
      </c>
      <c r="DB71" s="88" t="n">
        <f aca="false">MAX(CX71,CY71,CZ71,DA71)</f>
        <v>24703.3663615701</v>
      </c>
      <c r="DC71" s="88" t="n">
        <f aca="false">CP71+CQ71+CR71+CS71</f>
        <v>24703.3663615701</v>
      </c>
      <c r="DD71" s="88" t="n">
        <f aca="false">CE71-CH71-CI71-CW71</f>
        <v>-6699.32193282658</v>
      </c>
      <c r="DE71" s="87" t="n">
        <f aca="false">IF(CD71&gt;0,DD71/CD71,0)</f>
        <v>-0.361615787995839</v>
      </c>
      <c r="DF71" s="86" t="n">
        <f aca="false">IF(CD71&gt;0,(BM71+CI71+CW71)/(CD71*(1-CG71)),0)</f>
        <v>1.38388087897647</v>
      </c>
      <c r="DG71" s="90" t="n">
        <f aca="false">IF(BW71&gt;0,BM71/BW71,0)</f>
        <v>0.27043787401524</v>
      </c>
      <c r="DH71" s="90" t="n">
        <f aca="false">IF(BW71&gt;0,CD71/BW71,0)</f>
        <v>0.243</v>
      </c>
      <c r="DI71" s="90" t="n">
        <f aca="false">IF(AI71&gt;0,(AI71*IF(K71=3,INDEX(in_sup_vat_rate,1,C71),0)+AV71*BA71+(BC71+BD71)*AV71/AY71+AZ71*AI71/AL71)/AI71,0)</f>
        <v>0.136336711689146</v>
      </c>
      <c r="DJ71" s="90" t="n">
        <f aca="false">IF(AJ71&gt;0,(AJ71*IF(K71=3,INDEX(in_sup_vat_rate,1,C71),0)+AW71*BA71+(BC71+BD71)*AW71/AY71+AZ71*AJ71/AL71)/AJ71,0)</f>
        <v>0.136336711689146</v>
      </c>
      <c r="DK71" s="90" t="n">
        <f aca="false">IF(AK71&gt;0,(AK71*IF(K71=3,INDEX(in_sup_vat_rate,1,C71),0)+AX71*BA71+(BC71+BD71)*AX71/AY71+AZ71*AK71/AL71)/AK71,0)</f>
        <v>0.136336711689146</v>
      </c>
      <c r="DL71" s="90" t="n">
        <f aca="false">IF(Y71&gt;0,(BP71-AI71*(1+DI71))/Y71,0)</f>
        <v>0.0995026752671711</v>
      </c>
      <c r="DM71" s="90" t="n">
        <f aca="false">IF(Z71&gt;0,(BQ71-AJ71*(1+DJ71))/Z71,0)</f>
        <v>0.117889312124674</v>
      </c>
      <c r="DN71" s="90" t="n">
        <f aca="false">IF(AA71&gt;0,(BR71-AK71*(1+DK71))/AA71,0)</f>
        <v>0.0829676634708464</v>
      </c>
      <c r="DO71" s="86" t="n">
        <f aca="false">IF(Y71&gt;0,(CA71*(1-thr_gm_go)*(1-R71)-DL71)/(1+DI71)*I71/((1+AH71)*J71),"")</f>
        <v>3.40727700907833</v>
      </c>
      <c r="DP71" s="86" t="n">
        <f aca="false">IF(Z71&gt;0,(CB71*(1-thr_gm_go)*(1-R71)-DM71)/(1+DJ71)*I71/((1+AH71)*J71),"")</f>
        <v>3.78849739799696</v>
      </c>
      <c r="DQ71" s="86" t="n">
        <f aca="false">IF(AA71&gt;0,(CC71*(1-thr_gm_go)*(1-R71)-DN71)/(1+DK71)*I71/((1+AH71)*J71),"")</f>
        <v>3.86642391833651</v>
      </c>
      <c r="DR71" s="92" t="n">
        <f aca="false">IF(AND(AY71*INDEX(in_cus_mpf_rate,1,C71)&gt;INDEX(in_cus_mpf_min,1,C71),AY71*INDEX(in_cus_mpf_rate,1,C71)&lt;INDEX(in_cus_mpf_max,1,C71)),INDEX(in_cus_mpf_rate,1,C71),0)</f>
        <v>0.003464</v>
      </c>
      <c r="DS71" s="88" t="n">
        <f aca="false">IF(AZ71&gt;INDEX(in_oce_ins_min,1,C71),INDEX(in_oce_ins_rate,1,C71)*(1+INDEX(in_oce_ins_uplift,1,C71))*AL71,0)</f>
        <v>0</v>
      </c>
      <c r="DT71" s="88" t="n">
        <f aca="false">(AL71+AN71)*(1+BA71+INDEX(in_cus_hmf,1,C71)+DR71)+DS71</f>
        <v>12793.6340847905</v>
      </c>
      <c r="DU71" s="86" t="n">
        <f aca="false">IF(DT71&gt;0,(CD71*(1-thr_gm_go)-(BM71-DT71))/DT71,0)</f>
        <v>0.474476502728738</v>
      </c>
      <c r="DV71" s="86" t="n">
        <f aca="false">IF(DT71&gt;0,(CD71-(BM71-DT71))/DT71,0)</f>
        <v>0.836493988871015</v>
      </c>
      <c r="DW71" s="87" t="n">
        <f aca="false">(1+AH71)*J71*DU71-1</f>
        <v>-0.525523497271262</v>
      </c>
      <c r="DX71" s="87" t="n">
        <f aca="false">(1+AH71)*J71*DV71-1</f>
        <v>-0.163506011128985</v>
      </c>
      <c r="DY71" s="85" t="n">
        <f aca="false">IF(G71&gt;0,(CD71*(1-thr_gm_go)-(BM71-AT71))/G71,"")</f>
        <v>-2723.35532704791</v>
      </c>
      <c r="DZ71" s="90" t="n">
        <f aca="false">IF(AB71&gt;0,(AL71+AN71+BB71+BC71+BD71)/AB71,0)</f>
        <v>0.165292430036053</v>
      </c>
      <c r="EA71" s="88" t="n">
        <f aca="false">BM71-DZ71*AB71</f>
        <v>7824.27899225744</v>
      </c>
      <c r="EB71" s="90" t="n">
        <f aca="false">IF(AB71&gt;0,CD71/AB71,0)</f>
        <v>0.239355</v>
      </c>
      <c r="EC71" s="85" t="n">
        <f aca="false">IF(EB71*(1-thr_gm_go)-DZ71&gt;0,EA71/(EB71*(1-thr_gm_go)-DZ71),"n/a")</f>
        <v>550082.819670759</v>
      </c>
      <c r="ED71" s="85" t="n">
        <f aca="false">IF(EB71-DZ71&gt;0,EA71/(EB71-DZ71),"n/a")</f>
        <v>105644.173515261</v>
      </c>
      <c r="EE71" s="93" t="b">
        <f aca="false">INDEX(cfg_fits,D71,C71)</f>
        <v>1</v>
      </c>
      <c r="EF71" s="87" t="n">
        <f aca="false">IF(F71=4,"",INDEX(cfg_lenutil,D71,C71))</f>
        <v>0.999580888516345</v>
      </c>
      <c r="EG71" s="31" t="str">
        <f aca="false">IF(O71&gt;1,"Check fit (units scaled up)","")</f>
        <v/>
      </c>
    </row>
    <row r="72" customFormat="false" ht="15" hidden="false" customHeight="false" outlineLevel="0" collapsed="false">
      <c r="A72" s="78" t="n">
        <v>2043</v>
      </c>
      <c r="B72" s="9" t="s">
        <v>3220</v>
      </c>
      <c r="C72" s="78" t="n">
        <v>2</v>
      </c>
      <c r="D72" s="78" t="n">
        <v>4</v>
      </c>
      <c r="E72" s="78" t="n">
        <v>3</v>
      </c>
      <c r="F72" s="79" t="n">
        <f aca="false">INDEX(cfg_ct,D72)</f>
        <v>3</v>
      </c>
      <c r="G72" s="79" t="n">
        <f aca="false">INDEX(cfg_n,D72)</f>
        <v>1</v>
      </c>
      <c r="H72" s="79" t="n">
        <f aca="false">INDEX(dest_port,E72)</f>
        <v>2</v>
      </c>
      <c r="I72" s="80" t="n">
        <f aca="false">INDEX(in_fx_cbe,1,C72)*(1-INDEX(in_fx_spread,1,C72))</f>
        <v>52.7748</v>
      </c>
      <c r="J72" s="81" t="n">
        <f aca="false">1</f>
        <v>1</v>
      </c>
      <c r="K72" s="82" t="n">
        <f aca="false">INDEX(in_sup_vat_mode,1,C72)</f>
        <v>2</v>
      </c>
      <c r="L72" s="83" t="n">
        <f aca="false">INDEX(in_cus_s301,1,C72)</f>
        <v>0.125</v>
      </c>
      <c r="M72" s="84" t="n">
        <f aca="false">1</f>
        <v>1</v>
      </c>
      <c r="N72" s="81" t="n">
        <f aca="false">1</f>
        <v>1</v>
      </c>
      <c r="O72" s="81" t="n">
        <f aca="false">1</f>
        <v>1</v>
      </c>
      <c r="P72" s="81" t="n">
        <f aca="false">1</f>
        <v>1</v>
      </c>
      <c r="Q72" s="81" t="n">
        <f aca="false">1</f>
        <v>1</v>
      </c>
      <c r="R72" s="83" t="n">
        <f aca="false">INDEX(in_sel_damage,1,C72)</f>
        <v>0.015</v>
      </c>
      <c r="S72" s="83" t="n">
        <f aca="false">INDEX(in_mkt_dist_margin,1,C72)</f>
        <v>0.25</v>
      </c>
      <c r="T72" s="83" t="n">
        <f aca="false">INDEX(in_mkt_eflute_disc,1,C72)</f>
        <v>0.2</v>
      </c>
      <c r="U72" s="82" t="n">
        <f aca="false">INDEX(in_sel_credit_days,1,C72)</f>
        <v>45</v>
      </c>
      <c r="V72" s="81" t="n">
        <f aca="false">1</f>
        <v>1</v>
      </c>
      <c r="W72" s="83" t="n">
        <f aca="false">INDEX(in_sel_commission,1,C72)</f>
        <v>0.05</v>
      </c>
      <c r="X72" s="82" t="n">
        <f aca="false">1</f>
        <v>1</v>
      </c>
      <c r="Y72" s="85" t="n">
        <f aca="false">INDEX(cfg_u_3464,D72,C72)*O72</f>
        <v>25800</v>
      </c>
      <c r="Z72" s="85" t="n">
        <f aca="false">INDEX(cfg_u_3463,D72,C72)*O72</f>
        <v>25800</v>
      </c>
      <c r="AA72" s="85" t="n">
        <f aca="false">INDEX(cfg_u_3460,D72,C72)*O72</f>
        <v>25800</v>
      </c>
      <c r="AB72" s="85" t="n">
        <f aca="false">Y72+Z72+AA72</f>
        <v>77400</v>
      </c>
      <c r="AC72" s="86" t="n">
        <f aca="false">Y72*INDEX(lg_vpu_3464,C72)</f>
        <v>18.3539136</v>
      </c>
      <c r="AD72" s="86" t="n">
        <f aca="false">Z72*INDEX(lg_vpu_3463,C72)</f>
        <v>22.4530176</v>
      </c>
      <c r="AE72" s="86" t="n">
        <f aca="false">AA72*INDEX(lg_vpu_3460,C72)</f>
        <v>14.6676096</v>
      </c>
      <c r="AF72" s="86" t="n">
        <f aca="false">AC72+AD72+AE72</f>
        <v>55.4745408</v>
      </c>
      <c r="AG72" s="85" t="n">
        <f aca="false">Y72*INDEX(lg_kpu_3464,C72)+Z72*INDEX(lg_kpu_3463,C72)+AA72*INDEX(lg_kpu_3460,C72)</f>
        <v>13341.3537888</v>
      </c>
      <c r="AH72" s="87" t="n">
        <f aca="false">INDEX(in_sup_requote,1,C72)</f>
        <v>0</v>
      </c>
      <c r="AI72" s="88" t="n">
        <f aca="false">Y72*q_price_3464*(1+AH72)*J72/I72</f>
        <v>4089.39493849337</v>
      </c>
      <c r="AJ72" s="88" t="n">
        <f aca="false">Z72*q_price_3463*(1+AH72)*J72/I72</f>
        <v>3862.07053366379</v>
      </c>
      <c r="AK72" s="88" t="n">
        <f aca="false">AA72*q_price_3460*(1+AH72)*J72/I72</f>
        <v>3373.20084585825</v>
      </c>
      <c r="AL72" s="88" t="n">
        <f aca="false">AI72+AJ72+AK72</f>
        <v>11324.6663180154</v>
      </c>
      <c r="AM72" s="88" t="n">
        <f aca="false">IF(OR(K72=2,K72=3),AL72*INDEX(in_sup_vat_rate,1,C72),0)</f>
        <v>1585.45328452216</v>
      </c>
      <c r="AN72" s="88" t="n">
        <f aca="false">IF(K72=3,AM72,0)</f>
        <v>0</v>
      </c>
      <c r="AO72" s="88" t="n">
        <f aca="false">INDEX(in_sup_tooling_egp,1,C72)/I72</f>
        <v>0</v>
      </c>
      <c r="AP72" s="88" t="n">
        <f aca="false">IF(F72=4,INDEX(in_ori_lcl_truck,1,C72)*V72/I72+INDEX(in_ori_lcl_cfs_o,1,C72),G72*(IF(F72=1,INDEX(in_ori_truck_20,1,C72),INDEX(in_ori_truck_40,1,C72))*V72/I72+INDEX(in_ori_terminal,1,C72)+IF(F72=1,INDEX(in_ori_othc_20,1,C72),INDEX(in_ori_othc_40,1,C72))*(1-INDEX(in_ori_othc_in_freight,1,C72))+INDEX(in_ori_seal,1,C72)+INDEX(in_ori_inspection,1,C72)+INDEX(in_ori_dd_days,1,C72)*IF(F72=1,INDEX(in_ori_dd_20,1,C72),INDEX(in_ori_dd_40,1,C72))+INDEX(in_ori_loading_egp,1,C72)/I72))</f>
        <v>555.278125165799</v>
      </c>
      <c r="AQ72" s="88" t="n">
        <f aca="false">(INDEX(in_ori_clearance,1,C72)+INDEX(in_ori_coo,1,C72))/I72+INDEX(in_ori_bl_fee,1,C72)+INDEX(in_ori_fwd_fee,1,C72)+INDEX(in_ori_qc,1,C72)+INDEX(in_ori_wires,1,C72)*INDEX(in_ori_wire_fee,1,C72)</f>
        <v>817.639062582899</v>
      </c>
      <c r="AR72" s="88" t="n">
        <f aca="false">AP72+AQ72</f>
        <v>1372.9171877487</v>
      </c>
      <c r="AS72" s="85" t="n">
        <f aca="false">INDEX(tbl_port_diff,H72,C72)</f>
        <v>150</v>
      </c>
      <c r="AT72" s="88" t="n">
        <f aca="false">IF(F72=4,MAX(AF72*INDEX(in_oce_lcl_factor,1,C72),AG72/1000,1)*INDEX(in_oce_lcl_rate,1,C72)*M72,G72*(INDEX(tbl_ocean_rate,MIN(F72,3),C72)+AS72)*M72)</f>
        <v>4150</v>
      </c>
      <c r="AU72" s="88" t="n">
        <f aca="false">AT72+INDEX(in_oce_ams,1,C72)</f>
        <v>4185</v>
      </c>
      <c r="AV72" s="88" t="n">
        <f aca="false">AI72*(1+IF(K72=3,INDEX(in_sup_vat_rate,1,C72),0))+AO72*Y72/AB72</f>
        <v>4089.39493849337</v>
      </c>
      <c r="AW72" s="88" t="n">
        <f aca="false">AJ72*(1+IF(K72=3,INDEX(in_sup_vat_rate,1,C72),0))+AO72*Z72/AB72</f>
        <v>3862.07053366379</v>
      </c>
      <c r="AX72" s="88" t="n">
        <f aca="false">AK72*(1+IF(K72=3,INDEX(in_sup_vat_rate,1,C72),0))+AO72*AA72/AB72</f>
        <v>3373.20084585825</v>
      </c>
      <c r="AY72" s="88" t="n">
        <f aca="false">AV72+AW72+AX72</f>
        <v>11324.6663180154</v>
      </c>
      <c r="AZ72" s="88" t="n">
        <f aca="false">MAX(INDEX(in_oce_ins_min,1,C72),INDEX(in_oce_ins_rate,1,C72)*(1+INDEX(in_oce_ins_uplift,1,C72))*(AL72+AO72+AR72+AU72))*(1-INDEX(in_oce_ins_in_other,1,C72))</f>
        <v>75</v>
      </c>
      <c r="BA72" s="87" t="n">
        <f aca="false">INDEX(in_cus_mfn,1,C72)+L72</f>
        <v>0.125</v>
      </c>
      <c r="BB72" s="88" t="n">
        <f aca="false">AY72*BA72</f>
        <v>1415.58328975193</v>
      </c>
      <c r="BC72" s="88" t="n">
        <f aca="false">MIN(MAX(AY72*INDEX(in_cus_mpf_rate,1,C72),INDEX(in_cus_mpf_min,1,C72)),INDEX(in_cus_mpf_max,1,C72))</f>
        <v>39.2286441256054</v>
      </c>
      <c r="BD72" s="88" t="n">
        <f aca="false">AY72*INDEX(in_cus_hmf,1,C72)</f>
        <v>14.1558328975193</v>
      </c>
      <c r="BE72" s="88" t="n">
        <f aca="false">MAX(INDEX(in_cus_stb_min,1,C72),INDEX(in_cus_stb_rate,1,C72)/1000*(AY72+BB72+BC72+BD72))</f>
        <v>76.7618045087428</v>
      </c>
      <c r="BF72" s="88" t="n">
        <f aca="false">INDEX(in_cus_broker,1,C72)+INDEX(in_cus_isf,1,C72)+INDEX(in_cus_do_fee,1,C72)+BE72+INDEX(in_cus_isf_bond,1,C72)</f>
        <v>511.761804508743</v>
      </c>
      <c r="BG72" s="88" t="n">
        <f aca="false">IF(H72=1,INDEX(in_cus_cfc,1,C72)*INDEX(ct_teu,F72)*G72*(1-INDEX(in_cus_cfc_in_freight,1,C72)),0)</f>
        <v>0</v>
      </c>
      <c r="BH72" s="88" t="n">
        <f aca="false">IF(F72=4,1,G72)*(INDEX(in_cus_exam,1,C72)+INDEX(in_cus_exam_dray,1,C72))</f>
        <v>0</v>
      </c>
      <c r="BI72" s="88" t="n">
        <f aca="false">IF(F72=4,1,G72)*INDEX(in_cus_dem_days,1,C72)*INDEX(in_cus_dem_rate,1,C72)</f>
        <v>0</v>
      </c>
      <c r="BJ72" s="88" t="n">
        <f aca="false">BG72+BH72+BI72</f>
        <v>0</v>
      </c>
      <c r="BK72" s="88" t="n">
        <f aca="false">IF(F72=4,(INDEX(in_dra_lcl_cfs_d,1,C72)+INDEX(in_dra_lcl_deliv,1,C72))*P72,G72*(INDEX(tbl_dest_line,E72,C72)*P72*(1+INDEX(in_dra_fsc,1,C72))+INDEX(tbl_dest_tolls,E72,C72)+INDEX(in_dra_chassis_days,1,C72)*INDEX(tbl_dest_chassis,E72,C72)*(1-INDEX(in_dra_chassis_in_dray,1,C72))+INDEX(in_dra_wait_hours,1,C72)*INDEX(in_dra_wait_rate,1,C72)+INDEX(in_dra_split,1,C72)+INDEX(in_dra_prepull,1,C72)+INDEX(in_dra_dryrun,1,C72)))</f>
        <v>904</v>
      </c>
      <c r="BL72" s="88" t="n">
        <f aca="false">IF(F72=4,0,G72*IF(F72=1,INDEX(in_dra_unload_20,1,C72),INDEX(in_dra_unload_40,1,C72))*Q72*(1-INDEX(in_dra_unload_in_dray,1,C72)))</f>
        <v>450</v>
      </c>
      <c r="BM72" s="88" t="n">
        <f aca="false">AL72+AN72+AO72+AR72+AU72+AZ72+BB72+BC72+BD72+BF72+BJ72+BK72+BL72</f>
        <v>20292.3130770479</v>
      </c>
      <c r="BN72" s="88" t="n">
        <f aca="false">AP72+AU72+BJ72+BK72+BL72</f>
        <v>6094.2781251658</v>
      </c>
      <c r="BO72" s="88" t="n">
        <f aca="false">AQ72+BF72</f>
        <v>1329.40086709164</v>
      </c>
      <c r="BP72" s="88" t="n">
        <f aca="false">AI72*(1+IF(K72=3,INDEX(in_sup_vat_rate,1,C72),0))+AO72*Y72/AB72+AV72*BA72+(BC72+BD72)*AV72/AY72+AZ72*AI72/AL72+BN72*AC72/AF72+BO72*Y72/AB72</f>
        <v>7106.3729095755</v>
      </c>
      <c r="BQ72" s="88" t="n">
        <f aca="false">AJ72*(1+IF(K72=3,INDEX(in_sup_vat_rate,1,C72),0))+AO72*Z72/AB72+AW72*BA72+(BC72+BD72)*AW72/AY72+AZ72*AJ72/AL72+BN72*AD72/AF72+BO72*Z72/AB72</f>
        <v>7298.37196052785</v>
      </c>
      <c r="BR72" s="88" t="n">
        <f aca="false">AK72*(1+IF(K72=3,INDEX(in_sup_vat_rate,1,C72),0))+AO72*AA72/AB72+AX72*BA72+(BC72+BD72)*AX72/AY72+AZ72*AK72/AL72+BN72*AE72/AF72+BO72*AA72/AB72</f>
        <v>5887.56820694457</v>
      </c>
      <c r="BS72" s="89" t="n">
        <f aca="false">BP72+BQ72+BR72-BM72</f>
        <v>0</v>
      </c>
      <c r="BT72" s="85" t="n">
        <f aca="false">Y72*(1-R72)</f>
        <v>25413</v>
      </c>
      <c r="BU72" s="85" t="n">
        <f aca="false">Z72*(1-R72)</f>
        <v>25413</v>
      </c>
      <c r="BV72" s="85" t="n">
        <f aca="false">AA72*(1-R72)</f>
        <v>25413</v>
      </c>
      <c r="BW72" s="85" t="n">
        <f aca="false">BT72+BU72+BV72</f>
        <v>76239</v>
      </c>
      <c r="BX72" s="90" t="n">
        <f aca="false">IF(BT72&gt;0,BP72/BT72,0)</f>
        <v>0.279635340557018</v>
      </c>
      <c r="BY72" s="90" t="n">
        <f aca="false">IF(BU72&gt;0,BQ72/BU72,0)</f>
        <v>0.287190491501509</v>
      </c>
      <c r="BZ72" s="90" t="n">
        <f aca="false">IF(BV72&gt;0,BR72/BV72,0)</f>
        <v>0.231675449846321</v>
      </c>
      <c r="CA72" s="90" t="n">
        <f aca="false">INDEX(in_mkt_listing_3464,1,C72)*(1-IF(sku_flute_3464="B",T72,0))*(1-S72)*N72</f>
        <v>0.234</v>
      </c>
      <c r="CB72" s="90" t="n">
        <f aca="false">INDEX(in_mkt_listing_3463,1,C72)*(1-IF(sku_flute_3463="B",T72,0))*(1-S72)*N72</f>
        <v>0.27</v>
      </c>
      <c r="CC72" s="90" t="n">
        <f aca="false">INDEX(in_mkt_listing_3460,1,C72)*(1-IF(sku_flute_3460="B",T72,0))*(1-S72)*N72</f>
        <v>0.225</v>
      </c>
      <c r="CD72" s="88" t="n">
        <f aca="false">BT72*CA72+BU72*CB72+BV72*CC72</f>
        <v>18526.077</v>
      </c>
      <c r="CE72" s="88" t="n">
        <f aca="false">CD72-BM72</f>
        <v>-1766.23607704791</v>
      </c>
      <c r="CF72" s="87" t="n">
        <f aca="false">IF(CD72&gt;0,CE72/CD72,0)</f>
        <v>-0.0953378352604229</v>
      </c>
      <c r="CG72" s="87" t="n">
        <f aca="false">W72+INDEX(in_sel_processing,1,C72)+INDEX(in_sel_bad_debt,1,C72)</f>
        <v>0.058</v>
      </c>
      <c r="CH72" s="88" t="n">
        <f aca="false">CD72*CG72</f>
        <v>1074.512466</v>
      </c>
      <c r="CI72" s="88" t="n">
        <f aca="false">INDEX(in_sel_testing,1,C72)*X72+INDEX(in_sel_admin,1,C72)</f>
        <v>3000</v>
      </c>
      <c r="CJ72" s="79" t="n">
        <f aca="false">INDEX(in_sup_lead_days,1,C72)</f>
        <v>21</v>
      </c>
      <c r="CK72" s="79" t="n">
        <f aca="false">CJ72+INDEX(in_oce_transit,1,C72)+IF(F72=4,INDEX(in_oce_lcl_extra_days,1,C72),0)</f>
        <v>51</v>
      </c>
      <c r="CL72" s="79" t="n">
        <f aca="false">CK72+2+INDEX(in_cus_dem_days,1,C72)</f>
        <v>53</v>
      </c>
      <c r="CM72" s="79" t="n">
        <f aca="false">CL72+U72</f>
        <v>98</v>
      </c>
      <c r="CN72" s="79" t="n">
        <f aca="false">CJ72+INDEX(in_sup_vat_lag,1,C72)</f>
        <v>81</v>
      </c>
      <c r="CO72" s="91" t="n">
        <f aca="false">INDEX(in_sup_advance,1,C72)</f>
        <v>0.5</v>
      </c>
      <c r="CP72" s="88" t="n">
        <f aca="false">CO72*(AL72+AM72)+AO72+INDEX(in_sel_testing,1,C72)*X72</f>
        <v>8955.05980126879</v>
      </c>
      <c r="CQ72" s="88" t="n">
        <f aca="false">(1-CO72)*(AL72+AM72)+AR72+AU72+AZ72</f>
        <v>12087.9769890175</v>
      </c>
      <c r="CR72" s="88" t="n">
        <f aca="false">BB72+BC72+BD72+BF72+BJ72</f>
        <v>1980.72957128379</v>
      </c>
      <c r="CS72" s="88" t="n">
        <f aca="false">BK72+BL72</f>
        <v>1354</v>
      </c>
      <c r="CT72" s="88" t="n">
        <f aca="false">IF(K72=2,AM72,0)</f>
        <v>1585.45328452216</v>
      </c>
      <c r="CU72" s="85" t="n">
        <f aca="false">IF(K72=2,CO72*AM72*(CN72-0)+(1-CO72)*AM72*(CN72-CJ72),0)</f>
        <v>111774.456558812</v>
      </c>
      <c r="CV72" s="85" t="n">
        <f aca="false">(CP72-CO72*CT72)*(CM72-0)+(CQ72-(1-CO72)*CT72)*(CM72-CJ72)+CR72*(CM72-CK72)+CS72*(CM72-CL72)</f>
        <v>1823667.21613334</v>
      </c>
      <c r="CW72" s="88" t="n">
        <f aca="false">INDEX(in_sel_fin_rate,1,C72)/365*(CU72+CV72)</f>
        <v>530.257992518397</v>
      </c>
      <c r="CX72" s="85" t="n">
        <f aca="false">CP72-IF(CN72&lt;=0,CT72,0)</f>
        <v>8955.05980126879</v>
      </c>
      <c r="CY72" s="85" t="n">
        <f aca="false">CP72+CQ72-IF(CN72&lt;=CJ72,CT72,0)</f>
        <v>21043.0367902863</v>
      </c>
      <c r="CZ72" s="85" t="n">
        <f aca="false">CP72+CQ72+CR72-IF(CN72&lt;=CK72,CT72,0)</f>
        <v>23023.7663615701</v>
      </c>
      <c r="DA72" s="85" t="n">
        <f aca="false">CP72+CQ72+CR72+CS72-IF(CN72&lt;=CL72,CT72,0)</f>
        <v>24377.7663615701</v>
      </c>
      <c r="DB72" s="88" t="n">
        <f aca="false">MAX(CX72,CY72,CZ72,DA72)</f>
        <v>24377.7663615701</v>
      </c>
      <c r="DC72" s="88" t="n">
        <f aca="false">CP72+CQ72+CR72+CS72</f>
        <v>24377.7663615701</v>
      </c>
      <c r="DD72" s="88" t="n">
        <f aca="false">CE72-CH72-CI72-CW72</f>
        <v>-6371.00653556631</v>
      </c>
      <c r="DE72" s="87" t="n">
        <f aca="false">IF(CD72&gt;0,DD72/CD72,0)</f>
        <v>-0.343893989837477</v>
      </c>
      <c r="DF72" s="86" t="n">
        <f aca="false">IF(CD72&gt;0,(BM72+CI72+CW72)/(CD72*(1-CG72)),0)</f>
        <v>1.36506792976378</v>
      </c>
      <c r="DG72" s="90" t="n">
        <f aca="false">IF(BW72&gt;0,BM72/BW72,0)</f>
        <v>0.266167093968283</v>
      </c>
      <c r="DH72" s="90" t="n">
        <f aca="false">IF(BW72&gt;0,CD72/BW72,0)</f>
        <v>0.243</v>
      </c>
      <c r="DI72" s="90" t="n">
        <f aca="false">IF(AI72&gt;0,(AI72*IF(K72=3,INDEX(in_sup_vat_rate,1,C72),0)+AV72*BA72+(BC72+BD72)*AV72/AY72+AZ72*AI72/AL72)/AI72,0)</f>
        <v>0.136336711689146</v>
      </c>
      <c r="DJ72" s="90" t="n">
        <f aca="false">IF(AJ72&gt;0,(AJ72*IF(K72=3,INDEX(in_sup_vat_rate,1,C72),0)+AW72*BA72+(BC72+BD72)*AW72/AY72+AZ72*AJ72/AL72)/AJ72,0)</f>
        <v>0.136336711689146</v>
      </c>
      <c r="DK72" s="90" t="n">
        <f aca="false">IF(AK72&gt;0,(AK72*IF(K72=3,INDEX(in_sup_vat_rate,1,C72),0)+AX72*BA72+(BC72+BD72)*AX72/AY72+AZ72*AK72/AL72)/AK72,0)</f>
        <v>0.136336711689146</v>
      </c>
      <c r="DL72" s="90" t="n">
        <f aca="false">IF(Y72&gt;0,(BP72-AI72*(1+DI72))/Y72,0)</f>
        <v>0.0953272601693682</v>
      </c>
      <c r="DM72" s="90" t="n">
        <f aca="false">IF(Z72&gt;0,(BQ72-AJ72*(1+DJ72))/Z72,0)</f>
        <v>0.112781373255534</v>
      </c>
      <c r="DN72" s="90" t="n">
        <f aca="false">IF(AA72&gt;0,(BR72-AK72*(1+DK72))/AA72,0)</f>
        <v>0.0796308623990294</v>
      </c>
      <c r="DO72" s="86" t="n">
        <f aca="false">IF(Y72&gt;0,(CA72*(1-thr_gm_go)*(1-R72)-DL72)/(1+DI72)*I72/((1+AH72)*J72),"")</f>
        <v>3.60119549682654</v>
      </c>
      <c r="DP72" s="86" t="n">
        <f aca="false">IF(Z72&gt;0,(CB72*(1-thr_gm_go)*(1-R72)-DM72)/(1+DJ72)*I72/((1+AH72)*J72),"")</f>
        <v>4.02572501676355</v>
      </c>
      <c r="DQ72" s="86" t="n">
        <f aca="false">IF(AA72&gt;0,(CC72*(1-thr_gm_go)*(1-R72)-DN72)/(1+DK72)*I72/((1+AH72)*J72),"")</f>
        <v>4.02139471827059</v>
      </c>
      <c r="DR72" s="92" t="n">
        <f aca="false">IF(AND(AY72*INDEX(in_cus_mpf_rate,1,C72)&gt;INDEX(in_cus_mpf_min,1,C72),AY72*INDEX(in_cus_mpf_rate,1,C72)&lt;INDEX(in_cus_mpf_max,1,C72)),INDEX(in_cus_mpf_rate,1,C72),0)</f>
        <v>0.003464</v>
      </c>
      <c r="DS72" s="88" t="n">
        <f aca="false">IF(AZ72&gt;INDEX(in_oce_ins_min,1,C72),INDEX(in_oce_ins_rate,1,C72)*(1+INDEX(in_oce_ins_uplift,1,C72))*AL72,0)</f>
        <v>0</v>
      </c>
      <c r="DT72" s="88" t="n">
        <f aca="false">(AL72+AN72)*(1+BA72+INDEX(in_cus_hmf,1,C72)+DR72)+DS72</f>
        <v>12793.6340847905</v>
      </c>
      <c r="DU72" s="86" t="n">
        <f aca="false">IF(DT72&gt;0,(CD72*(1-thr_gm_go)-(BM72-DT72))/DT72,0)</f>
        <v>0.499926660036823</v>
      </c>
      <c r="DV72" s="86" t="n">
        <f aca="false">IF(DT72&gt;0,(CD72-(BM72-DT72))/DT72,0)</f>
        <v>0.861944146179101</v>
      </c>
      <c r="DW72" s="87" t="n">
        <f aca="false">(1+AH72)*J72*DU72-1</f>
        <v>-0.500073339963177</v>
      </c>
      <c r="DX72" s="87" t="n">
        <f aca="false">(1+AH72)*J72*DV72-1</f>
        <v>-0.138055853820899</v>
      </c>
      <c r="DY72" s="85" t="n">
        <f aca="false">IF(G72&gt;0,(CD72*(1-thr_gm_go)-(BM72-AT72))/G72,"")</f>
        <v>-2247.75532704791</v>
      </c>
      <c r="DZ72" s="90" t="n">
        <f aca="false">IF(AB72&gt;0,(AL72+AN72+BB72+BC72+BD72)/AB72,0)</f>
        <v>0.165292430036053</v>
      </c>
      <c r="EA72" s="88" t="n">
        <f aca="false">BM72-DZ72*AB72</f>
        <v>7498.67899225744</v>
      </c>
      <c r="EB72" s="90" t="n">
        <f aca="false">IF(AB72&gt;0,CD72/AB72,0)</f>
        <v>0.239355</v>
      </c>
      <c r="EC72" s="85" t="n">
        <f aca="false">IF(EB72*(1-thr_gm_go)-DZ72&gt;0,EA72/(EB72*(1-thr_gm_go)-DZ72),"n/a")</f>
        <v>527191.641293552</v>
      </c>
      <c r="ED72" s="85" t="n">
        <f aca="false">IF(EB72-DZ72&gt;0,EA72/(EB72-DZ72),"n/a")</f>
        <v>101247.890748426</v>
      </c>
      <c r="EE72" s="93" t="b">
        <f aca="false">INDEX(cfg_fits,D72,C72)</f>
        <v>1</v>
      </c>
      <c r="EF72" s="87" t="n">
        <f aca="false">IF(F72=4,"",INDEX(cfg_lenutil,D72,C72))</f>
        <v>0.999580888516345</v>
      </c>
      <c r="EG72" s="31" t="str">
        <f aca="false">IF(O72&gt;1,"Check fit (units scaled up)","")</f>
        <v/>
      </c>
    </row>
    <row r="73" customFormat="false" ht="15" hidden="false" customHeight="false" outlineLevel="0" collapsed="false">
      <c r="A73" s="78" t="n">
        <v>2044</v>
      </c>
      <c r="B73" s="9" t="s">
        <v>3221</v>
      </c>
      <c r="C73" s="78" t="n">
        <v>2</v>
      </c>
      <c r="D73" s="78" t="n">
        <v>4</v>
      </c>
      <c r="E73" s="78" t="n">
        <v>4</v>
      </c>
      <c r="F73" s="79" t="n">
        <f aca="false">INDEX(cfg_ct,D73)</f>
        <v>3</v>
      </c>
      <c r="G73" s="79" t="n">
        <f aca="false">INDEX(cfg_n,D73)</f>
        <v>1</v>
      </c>
      <c r="H73" s="79" t="n">
        <f aca="false">INDEX(dest_port,E73)</f>
        <v>3</v>
      </c>
      <c r="I73" s="80" t="n">
        <f aca="false">INDEX(in_fx_cbe,1,C73)*(1-INDEX(in_fx_spread,1,C73))</f>
        <v>52.7748</v>
      </c>
      <c r="J73" s="81" t="n">
        <f aca="false">1</f>
        <v>1</v>
      </c>
      <c r="K73" s="82" t="n">
        <f aca="false">INDEX(in_sup_vat_mode,1,C73)</f>
        <v>2</v>
      </c>
      <c r="L73" s="83" t="n">
        <f aca="false">INDEX(in_cus_s301,1,C73)</f>
        <v>0.125</v>
      </c>
      <c r="M73" s="84" t="n">
        <f aca="false">1</f>
        <v>1</v>
      </c>
      <c r="N73" s="81" t="n">
        <f aca="false">1</f>
        <v>1</v>
      </c>
      <c r="O73" s="81" t="n">
        <f aca="false">1</f>
        <v>1</v>
      </c>
      <c r="P73" s="81" t="n">
        <f aca="false">1</f>
        <v>1</v>
      </c>
      <c r="Q73" s="81" t="n">
        <f aca="false">1</f>
        <v>1</v>
      </c>
      <c r="R73" s="83" t="n">
        <f aca="false">INDEX(in_sel_damage,1,C73)</f>
        <v>0.015</v>
      </c>
      <c r="S73" s="83" t="n">
        <f aca="false">INDEX(in_mkt_dist_margin,1,C73)</f>
        <v>0.25</v>
      </c>
      <c r="T73" s="83" t="n">
        <f aca="false">INDEX(in_mkt_eflute_disc,1,C73)</f>
        <v>0.2</v>
      </c>
      <c r="U73" s="82" t="n">
        <f aca="false">INDEX(in_sel_credit_days,1,C73)</f>
        <v>45</v>
      </c>
      <c r="V73" s="81" t="n">
        <f aca="false">1</f>
        <v>1</v>
      </c>
      <c r="W73" s="83" t="n">
        <f aca="false">INDEX(in_sel_commission,1,C73)</f>
        <v>0.05</v>
      </c>
      <c r="X73" s="82" t="n">
        <f aca="false">1</f>
        <v>1</v>
      </c>
      <c r="Y73" s="85" t="n">
        <f aca="false">INDEX(cfg_u_3464,D73,C73)*O73</f>
        <v>25800</v>
      </c>
      <c r="Z73" s="85" t="n">
        <f aca="false">INDEX(cfg_u_3463,D73,C73)*O73</f>
        <v>25800</v>
      </c>
      <c r="AA73" s="85" t="n">
        <f aca="false">INDEX(cfg_u_3460,D73,C73)*O73</f>
        <v>25800</v>
      </c>
      <c r="AB73" s="85" t="n">
        <f aca="false">Y73+Z73+AA73</f>
        <v>77400</v>
      </c>
      <c r="AC73" s="86" t="n">
        <f aca="false">Y73*INDEX(lg_vpu_3464,C73)</f>
        <v>18.3539136</v>
      </c>
      <c r="AD73" s="86" t="n">
        <f aca="false">Z73*INDEX(lg_vpu_3463,C73)</f>
        <v>22.4530176</v>
      </c>
      <c r="AE73" s="86" t="n">
        <f aca="false">AA73*INDEX(lg_vpu_3460,C73)</f>
        <v>14.6676096</v>
      </c>
      <c r="AF73" s="86" t="n">
        <f aca="false">AC73+AD73+AE73</f>
        <v>55.4745408</v>
      </c>
      <c r="AG73" s="85" t="n">
        <f aca="false">Y73*INDEX(lg_kpu_3464,C73)+Z73*INDEX(lg_kpu_3463,C73)+AA73*INDEX(lg_kpu_3460,C73)</f>
        <v>13341.3537888</v>
      </c>
      <c r="AH73" s="87" t="n">
        <f aca="false">INDEX(in_sup_requote,1,C73)</f>
        <v>0</v>
      </c>
      <c r="AI73" s="88" t="n">
        <f aca="false">Y73*q_price_3464*(1+AH73)*J73/I73</f>
        <v>4089.39493849337</v>
      </c>
      <c r="AJ73" s="88" t="n">
        <f aca="false">Z73*q_price_3463*(1+AH73)*J73/I73</f>
        <v>3862.07053366379</v>
      </c>
      <c r="AK73" s="88" t="n">
        <f aca="false">AA73*q_price_3460*(1+AH73)*J73/I73</f>
        <v>3373.20084585825</v>
      </c>
      <c r="AL73" s="88" t="n">
        <f aca="false">AI73+AJ73+AK73</f>
        <v>11324.6663180154</v>
      </c>
      <c r="AM73" s="88" t="n">
        <f aca="false">IF(OR(K73=2,K73=3),AL73*INDEX(in_sup_vat_rate,1,C73),0)</f>
        <v>1585.45328452216</v>
      </c>
      <c r="AN73" s="88" t="n">
        <f aca="false">IF(K73=3,AM73,0)</f>
        <v>0</v>
      </c>
      <c r="AO73" s="88" t="n">
        <f aca="false">INDEX(in_sup_tooling_egp,1,C73)/I73</f>
        <v>0</v>
      </c>
      <c r="AP73" s="88" t="n">
        <f aca="false">IF(F73=4,INDEX(in_ori_lcl_truck,1,C73)*V73/I73+INDEX(in_ori_lcl_cfs_o,1,C73),G73*(IF(F73=1,INDEX(in_ori_truck_20,1,C73),INDEX(in_ori_truck_40,1,C73))*V73/I73+INDEX(in_ori_terminal,1,C73)+IF(F73=1,INDEX(in_ori_othc_20,1,C73),INDEX(in_ori_othc_40,1,C73))*(1-INDEX(in_ori_othc_in_freight,1,C73))+INDEX(in_ori_seal,1,C73)+INDEX(in_ori_inspection,1,C73)+INDEX(in_ori_dd_days,1,C73)*IF(F73=1,INDEX(in_ori_dd_20,1,C73),INDEX(in_ori_dd_40,1,C73))+INDEX(in_ori_loading_egp,1,C73)/I73))</f>
        <v>555.278125165799</v>
      </c>
      <c r="AQ73" s="88" t="n">
        <f aca="false">(INDEX(in_ori_clearance,1,C73)+INDEX(in_ori_coo,1,C73))/I73+INDEX(in_ori_bl_fee,1,C73)+INDEX(in_ori_fwd_fee,1,C73)+INDEX(in_ori_qc,1,C73)+INDEX(in_ori_wires,1,C73)*INDEX(in_ori_wire_fee,1,C73)</f>
        <v>817.639062582899</v>
      </c>
      <c r="AR73" s="88" t="n">
        <f aca="false">AP73+AQ73</f>
        <v>1372.9171877487</v>
      </c>
      <c r="AS73" s="85" t="n">
        <f aca="false">INDEX(tbl_port_diff,H73,C73)</f>
        <v>0</v>
      </c>
      <c r="AT73" s="88" t="n">
        <f aca="false">IF(F73=4,MAX(AF73*INDEX(in_oce_lcl_factor,1,C73),AG73/1000,1)*INDEX(in_oce_lcl_rate,1,C73)*M73,G73*(INDEX(tbl_ocean_rate,MIN(F73,3),C73)+AS73)*M73)</f>
        <v>4000</v>
      </c>
      <c r="AU73" s="88" t="n">
        <f aca="false">AT73+INDEX(in_oce_ams,1,C73)</f>
        <v>4035</v>
      </c>
      <c r="AV73" s="88" t="n">
        <f aca="false">AI73*(1+IF(K73=3,INDEX(in_sup_vat_rate,1,C73),0))+AO73*Y73/AB73</f>
        <v>4089.39493849337</v>
      </c>
      <c r="AW73" s="88" t="n">
        <f aca="false">AJ73*(1+IF(K73=3,INDEX(in_sup_vat_rate,1,C73),0))+AO73*Z73/AB73</f>
        <v>3862.07053366379</v>
      </c>
      <c r="AX73" s="88" t="n">
        <f aca="false">AK73*(1+IF(K73=3,INDEX(in_sup_vat_rate,1,C73),0))+AO73*AA73/AB73</f>
        <v>3373.20084585825</v>
      </c>
      <c r="AY73" s="88" t="n">
        <f aca="false">AV73+AW73+AX73</f>
        <v>11324.6663180154</v>
      </c>
      <c r="AZ73" s="88" t="n">
        <f aca="false">MAX(INDEX(in_oce_ins_min,1,C73),INDEX(in_oce_ins_rate,1,C73)*(1+INDEX(in_oce_ins_uplift,1,C73))*(AL73+AO73+AR73+AU73))*(1-INDEX(in_oce_ins_in_other,1,C73))</f>
        <v>75</v>
      </c>
      <c r="BA73" s="87" t="n">
        <f aca="false">INDEX(in_cus_mfn,1,C73)+L73</f>
        <v>0.125</v>
      </c>
      <c r="BB73" s="88" t="n">
        <f aca="false">AY73*BA73</f>
        <v>1415.58328975193</v>
      </c>
      <c r="BC73" s="88" t="n">
        <f aca="false">MIN(MAX(AY73*INDEX(in_cus_mpf_rate,1,C73),INDEX(in_cus_mpf_min,1,C73)),INDEX(in_cus_mpf_max,1,C73))</f>
        <v>39.2286441256054</v>
      </c>
      <c r="BD73" s="88" t="n">
        <f aca="false">AY73*INDEX(in_cus_hmf,1,C73)</f>
        <v>14.1558328975193</v>
      </c>
      <c r="BE73" s="88" t="n">
        <f aca="false">MAX(INDEX(in_cus_stb_min,1,C73),INDEX(in_cus_stb_rate,1,C73)/1000*(AY73+BB73+BC73+BD73))</f>
        <v>76.7618045087428</v>
      </c>
      <c r="BF73" s="88" t="n">
        <f aca="false">INDEX(in_cus_broker,1,C73)+INDEX(in_cus_isf,1,C73)+INDEX(in_cus_do_fee,1,C73)+BE73+INDEX(in_cus_isf_bond,1,C73)</f>
        <v>511.761804508743</v>
      </c>
      <c r="BG73" s="88" t="n">
        <f aca="false">IF(H73=1,INDEX(in_cus_cfc,1,C73)*INDEX(ct_teu,F73)*G73*(1-INDEX(in_cus_cfc_in_freight,1,C73)),0)</f>
        <v>0</v>
      </c>
      <c r="BH73" s="88" t="n">
        <f aca="false">IF(F73=4,1,G73)*(INDEX(in_cus_exam,1,C73)+INDEX(in_cus_exam_dray,1,C73))</f>
        <v>0</v>
      </c>
      <c r="BI73" s="88" t="n">
        <f aca="false">IF(F73=4,1,G73)*INDEX(in_cus_dem_days,1,C73)*INDEX(in_cus_dem_rate,1,C73)</f>
        <v>0</v>
      </c>
      <c r="BJ73" s="88" t="n">
        <f aca="false">BG73+BH73+BI73</f>
        <v>0</v>
      </c>
      <c r="BK73" s="88" t="n">
        <f aca="false">IF(F73=4,(INDEX(in_dra_lcl_cfs_d,1,C73)+INDEX(in_dra_lcl_deliv,1,C73))*P73,G73*(INDEX(tbl_dest_line,E73,C73)*P73*(1+INDEX(in_dra_fsc,1,C73))+INDEX(tbl_dest_tolls,E73,C73)+INDEX(in_dra_chassis_days,1,C73)*INDEX(tbl_dest_chassis,E73,C73)*(1-INDEX(in_dra_chassis_in_dray,1,C73))+INDEX(in_dra_wait_hours,1,C73)*INDEX(in_dra_wait_rate,1,C73)+INDEX(in_dra_split,1,C73)+INDEX(in_dra_prepull,1,C73)+INDEX(in_dra_dryrun,1,C73)))</f>
        <v>1504</v>
      </c>
      <c r="BL73" s="88" t="n">
        <f aca="false">IF(F73=4,0,G73*IF(F73=1,INDEX(in_dra_unload_20,1,C73),INDEX(in_dra_unload_40,1,C73))*Q73*(1-INDEX(in_dra_unload_in_dray,1,C73)))</f>
        <v>450</v>
      </c>
      <c r="BM73" s="88" t="n">
        <f aca="false">AL73+AN73+AO73+AR73+AU73+AZ73+BB73+BC73+BD73+BF73+BJ73+BK73+BL73</f>
        <v>20742.3130770479</v>
      </c>
      <c r="BN73" s="88" t="n">
        <f aca="false">AP73+AU73+BJ73+BK73+BL73</f>
        <v>6544.2781251658</v>
      </c>
      <c r="BO73" s="88" t="n">
        <f aca="false">AQ73+BF73</f>
        <v>1329.40086709164</v>
      </c>
      <c r="BP73" s="88" t="n">
        <f aca="false">AI73*(1+IF(K73=3,INDEX(in_sup_vat_rate,1,C73),0))+AO73*Y73/AB73+AV73*BA73+(BC73+BD73)*AV73/AY73+AZ73*AI73/AL73+BN73*AC73/AF73+BO73*Y73/AB73</f>
        <v>7255.25672187737</v>
      </c>
      <c r="BQ73" s="88" t="n">
        <f aca="false">AJ73*(1+IF(K73=3,INDEX(in_sup_vat_rate,1,C73),0))+AO73*Z73/AB73+AW73*BA73+(BC73+BD73)*AW73/AY73+AZ73*AJ73/AL73+BN73*AD73/AF73+BO73*Z73/AB73</f>
        <v>7480.50700435682</v>
      </c>
      <c r="BR73" s="88" t="n">
        <f aca="false">AK73*(1+IF(K73=3,INDEX(in_sup_vat_rate,1,C73),0))+AO73*AA73/AB73+AX73*BA73+(BC73+BD73)*AX73/AY73+AZ73*AK73/AL73+BN73*AE73/AF73+BO73*AA73/AB73</f>
        <v>6006.54935081372</v>
      </c>
      <c r="BS73" s="89" t="n">
        <f aca="false">BP73+BQ73+BR73-BM73</f>
        <v>0</v>
      </c>
      <c r="BT73" s="85" t="n">
        <f aca="false">Y73*(1-R73)</f>
        <v>25413</v>
      </c>
      <c r="BU73" s="85" t="n">
        <f aca="false">Z73*(1-R73)</f>
        <v>25413</v>
      </c>
      <c r="BV73" s="85" t="n">
        <f aca="false">AA73*(1-R73)</f>
        <v>25413</v>
      </c>
      <c r="BW73" s="85" t="n">
        <f aca="false">BT73+BU73+BV73</f>
        <v>76239</v>
      </c>
      <c r="BX73" s="90" t="n">
        <f aca="false">IF(BT73&gt;0,BP73/BT73,0)</f>
        <v>0.285493909490315</v>
      </c>
      <c r="BY73" s="90" t="n">
        <f aca="false">IF(BU73&gt;0,BQ73/BU73,0)</f>
        <v>0.294357494367325</v>
      </c>
      <c r="BZ73" s="90" t="n">
        <f aca="false">IF(BV73&gt;0,BR73/BV73,0)</f>
        <v>0.236357350600627</v>
      </c>
      <c r="CA73" s="90" t="n">
        <f aca="false">INDEX(in_mkt_listing_3464,1,C73)*(1-IF(sku_flute_3464="B",T73,0))*(1-S73)*N73</f>
        <v>0.234</v>
      </c>
      <c r="CB73" s="90" t="n">
        <f aca="false">INDEX(in_mkt_listing_3463,1,C73)*(1-IF(sku_flute_3463="B",T73,0))*(1-S73)*N73</f>
        <v>0.27</v>
      </c>
      <c r="CC73" s="90" t="n">
        <f aca="false">INDEX(in_mkt_listing_3460,1,C73)*(1-IF(sku_flute_3460="B",T73,0))*(1-S73)*N73</f>
        <v>0.225</v>
      </c>
      <c r="CD73" s="88" t="n">
        <f aca="false">BT73*CA73+BU73*CB73+BV73*CC73</f>
        <v>18526.077</v>
      </c>
      <c r="CE73" s="88" t="n">
        <f aca="false">CD73-BM73</f>
        <v>-2216.23607704791</v>
      </c>
      <c r="CF73" s="87" t="n">
        <f aca="false">IF(CD73&gt;0,CE73/CD73,0)</f>
        <v>-0.11962792106758</v>
      </c>
      <c r="CG73" s="87" t="n">
        <f aca="false">W73+INDEX(in_sel_processing,1,C73)+INDEX(in_sel_bad_debt,1,C73)</f>
        <v>0.058</v>
      </c>
      <c r="CH73" s="88" t="n">
        <f aca="false">CD73*CG73</f>
        <v>1074.512466</v>
      </c>
      <c r="CI73" s="88" t="n">
        <f aca="false">INDEX(in_sel_testing,1,C73)*X73+INDEX(in_sel_admin,1,C73)</f>
        <v>3000</v>
      </c>
      <c r="CJ73" s="79" t="n">
        <f aca="false">INDEX(in_sup_lead_days,1,C73)</f>
        <v>21</v>
      </c>
      <c r="CK73" s="79" t="n">
        <f aca="false">CJ73+INDEX(in_oce_transit,1,C73)+IF(F73=4,INDEX(in_oce_lcl_extra_days,1,C73),0)</f>
        <v>51</v>
      </c>
      <c r="CL73" s="79" t="n">
        <f aca="false">CK73+2+INDEX(in_cus_dem_days,1,C73)</f>
        <v>53</v>
      </c>
      <c r="CM73" s="79" t="n">
        <f aca="false">CL73+U73</f>
        <v>98</v>
      </c>
      <c r="CN73" s="79" t="n">
        <f aca="false">CJ73+INDEX(in_sup_vat_lag,1,C73)</f>
        <v>81</v>
      </c>
      <c r="CO73" s="91" t="n">
        <f aca="false">INDEX(in_sup_advance,1,C73)</f>
        <v>0.5</v>
      </c>
      <c r="CP73" s="88" t="n">
        <f aca="false">CO73*(AL73+AM73)+AO73+INDEX(in_sel_testing,1,C73)*X73</f>
        <v>8955.05980126879</v>
      </c>
      <c r="CQ73" s="88" t="n">
        <f aca="false">(1-CO73)*(AL73+AM73)+AR73+AU73+AZ73</f>
        <v>11937.9769890175</v>
      </c>
      <c r="CR73" s="88" t="n">
        <f aca="false">BB73+BC73+BD73+BF73+BJ73</f>
        <v>1980.72957128379</v>
      </c>
      <c r="CS73" s="88" t="n">
        <f aca="false">BK73+BL73</f>
        <v>1954</v>
      </c>
      <c r="CT73" s="88" t="n">
        <f aca="false">IF(K73=2,AM73,0)</f>
        <v>1585.45328452216</v>
      </c>
      <c r="CU73" s="85" t="n">
        <f aca="false">IF(K73=2,CO73*AM73*(CN73-0)+(1-CO73)*AM73*(CN73-CJ73),0)</f>
        <v>111774.456558812</v>
      </c>
      <c r="CV73" s="85" t="n">
        <f aca="false">(CP73-CO73*CT73)*(CM73-0)+(CQ73-(1-CO73)*CT73)*(CM73-CJ73)+CR73*(CM73-CK73)+CS73*(CM73-CL73)</f>
        <v>1839117.21613334</v>
      </c>
      <c r="CW73" s="88" t="n">
        <f aca="false">INDEX(in_sel_fin_rate,1,C73)/365*(CU73+CV73)</f>
        <v>534.490869230726</v>
      </c>
      <c r="CX73" s="85" t="n">
        <f aca="false">CP73-IF(CN73&lt;=0,CT73,0)</f>
        <v>8955.05980126879</v>
      </c>
      <c r="CY73" s="85" t="n">
        <f aca="false">CP73+CQ73-IF(CN73&lt;=CJ73,CT73,0)</f>
        <v>20893.0367902863</v>
      </c>
      <c r="CZ73" s="85" t="n">
        <f aca="false">CP73+CQ73+CR73-IF(CN73&lt;=CK73,CT73,0)</f>
        <v>22873.7663615701</v>
      </c>
      <c r="DA73" s="85" t="n">
        <f aca="false">CP73+CQ73+CR73+CS73-IF(CN73&lt;=CL73,CT73,0)</f>
        <v>24827.7663615701</v>
      </c>
      <c r="DB73" s="88" t="n">
        <f aca="false">MAX(CX73,CY73,CZ73,DA73)</f>
        <v>24827.7663615701</v>
      </c>
      <c r="DC73" s="88" t="n">
        <f aca="false">CP73+CQ73+CR73+CS73</f>
        <v>24827.7663615701</v>
      </c>
      <c r="DD73" s="88" t="n">
        <f aca="false">CE73-CH73-CI73-CW73</f>
        <v>-6825.23941227864</v>
      </c>
      <c r="DE73" s="87" t="n">
        <f aca="false">IF(CD73&gt;0,DD73/CD73,0)</f>
        <v>-0.368412557730308</v>
      </c>
      <c r="DF73" s="86" t="n">
        <f aca="false">IF(CD73&gt;0,(BM73+CI73+CW73)/(CD73*(1-CG73)),0)</f>
        <v>1.39109613347166</v>
      </c>
      <c r="DG73" s="90" t="n">
        <f aca="false">IF(BW73&gt;0,BM73/BW73,0)</f>
        <v>0.272069584819422</v>
      </c>
      <c r="DH73" s="90" t="n">
        <f aca="false">IF(BW73&gt;0,CD73/BW73,0)</f>
        <v>0.243</v>
      </c>
      <c r="DI73" s="90" t="n">
        <f aca="false">IF(AI73&gt;0,(AI73*IF(K73=3,INDEX(in_sup_vat_rate,1,C73),0)+AV73*BA73+(BC73+BD73)*AV73/AY73+AZ73*AI73/AL73)/AI73,0)</f>
        <v>0.136336711689146</v>
      </c>
      <c r="DJ73" s="90" t="n">
        <f aca="false">IF(AJ73&gt;0,(AJ73*IF(K73=3,INDEX(in_sup_vat_rate,1,C73),0)+AW73*BA73+(BC73+BD73)*AW73/AY73+AZ73*AJ73/AL73)/AJ73,0)</f>
        <v>0.136336711689146</v>
      </c>
      <c r="DK73" s="90" t="n">
        <f aca="false">IF(AK73&gt;0,(AK73*IF(K73=3,INDEX(in_sup_vat_rate,1,C73),0)+AX73*BA73+(BC73+BD73)*AX73/AY73+AZ73*AK73/AL73)/AK73,0)</f>
        <v>0.136336711689146</v>
      </c>
      <c r="DL73" s="90" t="n">
        <f aca="false">IF(Y73&gt;0,(BP73-AI73*(1+DI73))/Y73,0)</f>
        <v>0.101097950568666</v>
      </c>
      <c r="DM73" s="90" t="n">
        <f aca="false">IF(Z73&gt;0,(BQ73-AJ73*(1+DJ73))/Z73,0)</f>
        <v>0.119840871078363</v>
      </c>
      <c r="DN73" s="90" t="n">
        <f aca="false">IF(AA73&gt;0,(BR73-AK73*(1+DK73))/AA73,0)</f>
        <v>0.0842425346420198</v>
      </c>
      <c r="DO73" s="86" t="n">
        <f aca="false">IF(Y73&gt;0,(CA73*(1-thr_gm_go)*(1-R73)-DL73)/(1+DI73)*I73/((1+AH73)*J73),"")</f>
        <v>3.3331877588453</v>
      </c>
      <c r="DP73" s="86" t="n">
        <f aca="false">IF(Z73&gt;0,(CB73*(1-thr_gm_go)*(1-R73)-DM73)/(1+DJ73)*I73/((1+AH73)*J73),"")</f>
        <v>3.69786129303822</v>
      </c>
      <c r="DQ73" s="86" t="n">
        <f aca="false">IF(AA73&gt;0,(CC73*(1-thr_gm_go)*(1-R73)-DN73)/(1+DK73)*I73/((1+AH73)*J73),"")</f>
        <v>3.80721517290715</v>
      </c>
      <c r="DR73" s="92" t="n">
        <f aca="false">IF(AND(AY73*INDEX(in_cus_mpf_rate,1,C73)&gt;INDEX(in_cus_mpf_min,1,C73),AY73*INDEX(in_cus_mpf_rate,1,C73)&lt;INDEX(in_cus_mpf_max,1,C73)),INDEX(in_cus_mpf_rate,1,C73),0)</f>
        <v>0.003464</v>
      </c>
      <c r="DS73" s="88" t="n">
        <f aca="false">IF(AZ73&gt;INDEX(in_oce_ins_min,1,C73),INDEX(in_oce_ins_rate,1,C73)*(1+INDEX(in_oce_ins_uplift,1,C73))*AL73,0)</f>
        <v>0</v>
      </c>
      <c r="DT73" s="88" t="n">
        <f aca="false">(AL73+AN73)*(1+BA73+INDEX(in_cus_hmf,1,C73)+DR73)+DS73</f>
        <v>12793.6340847905</v>
      </c>
      <c r="DU73" s="86" t="n">
        <f aca="false">IF(DT73&gt;0,(CD73*(1-thr_gm_go)-(BM73-DT73))/DT73,0)</f>
        <v>0.464752916828474</v>
      </c>
      <c r="DV73" s="86" t="n">
        <f aca="false">IF(DT73&gt;0,(CD73-(BM73-DT73))/DT73,0)</f>
        <v>0.826770402970752</v>
      </c>
      <c r="DW73" s="87" t="n">
        <f aca="false">(1+AH73)*J73*DU73-1</f>
        <v>-0.535247083171526</v>
      </c>
      <c r="DX73" s="87" t="n">
        <f aca="false">(1+AH73)*J73*DV73-1</f>
        <v>-0.173229597029248</v>
      </c>
      <c r="DY73" s="85" t="n">
        <f aca="false">IF(G73&gt;0,(CD73*(1-thr_gm_go)-(BM73-AT73))/G73,"")</f>
        <v>-2847.75532704791</v>
      </c>
      <c r="DZ73" s="90" t="n">
        <f aca="false">IF(AB73&gt;0,(AL73+AN73+BB73+BC73+BD73)/AB73,0)</f>
        <v>0.165292430036053</v>
      </c>
      <c r="EA73" s="88" t="n">
        <f aca="false">BM73-DZ73*AB73</f>
        <v>7948.67899225744</v>
      </c>
      <c r="EB73" s="90" t="n">
        <f aca="false">IF(AB73&gt;0,CD73/AB73,0)</f>
        <v>0.239355</v>
      </c>
      <c r="EC73" s="85" t="n">
        <f aca="false">IF(EB73*(1-thr_gm_go)-DZ73&gt;0,EA73/(EB73*(1-thr_gm_go)-DZ73),"n/a")</f>
        <v>558828.712146571</v>
      </c>
      <c r="ED73" s="85" t="n">
        <f aca="false">IF(EB73-DZ73&gt;0,EA73/(EB73-DZ73),"n/a")</f>
        <v>107323.834375809</v>
      </c>
      <c r="EE73" s="93" t="b">
        <f aca="false">INDEX(cfg_fits,D73,C73)</f>
        <v>1</v>
      </c>
      <c r="EF73" s="87" t="n">
        <f aca="false">IF(F73=4,"",INDEX(cfg_lenutil,D73,C73))</f>
        <v>0.999580888516345</v>
      </c>
      <c r="EG73" s="31" t="str">
        <f aca="false">IF(O73&gt;1,"Check fit (units scaled up)","")</f>
        <v/>
      </c>
    </row>
    <row r="74" customFormat="false" ht="15" hidden="false" customHeight="false" outlineLevel="0" collapsed="false">
      <c r="A74" s="78" t="n">
        <v>2045</v>
      </c>
      <c r="B74" s="9" t="s">
        <v>3222</v>
      </c>
      <c r="C74" s="78" t="n">
        <v>2</v>
      </c>
      <c r="D74" s="78" t="n">
        <v>4</v>
      </c>
      <c r="E74" s="78" t="n">
        <v>5</v>
      </c>
      <c r="F74" s="79" t="n">
        <f aca="false">INDEX(cfg_ct,D74)</f>
        <v>3</v>
      </c>
      <c r="G74" s="79" t="n">
        <f aca="false">INDEX(cfg_n,D74)</f>
        <v>1</v>
      </c>
      <c r="H74" s="79" t="n">
        <f aca="false">INDEX(dest_port,E74)</f>
        <v>4</v>
      </c>
      <c r="I74" s="80" t="n">
        <f aca="false">INDEX(in_fx_cbe,1,C74)*(1-INDEX(in_fx_spread,1,C74))</f>
        <v>52.7748</v>
      </c>
      <c r="J74" s="81" t="n">
        <f aca="false">1</f>
        <v>1</v>
      </c>
      <c r="K74" s="82" t="n">
        <f aca="false">INDEX(in_sup_vat_mode,1,C74)</f>
        <v>2</v>
      </c>
      <c r="L74" s="83" t="n">
        <f aca="false">INDEX(in_cus_s301,1,C74)</f>
        <v>0.125</v>
      </c>
      <c r="M74" s="84" t="n">
        <f aca="false">1</f>
        <v>1</v>
      </c>
      <c r="N74" s="81" t="n">
        <f aca="false">1</f>
        <v>1</v>
      </c>
      <c r="O74" s="81" t="n">
        <f aca="false">1</f>
        <v>1</v>
      </c>
      <c r="P74" s="81" t="n">
        <f aca="false">1</f>
        <v>1</v>
      </c>
      <c r="Q74" s="81" t="n">
        <f aca="false">1</f>
        <v>1</v>
      </c>
      <c r="R74" s="83" t="n">
        <f aca="false">INDEX(in_sel_damage,1,C74)</f>
        <v>0.015</v>
      </c>
      <c r="S74" s="83" t="n">
        <f aca="false">INDEX(in_mkt_dist_margin,1,C74)</f>
        <v>0.25</v>
      </c>
      <c r="T74" s="83" t="n">
        <f aca="false">INDEX(in_mkt_eflute_disc,1,C74)</f>
        <v>0.2</v>
      </c>
      <c r="U74" s="82" t="n">
        <f aca="false">INDEX(in_sel_credit_days,1,C74)</f>
        <v>45</v>
      </c>
      <c r="V74" s="81" t="n">
        <f aca="false">1</f>
        <v>1</v>
      </c>
      <c r="W74" s="83" t="n">
        <f aca="false">INDEX(in_sel_commission,1,C74)</f>
        <v>0.05</v>
      </c>
      <c r="X74" s="82" t="n">
        <f aca="false">1</f>
        <v>1</v>
      </c>
      <c r="Y74" s="85" t="n">
        <f aca="false">INDEX(cfg_u_3464,D74,C74)*O74</f>
        <v>25800</v>
      </c>
      <c r="Z74" s="85" t="n">
        <f aca="false">INDEX(cfg_u_3463,D74,C74)*O74</f>
        <v>25800</v>
      </c>
      <c r="AA74" s="85" t="n">
        <f aca="false">INDEX(cfg_u_3460,D74,C74)*O74</f>
        <v>25800</v>
      </c>
      <c r="AB74" s="85" t="n">
        <f aca="false">Y74+Z74+AA74</f>
        <v>77400</v>
      </c>
      <c r="AC74" s="86" t="n">
        <f aca="false">Y74*INDEX(lg_vpu_3464,C74)</f>
        <v>18.3539136</v>
      </c>
      <c r="AD74" s="86" t="n">
        <f aca="false">Z74*INDEX(lg_vpu_3463,C74)</f>
        <v>22.4530176</v>
      </c>
      <c r="AE74" s="86" t="n">
        <f aca="false">AA74*INDEX(lg_vpu_3460,C74)</f>
        <v>14.6676096</v>
      </c>
      <c r="AF74" s="86" t="n">
        <f aca="false">AC74+AD74+AE74</f>
        <v>55.4745408</v>
      </c>
      <c r="AG74" s="85" t="n">
        <f aca="false">Y74*INDEX(lg_kpu_3464,C74)+Z74*INDEX(lg_kpu_3463,C74)+AA74*INDEX(lg_kpu_3460,C74)</f>
        <v>13341.3537888</v>
      </c>
      <c r="AH74" s="87" t="n">
        <f aca="false">INDEX(in_sup_requote,1,C74)</f>
        <v>0</v>
      </c>
      <c r="AI74" s="88" t="n">
        <f aca="false">Y74*q_price_3464*(1+AH74)*J74/I74</f>
        <v>4089.39493849337</v>
      </c>
      <c r="AJ74" s="88" t="n">
        <f aca="false">Z74*q_price_3463*(1+AH74)*J74/I74</f>
        <v>3862.07053366379</v>
      </c>
      <c r="AK74" s="88" t="n">
        <f aca="false">AA74*q_price_3460*(1+AH74)*J74/I74</f>
        <v>3373.20084585825</v>
      </c>
      <c r="AL74" s="88" t="n">
        <f aca="false">AI74+AJ74+AK74</f>
        <v>11324.6663180154</v>
      </c>
      <c r="AM74" s="88" t="n">
        <f aca="false">IF(OR(K74=2,K74=3),AL74*INDEX(in_sup_vat_rate,1,C74),0)</f>
        <v>1585.45328452216</v>
      </c>
      <c r="AN74" s="88" t="n">
        <f aca="false">IF(K74=3,AM74,0)</f>
        <v>0</v>
      </c>
      <c r="AO74" s="88" t="n">
        <f aca="false">INDEX(in_sup_tooling_egp,1,C74)/I74</f>
        <v>0</v>
      </c>
      <c r="AP74" s="88" t="n">
        <f aca="false">IF(F74=4,INDEX(in_ori_lcl_truck,1,C74)*V74/I74+INDEX(in_ori_lcl_cfs_o,1,C74),G74*(IF(F74=1,INDEX(in_ori_truck_20,1,C74),INDEX(in_ori_truck_40,1,C74))*V74/I74+INDEX(in_ori_terminal,1,C74)+IF(F74=1,INDEX(in_ori_othc_20,1,C74),INDEX(in_ori_othc_40,1,C74))*(1-INDEX(in_ori_othc_in_freight,1,C74))+INDEX(in_ori_seal,1,C74)+INDEX(in_ori_inspection,1,C74)+INDEX(in_ori_dd_days,1,C74)*IF(F74=1,INDEX(in_ori_dd_20,1,C74),INDEX(in_ori_dd_40,1,C74))+INDEX(in_ori_loading_egp,1,C74)/I74))</f>
        <v>555.278125165799</v>
      </c>
      <c r="AQ74" s="88" t="n">
        <f aca="false">(INDEX(in_ori_clearance,1,C74)+INDEX(in_ori_coo,1,C74))/I74+INDEX(in_ori_bl_fee,1,C74)+INDEX(in_ori_fwd_fee,1,C74)+INDEX(in_ori_qc,1,C74)+INDEX(in_ori_wires,1,C74)*INDEX(in_ori_wire_fee,1,C74)</f>
        <v>817.639062582899</v>
      </c>
      <c r="AR74" s="88" t="n">
        <f aca="false">AP74+AQ74</f>
        <v>1372.9171877487</v>
      </c>
      <c r="AS74" s="85" t="n">
        <f aca="false">INDEX(tbl_port_diff,H74,C74)</f>
        <v>100</v>
      </c>
      <c r="AT74" s="88" t="n">
        <f aca="false">IF(F74=4,MAX(AF74*INDEX(in_oce_lcl_factor,1,C74),AG74/1000,1)*INDEX(in_oce_lcl_rate,1,C74)*M74,G74*(INDEX(tbl_ocean_rate,MIN(F74,3),C74)+AS74)*M74)</f>
        <v>4100</v>
      </c>
      <c r="AU74" s="88" t="n">
        <f aca="false">AT74+INDEX(in_oce_ams,1,C74)</f>
        <v>4135</v>
      </c>
      <c r="AV74" s="88" t="n">
        <f aca="false">AI74*(1+IF(K74=3,INDEX(in_sup_vat_rate,1,C74),0))+AO74*Y74/AB74</f>
        <v>4089.39493849337</v>
      </c>
      <c r="AW74" s="88" t="n">
        <f aca="false">AJ74*(1+IF(K74=3,INDEX(in_sup_vat_rate,1,C74),0))+AO74*Z74/AB74</f>
        <v>3862.07053366379</v>
      </c>
      <c r="AX74" s="88" t="n">
        <f aca="false">AK74*(1+IF(K74=3,INDEX(in_sup_vat_rate,1,C74),0))+AO74*AA74/AB74</f>
        <v>3373.20084585825</v>
      </c>
      <c r="AY74" s="88" t="n">
        <f aca="false">AV74+AW74+AX74</f>
        <v>11324.6663180154</v>
      </c>
      <c r="AZ74" s="88" t="n">
        <f aca="false">MAX(INDEX(in_oce_ins_min,1,C74),INDEX(in_oce_ins_rate,1,C74)*(1+INDEX(in_oce_ins_uplift,1,C74))*(AL74+AO74+AR74+AU74))*(1-INDEX(in_oce_ins_in_other,1,C74))</f>
        <v>75</v>
      </c>
      <c r="BA74" s="87" t="n">
        <f aca="false">INDEX(in_cus_mfn,1,C74)+L74</f>
        <v>0.125</v>
      </c>
      <c r="BB74" s="88" t="n">
        <f aca="false">AY74*BA74</f>
        <v>1415.58328975193</v>
      </c>
      <c r="BC74" s="88" t="n">
        <f aca="false">MIN(MAX(AY74*INDEX(in_cus_mpf_rate,1,C74),INDEX(in_cus_mpf_min,1,C74)),INDEX(in_cus_mpf_max,1,C74))</f>
        <v>39.2286441256054</v>
      </c>
      <c r="BD74" s="88" t="n">
        <f aca="false">AY74*INDEX(in_cus_hmf,1,C74)</f>
        <v>14.1558328975193</v>
      </c>
      <c r="BE74" s="88" t="n">
        <f aca="false">MAX(INDEX(in_cus_stb_min,1,C74),INDEX(in_cus_stb_rate,1,C74)/1000*(AY74+BB74+BC74+BD74))</f>
        <v>76.7618045087428</v>
      </c>
      <c r="BF74" s="88" t="n">
        <f aca="false">INDEX(in_cus_broker,1,C74)+INDEX(in_cus_isf,1,C74)+INDEX(in_cus_do_fee,1,C74)+BE74+INDEX(in_cus_isf_bond,1,C74)</f>
        <v>511.761804508743</v>
      </c>
      <c r="BG74" s="88" t="n">
        <f aca="false">IF(H74=1,INDEX(in_cus_cfc,1,C74)*INDEX(ct_teu,F74)*G74*(1-INDEX(in_cus_cfc_in_freight,1,C74)),0)</f>
        <v>0</v>
      </c>
      <c r="BH74" s="88" t="n">
        <f aca="false">IF(F74=4,1,G74)*(INDEX(in_cus_exam,1,C74)+INDEX(in_cus_exam_dray,1,C74))</f>
        <v>0</v>
      </c>
      <c r="BI74" s="88" t="n">
        <f aca="false">IF(F74=4,1,G74)*INDEX(in_cus_dem_days,1,C74)*INDEX(in_cus_dem_rate,1,C74)</f>
        <v>0</v>
      </c>
      <c r="BJ74" s="88" t="n">
        <f aca="false">BG74+BH74+BI74</f>
        <v>0</v>
      </c>
      <c r="BK74" s="88" t="n">
        <f aca="false">IF(F74=4,(INDEX(in_dra_lcl_cfs_d,1,C74)+INDEX(in_dra_lcl_deliv,1,C74))*P74,G74*(INDEX(tbl_dest_line,E74,C74)*P74*(1+INDEX(in_dra_fsc,1,C74))+INDEX(tbl_dest_tolls,E74,C74)+INDEX(in_dra_chassis_days,1,C74)*INDEX(tbl_dest_chassis,E74,C74)*(1-INDEX(in_dra_chassis_in_dray,1,C74))+INDEX(in_dra_wait_hours,1,C74)*INDEX(in_dra_wait_rate,1,C74)+INDEX(in_dra_split,1,C74)+INDEX(in_dra_prepull,1,C74)+INDEX(in_dra_dryrun,1,C74)))</f>
        <v>1970</v>
      </c>
      <c r="BL74" s="88" t="n">
        <f aca="false">IF(F74=4,0,G74*IF(F74=1,INDEX(in_dra_unload_20,1,C74),INDEX(in_dra_unload_40,1,C74))*Q74*(1-INDEX(in_dra_unload_in_dray,1,C74)))</f>
        <v>450</v>
      </c>
      <c r="BM74" s="88" t="n">
        <f aca="false">AL74+AN74+AO74+AR74+AU74+AZ74+BB74+BC74+BD74+BF74+BJ74+BK74+BL74</f>
        <v>21308.3130770479</v>
      </c>
      <c r="BN74" s="88" t="n">
        <f aca="false">AP74+AU74+BJ74+BK74+BL74</f>
        <v>7110.2781251658</v>
      </c>
      <c r="BO74" s="88" t="n">
        <f aca="false">AQ74+BF74</f>
        <v>1329.40086709164</v>
      </c>
      <c r="BP74" s="88" t="n">
        <f aca="false">AI74*(1+IF(K74=3,INDEX(in_sup_vat_rate,1,C74),0))+AO74*Y74/AB74+AV74*BA74+(BC74+BD74)*AV74/AY74+AZ74*AI74/AL74+BN74*AC74/AF74+BO74*Y74/AB74</f>
        <v>7442.51947246151</v>
      </c>
      <c r="BQ74" s="88" t="n">
        <f aca="false">AJ74*(1+IF(K74=3,INDEX(in_sup_vat_rate,1,C74),0))+AO74*Z74/AB74+AW74*BA74+(BC74+BD74)*AW74/AY74+AZ74*AJ74/AL74+BN74*AD74/AF74+BO74*Z74/AB74</f>
        <v>7709.59241503948</v>
      </c>
      <c r="BR74" s="88" t="n">
        <f aca="false">AK74*(1+IF(K74=3,INDEX(in_sup_vat_rate,1,C74),0))+AO74*AA74/AB74+AX74*BA74+(BC74+BD74)*AX74/AY74+AZ74*AK74/AL74+BN74*AE74/AF74+BO74*AA74/AB74</f>
        <v>6156.20118954692</v>
      </c>
      <c r="BS74" s="89" t="n">
        <f aca="false">BP74+BQ74+BR74-BM74</f>
        <v>0</v>
      </c>
      <c r="BT74" s="85" t="n">
        <f aca="false">Y74*(1-R74)</f>
        <v>25413</v>
      </c>
      <c r="BU74" s="85" t="n">
        <f aca="false">Z74*(1-R74)</f>
        <v>25413</v>
      </c>
      <c r="BV74" s="85" t="n">
        <f aca="false">AA74*(1-R74)</f>
        <v>25413</v>
      </c>
      <c r="BW74" s="85" t="n">
        <f aca="false">BT74+BU74+BV74</f>
        <v>76239</v>
      </c>
      <c r="BX74" s="90" t="n">
        <f aca="false">IF(BT74&gt;0,BP74/BT74,0)</f>
        <v>0.292862687304195</v>
      </c>
      <c r="BY74" s="90" t="n">
        <f aca="false">IF(BU74&gt;0,BQ74/BU74,0)</f>
        <v>0.303371991305217</v>
      </c>
      <c r="BZ74" s="90" t="n">
        <f aca="false">IF(BV74&gt;0,BR74/BV74,0)</f>
        <v>0.242246141327152</v>
      </c>
      <c r="CA74" s="90" t="n">
        <f aca="false">INDEX(in_mkt_listing_3464,1,C74)*(1-IF(sku_flute_3464="B",T74,0))*(1-S74)*N74</f>
        <v>0.234</v>
      </c>
      <c r="CB74" s="90" t="n">
        <f aca="false">INDEX(in_mkt_listing_3463,1,C74)*(1-IF(sku_flute_3463="B",T74,0))*(1-S74)*N74</f>
        <v>0.27</v>
      </c>
      <c r="CC74" s="90" t="n">
        <f aca="false">INDEX(in_mkt_listing_3460,1,C74)*(1-IF(sku_flute_3460="B",T74,0))*(1-S74)*N74</f>
        <v>0.225</v>
      </c>
      <c r="CD74" s="88" t="n">
        <f aca="false">BT74*CA74+BU74*CB74+BV74*CC74</f>
        <v>18526.077</v>
      </c>
      <c r="CE74" s="88" t="n">
        <f aca="false">CD74-BM74</f>
        <v>-2782.23607704791</v>
      </c>
      <c r="CF74" s="87" t="n">
        <f aca="false">IF(CD74&gt;0,CE74/CD74,0)</f>
        <v>-0.150179451216138</v>
      </c>
      <c r="CG74" s="87" t="n">
        <f aca="false">W74+INDEX(in_sel_processing,1,C74)+INDEX(in_sel_bad_debt,1,C74)</f>
        <v>0.058</v>
      </c>
      <c r="CH74" s="88" t="n">
        <f aca="false">CD74*CG74</f>
        <v>1074.512466</v>
      </c>
      <c r="CI74" s="88" t="n">
        <f aca="false">INDEX(in_sel_testing,1,C74)*X74+INDEX(in_sel_admin,1,C74)</f>
        <v>3000</v>
      </c>
      <c r="CJ74" s="79" t="n">
        <f aca="false">INDEX(in_sup_lead_days,1,C74)</f>
        <v>21</v>
      </c>
      <c r="CK74" s="79" t="n">
        <f aca="false">CJ74+INDEX(in_oce_transit,1,C74)+IF(F74=4,INDEX(in_oce_lcl_extra_days,1,C74),0)</f>
        <v>51</v>
      </c>
      <c r="CL74" s="79" t="n">
        <f aca="false">CK74+2+INDEX(in_cus_dem_days,1,C74)</f>
        <v>53</v>
      </c>
      <c r="CM74" s="79" t="n">
        <f aca="false">CL74+U74</f>
        <v>98</v>
      </c>
      <c r="CN74" s="79" t="n">
        <f aca="false">CJ74+INDEX(in_sup_vat_lag,1,C74)</f>
        <v>81</v>
      </c>
      <c r="CO74" s="91" t="n">
        <f aca="false">INDEX(in_sup_advance,1,C74)</f>
        <v>0.5</v>
      </c>
      <c r="CP74" s="88" t="n">
        <f aca="false">CO74*(AL74+AM74)+AO74+INDEX(in_sel_testing,1,C74)*X74</f>
        <v>8955.05980126879</v>
      </c>
      <c r="CQ74" s="88" t="n">
        <f aca="false">(1-CO74)*(AL74+AM74)+AR74+AU74+AZ74</f>
        <v>12037.9769890175</v>
      </c>
      <c r="CR74" s="88" t="n">
        <f aca="false">BB74+BC74+BD74+BF74+BJ74</f>
        <v>1980.72957128379</v>
      </c>
      <c r="CS74" s="88" t="n">
        <f aca="false">BK74+BL74</f>
        <v>2420</v>
      </c>
      <c r="CT74" s="88" t="n">
        <f aca="false">IF(K74=2,AM74,0)</f>
        <v>1585.45328452216</v>
      </c>
      <c r="CU74" s="85" t="n">
        <f aca="false">IF(K74=2,CO74*AM74*(CN74-0)+(1-CO74)*AM74*(CN74-CJ74),0)</f>
        <v>111774.456558812</v>
      </c>
      <c r="CV74" s="85" t="n">
        <f aca="false">(CP74-CO74*CT74)*(CM74-0)+(CQ74-(1-CO74)*CT74)*(CM74-CJ74)+CR74*(CM74-CK74)+CS74*(CM74-CL74)</f>
        <v>1867787.21613334</v>
      </c>
      <c r="CW74" s="88" t="n">
        <f aca="false">INDEX(in_sel_fin_rate,1,C74)/365*(CU74+CV74)</f>
        <v>542.345663751274</v>
      </c>
      <c r="CX74" s="85" t="n">
        <f aca="false">CP74-IF(CN74&lt;=0,CT74,0)</f>
        <v>8955.05980126879</v>
      </c>
      <c r="CY74" s="85" t="n">
        <f aca="false">CP74+CQ74-IF(CN74&lt;=CJ74,CT74,0)</f>
        <v>20993.0367902863</v>
      </c>
      <c r="CZ74" s="85" t="n">
        <f aca="false">CP74+CQ74+CR74-IF(CN74&lt;=CK74,CT74,0)</f>
        <v>22973.7663615701</v>
      </c>
      <c r="DA74" s="85" t="n">
        <f aca="false">CP74+CQ74+CR74+CS74-IF(CN74&lt;=CL74,CT74,0)</f>
        <v>25393.7663615701</v>
      </c>
      <c r="DB74" s="88" t="n">
        <f aca="false">MAX(CX74,CY74,CZ74,DA74)</f>
        <v>25393.7663615701</v>
      </c>
      <c r="DC74" s="88" t="n">
        <f aca="false">CP74+CQ74+CR74+CS74</f>
        <v>25393.7663615701</v>
      </c>
      <c r="DD74" s="88" t="n">
        <f aca="false">CE74-CH74-CI74-CW74</f>
        <v>-7399.09420679918</v>
      </c>
      <c r="DE74" s="87" t="n">
        <f aca="false">IF(CD74&gt;0,DD74/CD74,0)</f>
        <v>-0.399388073729759</v>
      </c>
      <c r="DF74" s="86" t="n">
        <f aca="false">IF(CD74&gt;0,(BM74+CI74+CW74)/(CD74*(1-CG74)),0)</f>
        <v>1.42397884684688</v>
      </c>
      <c r="DG74" s="90" t="n">
        <f aca="false">IF(BW74&gt;0,BM74/BW74,0)</f>
        <v>0.279493606645522</v>
      </c>
      <c r="DH74" s="90" t="n">
        <f aca="false">IF(BW74&gt;0,CD74/BW74,0)</f>
        <v>0.243</v>
      </c>
      <c r="DI74" s="90" t="n">
        <f aca="false">IF(AI74&gt;0,(AI74*IF(K74=3,INDEX(in_sup_vat_rate,1,C74),0)+AV74*BA74+(BC74+BD74)*AV74/AY74+AZ74*AI74/AL74)/AI74,0)</f>
        <v>0.136336711689146</v>
      </c>
      <c r="DJ74" s="90" t="n">
        <f aca="false">IF(AJ74&gt;0,(AJ74*IF(K74=3,INDEX(in_sup_vat_rate,1,C74),0)+AW74*BA74+(BC74+BD74)*AW74/AY74+AZ74*AJ74/AL74)/AJ74,0)</f>
        <v>0.136336711689146</v>
      </c>
      <c r="DK74" s="90" t="n">
        <f aca="false">IF(AK74&gt;0,(AK74*IF(K74=3,INDEX(in_sup_vat_rate,1,C74),0)+AX74*BA74+(BC74+BD74)*AX74/AY74+AZ74*AK74/AL74)/AK74,0)</f>
        <v>0.136336711689146</v>
      </c>
      <c r="DL74" s="90" t="n">
        <f aca="false">IF(Y74&gt;0,(BP74-AI74*(1+DI74))/Y74,0)</f>
        <v>0.108356196715338</v>
      </c>
      <c r="DM74" s="90" t="n">
        <f aca="false">IF(Z74&gt;0,(BQ74-AJ74*(1+DJ74))/Z74,0)</f>
        <v>0.128720150562187</v>
      </c>
      <c r="DN74" s="90" t="n">
        <f aca="false">IF(AA74&gt;0,(BR74-AK74*(1+DK74))/AA74,0)</f>
        <v>0.0900429935076478</v>
      </c>
      <c r="DO74" s="86" t="n">
        <f aca="false">IF(Y74&gt;0,(CA74*(1-thr_gm_go)*(1-R74)-DL74)/(1+DI74)*I74/((1+AH74)*J74),"")</f>
        <v>2.99609358174001</v>
      </c>
      <c r="DP74" s="86" t="n">
        <f aca="false">IF(Z74&gt;0,(CB74*(1-thr_gm_go)*(1-R74)-DM74)/(1+DJ74)*I74/((1+AH74)*J74),"")</f>
        <v>3.28548158719703</v>
      </c>
      <c r="DQ74" s="86" t="n">
        <f aca="false">IF(AA74&gt;0,(CC74*(1-thr_gm_go)*(1-R74)-DN74)/(1+DK74)*I74/((1+AH74)*J74),"")</f>
        <v>3.53782490029446</v>
      </c>
      <c r="DR74" s="92" t="n">
        <f aca="false">IF(AND(AY74*INDEX(in_cus_mpf_rate,1,C74)&gt;INDEX(in_cus_mpf_min,1,C74),AY74*INDEX(in_cus_mpf_rate,1,C74)&lt;INDEX(in_cus_mpf_max,1,C74)),INDEX(in_cus_mpf_rate,1,C74),0)</f>
        <v>0.003464</v>
      </c>
      <c r="DS74" s="88" t="n">
        <f aca="false">IF(AZ74&gt;INDEX(in_oce_ins_min,1,C74),INDEX(in_oce_ins_rate,1,C74)*(1+INDEX(in_oce_ins_uplift,1,C74))*AL74,0)</f>
        <v>0</v>
      </c>
      <c r="DT74" s="88" t="n">
        <f aca="false">(AL74+AN74)*(1+BA74+INDEX(in_cus_hmf,1,C74)+DR74)+DS74</f>
        <v>12793.6340847905</v>
      </c>
      <c r="DU74" s="86" t="n">
        <f aca="false">IF(DT74&gt;0,(CD74*(1-thr_gm_go)-(BM74-DT74))/DT74,0)</f>
        <v>0.420512164259751</v>
      </c>
      <c r="DV74" s="86" t="n">
        <f aca="false">IF(DT74&gt;0,(CD74-(BM74-DT74))/DT74,0)</f>
        <v>0.782529650402028</v>
      </c>
      <c r="DW74" s="87" t="n">
        <f aca="false">(1+AH74)*J74*DU74-1</f>
        <v>-0.579487835740249</v>
      </c>
      <c r="DX74" s="87" t="n">
        <f aca="false">(1+AH74)*J74*DV74-1</f>
        <v>-0.217470349597972</v>
      </c>
      <c r="DY74" s="85" t="n">
        <f aca="false">IF(G74&gt;0,(CD74*(1-thr_gm_go)-(BM74-AT74))/G74,"")</f>
        <v>-3313.75532704791</v>
      </c>
      <c r="DZ74" s="90" t="n">
        <f aca="false">IF(AB74&gt;0,(AL74+AN74+BB74+BC74+BD74)/AB74,0)</f>
        <v>0.165292430036053</v>
      </c>
      <c r="EA74" s="88" t="n">
        <f aca="false">BM74-DZ74*AB74</f>
        <v>8514.67899225744</v>
      </c>
      <c r="EB74" s="90" t="n">
        <f aca="false">IF(AB74&gt;0,CD74/AB74,0)</f>
        <v>0.239355</v>
      </c>
      <c r="EC74" s="85" t="n">
        <f aca="false">IF(EB74*(1-thr_gm_go)-DZ74&gt;0,EA74/(EB74*(1-thr_gm_go)-DZ74),"n/a")</f>
        <v>598621.11681948</v>
      </c>
      <c r="ED74" s="85" t="n">
        <f aca="false">IF(EB74-DZ74&gt;0,EA74/(EB74-DZ74),"n/a")</f>
        <v>114966.021249361</v>
      </c>
      <c r="EE74" s="93" t="b">
        <f aca="false">INDEX(cfg_fits,D74,C74)</f>
        <v>1</v>
      </c>
      <c r="EF74" s="87" t="n">
        <f aca="false">IF(F74=4,"",INDEX(cfg_lenutil,D74,C74))</f>
        <v>0.999580888516345</v>
      </c>
      <c r="EG74" s="31" t="str">
        <f aca="false">IF(O74&gt;1,"Check fit (units scaled up)","")</f>
        <v/>
      </c>
    </row>
    <row r="75" customFormat="false" ht="15" hidden="false" customHeight="false" outlineLevel="0" collapsed="false">
      <c r="A75" s="78" t="n">
        <v>2051</v>
      </c>
      <c r="B75" s="9" t="s">
        <v>3223</v>
      </c>
      <c r="C75" s="78" t="n">
        <v>2</v>
      </c>
      <c r="D75" s="78" t="n">
        <v>5</v>
      </c>
      <c r="E75" s="78" t="n">
        <v>1</v>
      </c>
      <c r="F75" s="79" t="n">
        <f aca="false">INDEX(cfg_ct,D75)</f>
        <v>3</v>
      </c>
      <c r="G75" s="79" t="n">
        <f aca="false">INDEX(cfg_n,D75)</f>
        <v>1</v>
      </c>
      <c r="H75" s="79" t="n">
        <f aca="false">INDEX(dest_port,E75)</f>
        <v>1</v>
      </c>
      <c r="I75" s="80" t="n">
        <f aca="false">INDEX(in_fx_cbe,1,C75)*(1-INDEX(in_fx_spread,1,C75))</f>
        <v>52.7748</v>
      </c>
      <c r="J75" s="81" t="n">
        <f aca="false">1</f>
        <v>1</v>
      </c>
      <c r="K75" s="82" t="n">
        <f aca="false">INDEX(in_sup_vat_mode,1,C75)</f>
        <v>2</v>
      </c>
      <c r="L75" s="83" t="n">
        <f aca="false">INDEX(in_cus_s301,1,C75)</f>
        <v>0.125</v>
      </c>
      <c r="M75" s="84" t="n">
        <f aca="false">1</f>
        <v>1</v>
      </c>
      <c r="N75" s="81" t="n">
        <f aca="false">1</f>
        <v>1</v>
      </c>
      <c r="O75" s="81" t="n">
        <f aca="false">1</f>
        <v>1</v>
      </c>
      <c r="P75" s="81" t="n">
        <f aca="false">1</f>
        <v>1</v>
      </c>
      <c r="Q75" s="81" t="n">
        <f aca="false">1</f>
        <v>1</v>
      </c>
      <c r="R75" s="83" t="n">
        <f aca="false">INDEX(in_sel_damage,1,C75)</f>
        <v>0.015</v>
      </c>
      <c r="S75" s="83" t="n">
        <f aca="false">INDEX(in_mkt_dist_margin,1,C75)</f>
        <v>0.25</v>
      </c>
      <c r="T75" s="83" t="n">
        <f aca="false">INDEX(in_mkt_eflute_disc,1,C75)</f>
        <v>0.2</v>
      </c>
      <c r="U75" s="82" t="n">
        <f aca="false">INDEX(in_sel_credit_days,1,C75)</f>
        <v>45</v>
      </c>
      <c r="V75" s="81" t="n">
        <f aca="false">1</f>
        <v>1</v>
      </c>
      <c r="W75" s="83" t="n">
        <f aca="false">INDEX(in_sel_commission,1,C75)</f>
        <v>0.05</v>
      </c>
      <c r="X75" s="82" t="n">
        <f aca="false">1</f>
        <v>1</v>
      </c>
      <c r="Y75" s="85" t="n">
        <f aca="false">INDEX(cfg_u_3464,D75,C75)*O75</f>
        <v>76000</v>
      </c>
      <c r="Z75" s="85" t="n">
        <f aca="false">INDEX(cfg_u_3463,D75,C75)*O75</f>
        <v>0</v>
      </c>
      <c r="AA75" s="85" t="n">
        <f aca="false">INDEX(cfg_u_3460,D75,C75)*O75</f>
        <v>0</v>
      </c>
      <c r="AB75" s="85" t="n">
        <f aca="false">Y75+Z75+AA75</f>
        <v>76000</v>
      </c>
      <c r="AC75" s="86" t="n">
        <f aca="false">Y75*INDEX(lg_vpu_3464,C75)</f>
        <v>54.065792</v>
      </c>
      <c r="AD75" s="86" t="n">
        <f aca="false">Z75*INDEX(lg_vpu_3463,C75)</f>
        <v>0</v>
      </c>
      <c r="AE75" s="86" t="n">
        <f aca="false">AA75*INDEX(lg_vpu_3460,C75)</f>
        <v>0</v>
      </c>
      <c r="AF75" s="86" t="n">
        <f aca="false">AC75+AD75+AE75</f>
        <v>54.065792</v>
      </c>
      <c r="AG75" s="85" t="n">
        <f aca="false">Y75*INDEX(lg_kpu_3464,C75)+Z75*INDEX(lg_kpu_3463,C75)+AA75*INDEX(lg_kpu_3460,C75)</f>
        <v>13002.149312</v>
      </c>
      <c r="AH75" s="87" t="n">
        <f aca="false">INDEX(in_sup_requote,1,C75)</f>
        <v>0</v>
      </c>
      <c r="AI75" s="88" t="n">
        <f aca="false">Y75*q_price_3464*(1+AH75)*J75/I75</f>
        <v>12046.2796637789</v>
      </c>
      <c r="AJ75" s="88" t="n">
        <f aca="false">Z75*q_price_3463*(1+AH75)*J75/I75</f>
        <v>0</v>
      </c>
      <c r="AK75" s="88" t="n">
        <f aca="false">AA75*q_price_3460*(1+AH75)*J75/I75</f>
        <v>0</v>
      </c>
      <c r="AL75" s="88" t="n">
        <f aca="false">AI75+AJ75+AK75</f>
        <v>12046.2796637789</v>
      </c>
      <c r="AM75" s="88" t="n">
        <f aca="false">IF(OR(K75=2,K75=3),AL75*INDEX(in_sup_vat_rate,1,C75),0)</f>
        <v>1686.47915292905</v>
      </c>
      <c r="AN75" s="88" t="n">
        <f aca="false">IF(K75=3,AM75,0)</f>
        <v>0</v>
      </c>
      <c r="AO75" s="88" t="n">
        <f aca="false">INDEX(in_sup_tooling_egp,1,C75)/I75</f>
        <v>0</v>
      </c>
      <c r="AP75" s="88" t="n">
        <f aca="false">IF(F75=4,INDEX(in_ori_lcl_truck,1,C75)*V75/I75+INDEX(in_ori_lcl_cfs_o,1,C75),G75*(IF(F75=1,INDEX(in_ori_truck_20,1,C75),INDEX(in_ori_truck_40,1,C75))*V75/I75+INDEX(in_ori_terminal,1,C75)+IF(F75=1,INDEX(in_ori_othc_20,1,C75),INDEX(in_ori_othc_40,1,C75))*(1-INDEX(in_ori_othc_in_freight,1,C75))+INDEX(in_ori_seal,1,C75)+INDEX(in_ori_inspection,1,C75)+INDEX(in_ori_dd_days,1,C75)*IF(F75=1,INDEX(in_ori_dd_20,1,C75),INDEX(in_ori_dd_40,1,C75))+INDEX(in_ori_loading_egp,1,C75)/I75))</f>
        <v>555.278125165799</v>
      </c>
      <c r="AQ75" s="88" t="n">
        <f aca="false">(INDEX(in_ori_clearance,1,C75)+INDEX(in_ori_coo,1,C75))/I75+INDEX(in_ori_bl_fee,1,C75)+INDEX(in_ori_fwd_fee,1,C75)+INDEX(in_ori_qc,1,C75)+INDEX(in_ori_wires,1,C75)*INDEX(in_ori_wire_fee,1,C75)</f>
        <v>817.639062582899</v>
      </c>
      <c r="AR75" s="88" t="n">
        <f aca="false">AP75+AQ75</f>
        <v>1372.9171877487</v>
      </c>
      <c r="AS75" s="85" t="n">
        <f aca="false">INDEX(tbl_port_diff,H75,C75)</f>
        <v>0</v>
      </c>
      <c r="AT75" s="88" t="n">
        <f aca="false">IF(F75=4,MAX(AF75*INDEX(in_oce_lcl_factor,1,C75),AG75/1000,1)*INDEX(in_oce_lcl_rate,1,C75)*M75,G75*(INDEX(tbl_ocean_rate,MIN(F75,3),C75)+AS75)*M75)</f>
        <v>4000</v>
      </c>
      <c r="AU75" s="88" t="n">
        <f aca="false">AT75+INDEX(in_oce_ams,1,C75)</f>
        <v>4035</v>
      </c>
      <c r="AV75" s="88" t="n">
        <f aca="false">AI75*(1+IF(K75=3,INDEX(in_sup_vat_rate,1,C75),0))+AO75*Y75/AB75</f>
        <v>12046.2796637789</v>
      </c>
      <c r="AW75" s="88" t="n">
        <f aca="false">AJ75*(1+IF(K75=3,INDEX(in_sup_vat_rate,1,C75),0))+AO75*Z75/AB75</f>
        <v>0</v>
      </c>
      <c r="AX75" s="88" t="n">
        <f aca="false">AK75*(1+IF(K75=3,INDEX(in_sup_vat_rate,1,C75),0))+AO75*AA75/AB75</f>
        <v>0</v>
      </c>
      <c r="AY75" s="88" t="n">
        <f aca="false">AV75+AW75+AX75</f>
        <v>12046.2796637789</v>
      </c>
      <c r="AZ75" s="88" t="n">
        <f aca="false">MAX(INDEX(in_oce_ins_min,1,C75),INDEX(in_oce_ins_rate,1,C75)*(1+INDEX(in_oce_ins_uplift,1,C75))*(AL75+AO75+AR75+AU75))*(1-INDEX(in_oce_ins_in_other,1,C75))</f>
        <v>75</v>
      </c>
      <c r="BA75" s="87" t="n">
        <f aca="false">INDEX(in_cus_mfn,1,C75)+L75</f>
        <v>0.125</v>
      </c>
      <c r="BB75" s="88" t="n">
        <f aca="false">AY75*BA75</f>
        <v>1505.78495797237</v>
      </c>
      <c r="BC75" s="88" t="n">
        <f aca="false">MIN(MAX(AY75*INDEX(in_cus_mpf_rate,1,C75),INDEX(in_cus_mpf_min,1,C75)),INDEX(in_cus_mpf_max,1,C75))</f>
        <v>41.7283127553302</v>
      </c>
      <c r="BD75" s="88" t="n">
        <f aca="false">AY75*INDEX(in_cus_hmf,1,C75)</f>
        <v>15.0578495797237</v>
      </c>
      <c r="BE75" s="88" t="n">
        <f aca="false">MAX(INDEX(in_cus_stb_min,1,C75),INDEX(in_cus_stb_rate,1,C75)/1000*(AY75+BB75+BC75+BD75))</f>
        <v>81.6531047045181</v>
      </c>
      <c r="BF75" s="88" t="n">
        <f aca="false">INDEX(in_cus_broker,1,C75)+INDEX(in_cus_isf,1,C75)+INDEX(in_cus_do_fee,1,C75)+BE75+INDEX(in_cus_isf_bond,1,C75)</f>
        <v>516.653104704518</v>
      </c>
      <c r="BG75" s="88" t="n">
        <f aca="false">IF(H75=1,INDEX(in_cus_cfc,1,C75)*INDEX(ct_teu,F75)*G75*(1-INDEX(in_cus_cfc_in_freight,1,C75)),0)</f>
        <v>29.6</v>
      </c>
      <c r="BH75" s="88" t="n">
        <f aca="false">IF(F75=4,1,G75)*(INDEX(in_cus_exam,1,C75)+INDEX(in_cus_exam_dray,1,C75))</f>
        <v>0</v>
      </c>
      <c r="BI75" s="88" t="n">
        <f aca="false">IF(F75=4,1,G75)*INDEX(in_cus_dem_days,1,C75)*INDEX(in_cus_dem_rate,1,C75)</f>
        <v>0</v>
      </c>
      <c r="BJ75" s="88" t="n">
        <f aca="false">BG75+BH75+BI75</f>
        <v>29.6</v>
      </c>
      <c r="BK75" s="88" t="n">
        <f aca="false">IF(F75=4,(INDEX(in_dra_lcl_cfs_d,1,C75)+INDEX(in_dra_lcl_deliv,1,C75))*P75,G75*(INDEX(tbl_dest_line,E75,C75)*P75*(1+INDEX(in_dra_fsc,1,C75))+INDEX(tbl_dest_tolls,E75,C75)+INDEX(in_dra_chassis_days,1,C75)*INDEX(tbl_dest_chassis,E75,C75)*(1-INDEX(in_dra_chassis_in_dray,1,C75))+INDEX(in_dra_wait_hours,1,C75)*INDEX(in_dra_wait_rate,1,C75)+INDEX(in_dra_split,1,C75)+INDEX(in_dra_prepull,1,C75)+INDEX(in_dra_dryrun,1,C75)))</f>
        <v>1060</v>
      </c>
      <c r="BL75" s="88" t="n">
        <f aca="false">IF(F75=4,0,G75*IF(F75=1,INDEX(in_dra_unload_20,1,C75),INDEX(in_dra_unload_40,1,C75))*Q75*(1-INDEX(in_dra_unload_in_dray,1,C75)))</f>
        <v>450</v>
      </c>
      <c r="BM75" s="88" t="n">
        <f aca="false">AL75+AN75+AO75+AR75+AU75+AZ75+BB75+BC75+BD75+BF75+BJ75+BK75+BL75</f>
        <v>21148.0210765396</v>
      </c>
      <c r="BN75" s="88" t="n">
        <f aca="false">AP75+AU75+BJ75+BK75+BL75</f>
        <v>6129.8781251658</v>
      </c>
      <c r="BO75" s="88" t="n">
        <f aca="false">AQ75+BF75</f>
        <v>1334.29216728742</v>
      </c>
      <c r="BP75" s="88" t="n">
        <f aca="false">AI75*(1+IF(K75=3,INDEX(in_sup_vat_rate,1,C75),0))+AO75*Y75/AB75+AV75*BA75+(BC75+BD75)*AV75/AY75+AZ75*AI75/AL75+BN75*AC75/AF75+BO75*Y75/AB75</f>
        <v>21148.0210765396</v>
      </c>
      <c r="BQ75" s="88" t="n">
        <f aca="false">AJ75*(1+IF(K75=3,INDEX(in_sup_vat_rate,1,C75),0))+AO75*Z75/AB75+AW75*BA75+(BC75+BD75)*AW75/AY75+AZ75*AJ75/AL75+BN75*AD75/AF75+BO75*Z75/AB75</f>
        <v>0</v>
      </c>
      <c r="BR75" s="88" t="n">
        <f aca="false">AK75*(1+IF(K75=3,INDEX(in_sup_vat_rate,1,C75),0))+AO75*AA75/AB75+AX75*BA75+(BC75+BD75)*AX75/AY75+AZ75*AK75/AL75+BN75*AE75/AF75+BO75*AA75/AB75</f>
        <v>0</v>
      </c>
      <c r="BS75" s="89" t="n">
        <f aca="false">BP75+BQ75+BR75-BM75</f>
        <v>0</v>
      </c>
      <c r="BT75" s="85" t="n">
        <f aca="false">Y75*(1-R75)</f>
        <v>74860</v>
      </c>
      <c r="BU75" s="85" t="n">
        <f aca="false">Z75*(1-R75)</f>
        <v>0</v>
      </c>
      <c r="BV75" s="85" t="n">
        <f aca="false">AA75*(1-R75)</f>
        <v>0</v>
      </c>
      <c r="BW75" s="85" t="n">
        <f aca="false">BT75+BU75+BV75</f>
        <v>74860</v>
      </c>
      <c r="BX75" s="90" t="n">
        <f aca="false">IF(BT75&gt;0,BP75/BT75,0)</f>
        <v>0.282500949459519</v>
      </c>
      <c r="BY75" s="90" t="n">
        <f aca="false">IF(BU75&gt;0,BQ75/BU75,0)</f>
        <v>0</v>
      </c>
      <c r="BZ75" s="90" t="n">
        <f aca="false">IF(BV75&gt;0,BR75/BV75,0)</f>
        <v>0</v>
      </c>
      <c r="CA75" s="90" t="n">
        <f aca="false">INDEX(in_mkt_listing_3464,1,C75)*(1-IF(sku_flute_3464="B",T75,0))*(1-S75)*N75</f>
        <v>0.234</v>
      </c>
      <c r="CB75" s="90" t="n">
        <f aca="false">INDEX(in_mkt_listing_3463,1,C75)*(1-IF(sku_flute_3463="B",T75,0))*(1-S75)*N75</f>
        <v>0.27</v>
      </c>
      <c r="CC75" s="90" t="n">
        <f aca="false">INDEX(in_mkt_listing_3460,1,C75)*(1-IF(sku_flute_3460="B",T75,0))*(1-S75)*N75</f>
        <v>0.225</v>
      </c>
      <c r="CD75" s="88" t="n">
        <f aca="false">BT75*CA75+BU75*CB75+BV75*CC75</f>
        <v>17517.24</v>
      </c>
      <c r="CE75" s="88" t="n">
        <f aca="false">CD75-BM75</f>
        <v>-3630.78107653956</v>
      </c>
      <c r="CF75" s="87" t="n">
        <f aca="false">IF(CD75&gt;0,CE75/CD75,0)</f>
        <v>-0.207269014784267</v>
      </c>
      <c r="CG75" s="87" t="n">
        <f aca="false">W75+INDEX(in_sel_processing,1,C75)+INDEX(in_sel_bad_debt,1,C75)</f>
        <v>0.058</v>
      </c>
      <c r="CH75" s="88" t="n">
        <f aca="false">CD75*CG75</f>
        <v>1015.99992</v>
      </c>
      <c r="CI75" s="88" t="n">
        <f aca="false">INDEX(in_sel_testing,1,C75)*X75+INDEX(in_sel_admin,1,C75)</f>
        <v>3000</v>
      </c>
      <c r="CJ75" s="79" t="n">
        <f aca="false">INDEX(in_sup_lead_days,1,C75)</f>
        <v>21</v>
      </c>
      <c r="CK75" s="79" t="n">
        <f aca="false">CJ75+INDEX(in_oce_transit,1,C75)+IF(F75=4,INDEX(in_oce_lcl_extra_days,1,C75),0)</f>
        <v>51</v>
      </c>
      <c r="CL75" s="79" t="n">
        <f aca="false">CK75+2+INDEX(in_cus_dem_days,1,C75)</f>
        <v>53</v>
      </c>
      <c r="CM75" s="79" t="n">
        <f aca="false">CL75+U75</f>
        <v>98</v>
      </c>
      <c r="CN75" s="79" t="n">
        <f aca="false">CJ75+INDEX(in_sup_vat_lag,1,C75)</f>
        <v>81</v>
      </c>
      <c r="CO75" s="91" t="n">
        <f aca="false">INDEX(in_sup_advance,1,C75)</f>
        <v>0.5</v>
      </c>
      <c r="CP75" s="88" t="n">
        <f aca="false">CO75*(AL75+AM75)+AO75+INDEX(in_sel_testing,1,C75)*X75</f>
        <v>9366.37940835399</v>
      </c>
      <c r="CQ75" s="88" t="n">
        <f aca="false">(1-CO75)*(AL75+AM75)+AR75+AU75+AZ75</f>
        <v>12349.2965961027</v>
      </c>
      <c r="CR75" s="88" t="n">
        <f aca="false">BB75+BC75+BD75+BF75+BJ75</f>
        <v>2108.82422501194</v>
      </c>
      <c r="CS75" s="88" t="n">
        <f aca="false">BK75+BL75</f>
        <v>1510</v>
      </c>
      <c r="CT75" s="88" t="n">
        <f aca="false">IF(K75=2,AM75,0)</f>
        <v>1686.47915292905</v>
      </c>
      <c r="CU75" s="85" t="n">
        <f aca="false">IF(K75=2,CO75*AM75*(CN75-0)+(1-CO75)*AM75*(CN75-CJ75),0)</f>
        <v>118896.780281498</v>
      </c>
      <c r="CV75" s="85" t="n">
        <f aca="false">(CP75-CO75*CT75)*(CM75-0)+(CQ75-(1-CO75)*CT75)*(CM75-CJ75)+CR75*(CM75-CK75)+CS75*(CM75-CL75)</f>
        <v>1888298.83261287</v>
      </c>
      <c r="CW75" s="88" t="n">
        <f aca="false">INDEX(in_sel_fin_rate,1,C75)/365*(CU75+CV75)</f>
        <v>549.916606272429</v>
      </c>
      <c r="CX75" s="85" t="n">
        <f aca="false">CP75-IF(CN75&lt;=0,CT75,0)</f>
        <v>9366.37940835399</v>
      </c>
      <c r="CY75" s="85" t="n">
        <f aca="false">CP75+CQ75-IF(CN75&lt;=CJ75,CT75,0)</f>
        <v>21715.6760044567</v>
      </c>
      <c r="CZ75" s="85" t="n">
        <f aca="false">CP75+CQ75+CR75-IF(CN75&lt;=CK75,CT75,0)</f>
        <v>23824.5002294686</v>
      </c>
      <c r="DA75" s="85" t="n">
        <f aca="false">CP75+CQ75+CR75+CS75-IF(CN75&lt;=CL75,CT75,0)</f>
        <v>25334.5002294686</v>
      </c>
      <c r="DB75" s="88" t="n">
        <f aca="false">MAX(CX75,CY75,CZ75,DA75)</f>
        <v>25334.5002294686</v>
      </c>
      <c r="DC75" s="88" t="n">
        <f aca="false">CP75+CQ75+CR75+CS75</f>
        <v>25334.5002294686</v>
      </c>
      <c r="DD75" s="88" t="n">
        <f aca="false">CE75-CH75-CI75-CW75</f>
        <v>-8196.69760281199</v>
      </c>
      <c r="DE75" s="87" t="n">
        <f aca="false">IF(CD75&gt;0,DD75/CD75,0)</f>
        <v>-0.467921750390586</v>
      </c>
      <c r="DF75" s="86" t="n">
        <f aca="false">IF(CD75&gt;0,(BM75+CI75+CW75)/(CD75*(1-CG75)),0)</f>
        <v>1.49673221909829</v>
      </c>
      <c r="DG75" s="90" t="n">
        <f aca="false">IF(BW75&gt;0,BM75/BW75,0)</f>
        <v>0.282500949459519</v>
      </c>
      <c r="DH75" s="90" t="n">
        <f aca="false">IF(BW75&gt;0,CD75/BW75,0)</f>
        <v>0.234</v>
      </c>
      <c r="DI75" s="90" t="n">
        <f aca="false">IF(AI75&gt;0,(AI75*IF(K75=3,INDEX(in_sup_vat_rate,1,C75),0)+AV75*BA75+(BC75+BD75)*AV75/AY75+AZ75*AI75/AL75)/AI75,0)</f>
        <v>0.135939988611697</v>
      </c>
      <c r="DJ75" s="90" t="n">
        <f aca="false">IF(AJ75&gt;0,(AJ75*IF(K75=3,INDEX(in_sup_vat_rate,1,C75),0)+AW75*BA75+(BC75+BD75)*AW75/AY75+AZ75*AJ75/AL75)/AJ75,0)</f>
        <v>0</v>
      </c>
      <c r="DK75" s="90" t="n">
        <f aca="false">IF(AK75&gt;0,(AK75*IF(K75=3,INDEX(in_sup_vat_rate,1,C75),0)+AX75*BA75+(BC75+BD75)*AX75/AY75+AZ75*AK75/AL75)/AK75,0)</f>
        <v>0</v>
      </c>
      <c r="DL75" s="90" t="n">
        <f aca="false">IF(Y75&gt;0,(BP75-AI75*(1+DI75))/Y75,0)</f>
        <v>0.0982127670059634</v>
      </c>
      <c r="DM75" s="90" t="n">
        <f aca="false">IF(Z75&gt;0,(BQ75-AJ75*(1+DJ75))/Z75,0)</f>
        <v>0</v>
      </c>
      <c r="DN75" s="90" t="n">
        <f aca="false">IF(AA75&gt;0,(BR75-AK75*(1+DK75))/AA75,0)</f>
        <v>0</v>
      </c>
      <c r="DO75" s="86" t="n">
        <f aca="false">IF(Y75&gt;0,(CA75*(1-thr_gm_go)*(1-R75)-DL75)/(1+DI75)*I75/((1+AH75)*J75),"")</f>
        <v>3.46839502289982</v>
      </c>
      <c r="DP75" s="86" t="str">
        <f aca="false">IF(Z75&gt;0,(CB75*(1-thr_gm_go)*(1-R75)-DM75)/(1+DJ75)*I75/((1+AH75)*J75),"")</f>
        <v/>
      </c>
      <c r="DQ75" s="86" t="str">
        <f aca="false">IF(AA75&gt;0,(CC75*(1-thr_gm_go)*(1-R75)-DN75)/(1+DK75)*I75/((1+AH75)*J75),"")</f>
        <v/>
      </c>
      <c r="DR75" s="92" t="n">
        <f aca="false">IF(AND(AY75*INDEX(in_cus_mpf_rate,1,C75)&gt;INDEX(in_cus_mpf_min,1,C75),AY75*INDEX(in_cus_mpf_rate,1,C75)&lt;INDEX(in_cus_mpf_max,1,C75)),INDEX(in_cus_mpf_rate,1,C75),0)</f>
        <v>0.003464</v>
      </c>
      <c r="DS75" s="88" t="n">
        <f aca="false">IF(AZ75&gt;INDEX(in_oce_ins_min,1,C75),INDEX(in_oce_ins_rate,1,C75)*(1+INDEX(in_oce_ins_uplift,1,C75))*AL75,0)</f>
        <v>0</v>
      </c>
      <c r="DT75" s="88" t="n">
        <f aca="false">(AL75+AN75)*(1+BA75+INDEX(in_cus_hmf,1,C75)+DR75)+DS75</f>
        <v>13608.8507840863</v>
      </c>
      <c r="DU75" s="86" t="n">
        <f aca="false">IF(DT75&gt;0,(CD75*(1-thr_gm_go)-(BM75-DT75))/DT75,0)</f>
        <v>0.411405767935508</v>
      </c>
      <c r="DV75" s="86" t="n">
        <f aca="false">IF(DT75&gt;0,(CD75-(BM75-DT75))/DT75,0)</f>
        <v>0.733204431869791</v>
      </c>
      <c r="DW75" s="87" t="n">
        <f aca="false">(1+AH75)*J75*DU75-1</f>
        <v>-0.588594232064492</v>
      </c>
      <c r="DX75" s="87" t="n">
        <f aca="false">(1+AH75)*J75*DV75-1</f>
        <v>-0.266795568130209</v>
      </c>
      <c r="DY75" s="85" t="n">
        <f aca="false">IF(G75&gt;0,(CD75*(1-thr_gm_go)-(BM75-AT75))/G75,"")</f>
        <v>-4010.09107653956</v>
      </c>
      <c r="DZ75" s="90" t="n">
        <f aca="false">IF(AB75&gt;0,(AL75+AN75+BB75+BC75+BD75)/AB75,0)</f>
        <v>0.179063826106399</v>
      </c>
      <c r="EA75" s="88" t="n">
        <f aca="false">BM75-DZ75*AB75</f>
        <v>7539.17029245322</v>
      </c>
      <c r="EB75" s="90" t="n">
        <f aca="false">IF(AB75&gt;0,CD75/AB75,0)</f>
        <v>0.23049</v>
      </c>
      <c r="EC75" s="85" t="str">
        <f aca="false">IF(EB75*(1-thr_gm_go)-DZ75&gt;0,EA75/(EB75*(1-thr_gm_go)-DZ75),"n/a")</f>
        <v>n/a</v>
      </c>
      <c r="ED75" s="85" t="n">
        <f aca="false">IF(EB75-DZ75&gt;0,EA75/(EB75-DZ75),"n/a")</f>
        <v>146601.81229993</v>
      </c>
      <c r="EE75" s="93" t="b">
        <f aca="false">INDEX(cfg_fits,D75,C75)</f>
        <v>1</v>
      </c>
      <c r="EF75" s="87" t="n">
        <f aca="false">IF(F75=4,"",INDEX(cfg_lenutil,D75,C75))</f>
        <v>0.991198658843252</v>
      </c>
      <c r="EG75" s="31" t="str">
        <f aca="false">IF(O75&gt;1,"Check fit (units scaled up)","")</f>
        <v/>
      </c>
    </row>
    <row r="76" customFormat="false" ht="15" hidden="false" customHeight="false" outlineLevel="0" collapsed="false">
      <c r="A76" s="78" t="n">
        <v>2052</v>
      </c>
      <c r="B76" s="9" t="s">
        <v>3224</v>
      </c>
      <c r="C76" s="78" t="n">
        <v>2</v>
      </c>
      <c r="D76" s="78" t="n">
        <v>5</v>
      </c>
      <c r="E76" s="78" t="n">
        <v>2</v>
      </c>
      <c r="F76" s="79" t="n">
        <f aca="false">INDEX(cfg_ct,D76)</f>
        <v>3</v>
      </c>
      <c r="G76" s="79" t="n">
        <f aca="false">INDEX(cfg_n,D76)</f>
        <v>1</v>
      </c>
      <c r="H76" s="79" t="n">
        <f aca="false">INDEX(dest_port,E76)</f>
        <v>1</v>
      </c>
      <c r="I76" s="80" t="n">
        <f aca="false">INDEX(in_fx_cbe,1,C76)*(1-INDEX(in_fx_spread,1,C76))</f>
        <v>52.7748</v>
      </c>
      <c r="J76" s="81" t="n">
        <f aca="false">1</f>
        <v>1</v>
      </c>
      <c r="K76" s="82" t="n">
        <f aca="false">INDEX(in_sup_vat_mode,1,C76)</f>
        <v>2</v>
      </c>
      <c r="L76" s="83" t="n">
        <f aca="false">INDEX(in_cus_s301,1,C76)</f>
        <v>0.125</v>
      </c>
      <c r="M76" s="84" t="n">
        <f aca="false">1</f>
        <v>1</v>
      </c>
      <c r="N76" s="81" t="n">
        <f aca="false">1</f>
        <v>1</v>
      </c>
      <c r="O76" s="81" t="n">
        <f aca="false">1</f>
        <v>1</v>
      </c>
      <c r="P76" s="81" t="n">
        <f aca="false">1</f>
        <v>1</v>
      </c>
      <c r="Q76" s="81" t="n">
        <f aca="false">1</f>
        <v>1</v>
      </c>
      <c r="R76" s="83" t="n">
        <f aca="false">INDEX(in_sel_damage,1,C76)</f>
        <v>0.015</v>
      </c>
      <c r="S76" s="83" t="n">
        <f aca="false">INDEX(in_mkt_dist_margin,1,C76)</f>
        <v>0.25</v>
      </c>
      <c r="T76" s="83" t="n">
        <f aca="false">INDEX(in_mkt_eflute_disc,1,C76)</f>
        <v>0.2</v>
      </c>
      <c r="U76" s="82" t="n">
        <f aca="false">INDEX(in_sel_credit_days,1,C76)</f>
        <v>45</v>
      </c>
      <c r="V76" s="81" t="n">
        <f aca="false">1</f>
        <v>1</v>
      </c>
      <c r="W76" s="83" t="n">
        <f aca="false">INDEX(in_sel_commission,1,C76)</f>
        <v>0.05</v>
      </c>
      <c r="X76" s="82" t="n">
        <f aca="false">1</f>
        <v>1</v>
      </c>
      <c r="Y76" s="85" t="n">
        <f aca="false">INDEX(cfg_u_3464,D76,C76)*O76</f>
        <v>76000</v>
      </c>
      <c r="Z76" s="85" t="n">
        <f aca="false">INDEX(cfg_u_3463,D76,C76)*O76</f>
        <v>0</v>
      </c>
      <c r="AA76" s="85" t="n">
        <f aca="false">INDEX(cfg_u_3460,D76,C76)*O76</f>
        <v>0</v>
      </c>
      <c r="AB76" s="85" t="n">
        <f aca="false">Y76+Z76+AA76</f>
        <v>76000</v>
      </c>
      <c r="AC76" s="86" t="n">
        <f aca="false">Y76*INDEX(lg_vpu_3464,C76)</f>
        <v>54.065792</v>
      </c>
      <c r="AD76" s="86" t="n">
        <f aca="false">Z76*INDEX(lg_vpu_3463,C76)</f>
        <v>0</v>
      </c>
      <c r="AE76" s="86" t="n">
        <f aca="false">AA76*INDEX(lg_vpu_3460,C76)</f>
        <v>0</v>
      </c>
      <c r="AF76" s="86" t="n">
        <f aca="false">AC76+AD76+AE76</f>
        <v>54.065792</v>
      </c>
      <c r="AG76" s="85" t="n">
        <f aca="false">Y76*INDEX(lg_kpu_3464,C76)+Z76*INDEX(lg_kpu_3463,C76)+AA76*INDEX(lg_kpu_3460,C76)</f>
        <v>13002.149312</v>
      </c>
      <c r="AH76" s="87" t="n">
        <f aca="false">INDEX(in_sup_requote,1,C76)</f>
        <v>0</v>
      </c>
      <c r="AI76" s="88" t="n">
        <f aca="false">Y76*q_price_3464*(1+AH76)*J76/I76</f>
        <v>12046.2796637789</v>
      </c>
      <c r="AJ76" s="88" t="n">
        <f aca="false">Z76*q_price_3463*(1+AH76)*J76/I76</f>
        <v>0</v>
      </c>
      <c r="AK76" s="88" t="n">
        <f aca="false">AA76*q_price_3460*(1+AH76)*J76/I76</f>
        <v>0</v>
      </c>
      <c r="AL76" s="88" t="n">
        <f aca="false">AI76+AJ76+AK76</f>
        <v>12046.2796637789</v>
      </c>
      <c r="AM76" s="88" t="n">
        <f aca="false">IF(OR(K76=2,K76=3),AL76*INDEX(in_sup_vat_rate,1,C76),0)</f>
        <v>1686.47915292905</v>
      </c>
      <c r="AN76" s="88" t="n">
        <f aca="false">IF(K76=3,AM76,0)</f>
        <v>0</v>
      </c>
      <c r="AO76" s="88" t="n">
        <f aca="false">INDEX(in_sup_tooling_egp,1,C76)/I76</f>
        <v>0</v>
      </c>
      <c r="AP76" s="88" t="n">
        <f aca="false">IF(F76=4,INDEX(in_ori_lcl_truck,1,C76)*V76/I76+INDEX(in_ori_lcl_cfs_o,1,C76),G76*(IF(F76=1,INDEX(in_ori_truck_20,1,C76),INDEX(in_ori_truck_40,1,C76))*V76/I76+INDEX(in_ori_terminal,1,C76)+IF(F76=1,INDEX(in_ori_othc_20,1,C76),INDEX(in_ori_othc_40,1,C76))*(1-INDEX(in_ori_othc_in_freight,1,C76))+INDEX(in_ori_seal,1,C76)+INDEX(in_ori_inspection,1,C76)+INDEX(in_ori_dd_days,1,C76)*IF(F76=1,INDEX(in_ori_dd_20,1,C76),INDEX(in_ori_dd_40,1,C76))+INDEX(in_ori_loading_egp,1,C76)/I76))</f>
        <v>555.278125165799</v>
      </c>
      <c r="AQ76" s="88" t="n">
        <f aca="false">(INDEX(in_ori_clearance,1,C76)+INDEX(in_ori_coo,1,C76))/I76+INDEX(in_ori_bl_fee,1,C76)+INDEX(in_ori_fwd_fee,1,C76)+INDEX(in_ori_qc,1,C76)+INDEX(in_ori_wires,1,C76)*INDEX(in_ori_wire_fee,1,C76)</f>
        <v>817.639062582899</v>
      </c>
      <c r="AR76" s="88" t="n">
        <f aca="false">AP76+AQ76</f>
        <v>1372.9171877487</v>
      </c>
      <c r="AS76" s="85" t="n">
        <f aca="false">INDEX(tbl_port_diff,H76,C76)</f>
        <v>0</v>
      </c>
      <c r="AT76" s="88" t="n">
        <f aca="false">IF(F76=4,MAX(AF76*INDEX(in_oce_lcl_factor,1,C76),AG76/1000,1)*INDEX(in_oce_lcl_rate,1,C76)*M76,G76*(INDEX(tbl_ocean_rate,MIN(F76,3),C76)+AS76)*M76)</f>
        <v>4000</v>
      </c>
      <c r="AU76" s="88" t="n">
        <f aca="false">AT76+INDEX(in_oce_ams,1,C76)</f>
        <v>4035</v>
      </c>
      <c r="AV76" s="88" t="n">
        <f aca="false">AI76*(1+IF(K76=3,INDEX(in_sup_vat_rate,1,C76),0))+AO76*Y76/AB76</f>
        <v>12046.2796637789</v>
      </c>
      <c r="AW76" s="88" t="n">
        <f aca="false">AJ76*(1+IF(K76=3,INDEX(in_sup_vat_rate,1,C76),0))+AO76*Z76/AB76</f>
        <v>0</v>
      </c>
      <c r="AX76" s="88" t="n">
        <f aca="false">AK76*(1+IF(K76=3,INDEX(in_sup_vat_rate,1,C76),0))+AO76*AA76/AB76</f>
        <v>0</v>
      </c>
      <c r="AY76" s="88" t="n">
        <f aca="false">AV76+AW76+AX76</f>
        <v>12046.2796637789</v>
      </c>
      <c r="AZ76" s="88" t="n">
        <f aca="false">MAX(INDEX(in_oce_ins_min,1,C76),INDEX(in_oce_ins_rate,1,C76)*(1+INDEX(in_oce_ins_uplift,1,C76))*(AL76+AO76+AR76+AU76))*(1-INDEX(in_oce_ins_in_other,1,C76))</f>
        <v>75</v>
      </c>
      <c r="BA76" s="87" t="n">
        <f aca="false">INDEX(in_cus_mfn,1,C76)+L76</f>
        <v>0.125</v>
      </c>
      <c r="BB76" s="88" t="n">
        <f aca="false">AY76*BA76</f>
        <v>1505.78495797237</v>
      </c>
      <c r="BC76" s="88" t="n">
        <f aca="false">MIN(MAX(AY76*INDEX(in_cus_mpf_rate,1,C76),INDEX(in_cus_mpf_min,1,C76)),INDEX(in_cus_mpf_max,1,C76))</f>
        <v>41.7283127553302</v>
      </c>
      <c r="BD76" s="88" t="n">
        <f aca="false">AY76*INDEX(in_cus_hmf,1,C76)</f>
        <v>15.0578495797237</v>
      </c>
      <c r="BE76" s="88" t="n">
        <f aca="false">MAX(INDEX(in_cus_stb_min,1,C76),INDEX(in_cus_stb_rate,1,C76)/1000*(AY76+BB76+BC76+BD76))</f>
        <v>81.6531047045181</v>
      </c>
      <c r="BF76" s="88" t="n">
        <f aca="false">INDEX(in_cus_broker,1,C76)+INDEX(in_cus_isf,1,C76)+INDEX(in_cus_do_fee,1,C76)+BE76+INDEX(in_cus_isf_bond,1,C76)</f>
        <v>516.653104704518</v>
      </c>
      <c r="BG76" s="88" t="n">
        <f aca="false">IF(H76=1,INDEX(in_cus_cfc,1,C76)*INDEX(ct_teu,F76)*G76*(1-INDEX(in_cus_cfc_in_freight,1,C76)),0)</f>
        <v>29.6</v>
      </c>
      <c r="BH76" s="88" t="n">
        <f aca="false">IF(F76=4,1,G76)*(INDEX(in_cus_exam,1,C76)+INDEX(in_cus_exam_dray,1,C76))</f>
        <v>0</v>
      </c>
      <c r="BI76" s="88" t="n">
        <f aca="false">IF(F76=4,1,G76)*INDEX(in_cus_dem_days,1,C76)*INDEX(in_cus_dem_rate,1,C76)</f>
        <v>0</v>
      </c>
      <c r="BJ76" s="88" t="n">
        <f aca="false">BG76+BH76+BI76</f>
        <v>29.6</v>
      </c>
      <c r="BK76" s="88" t="n">
        <f aca="false">IF(F76=4,(INDEX(in_dra_lcl_cfs_d,1,C76)+INDEX(in_dra_lcl_deliv,1,C76))*P76,G76*(INDEX(tbl_dest_line,E76,C76)*P76*(1+INDEX(in_dra_fsc,1,C76))+INDEX(tbl_dest_tolls,E76,C76)+INDEX(in_dra_chassis_days,1,C76)*INDEX(tbl_dest_chassis,E76,C76)*(1-INDEX(in_dra_chassis_in_dray,1,C76))+INDEX(in_dra_wait_hours,1,C76)*INDEX(in_dra_wait_rate,1,C76)+INDEX(in_dra_split,1,C76)+INDEX(in_dra_prepull,1,C76)+INDEX(in_dra_dryrun,1,C76)))</f>
        <v>1350</v>
      </c>
      <c r="BL76" s="88" t="n">
        <f aca="false">IF(F76=4,0,G76*IF(F76=1,INDEX(in_dra_unload_20,1,C76),INDEX(in_dra_unload_40,1,C76))*Q76*(1-INDEX(in_dra_unload_in_dray,1,C76)))</f>
        <v>450</v>
      </c>
      <c r="BM76" s="88" t="n">
        <f aca="false">AL76+AN76+AO76+AR76+AU76+AZ76+BB76+BC76+BD76+BF76+BJ76+BK76+BL76</f>
        <v>21438.0210765396</v>
      </c>
      <c r="BN76" s="88" t="n">
        <f aca="false">AP76+AU76+BJ76+BK76+BL76</f>
        <v>6419.8781251658</v>
      </c>
      <c r="BO76" s="88" t="n">
        <f aca="false">AQ76+BF76</f>
        <v>1334.29216728742</v>
      </c>
      <c r="BP76" s="88" t="n">
        <f aca="false">AI76*(1+IF(K76=3,INDEX(in_sup_vat_rate,1,C76),0))+AO76*Y76/AB76+AV76*BA76+(BC76+BD76)*AV76/AY76+AZ76*AI76/AL76+BN76*AC76/AF76+BO76*Y76/AB76</f>
        <v>21438.0210765396</v>
      </c>
      <c r="BQ76" s="88" t="n">
        <f aca="false">AJ76*(1+IF(K76=3,INDEX(in_sup_vat_rate,1,C76),0))+AO76*Z76/AB76+AW76*BA76+(BC76+BD76)*AW76/AY76+AZ76*AJ76/AL76+BN76*AD76/AF76+BO76*Z76/AB76</f>
        <v>0</v>
      </c>
      <c r="BR76" s="88" t="n">
        <f aca="false">AK76*(1+IF(K76=3,INDEX(in_sup_vat_rate,1,C76),0))+AO76*AA76/AB76+AX76*BA76+(BC76+BD76)*AX76/AY76+AZ76*AK76/AL76+BN76*AE76/AF76+BO76*AA76/AB76</f>
        <v>0</v>
      </c>
      <c r="BS76" s="89" t="n">
        <f aca="false">BP76+BQ76+BR76-BM76</f>
        <v>0</v>
      </c>
      <c r="BT76" s="85" t="n">
        <f aca="false">Y76*(1-R76)</f>
        <v>74860</v>
      </c>
      <c r="BU76" s="85" t="n">
        <f aca="false">Z76*(1-R76)</f>
        <v>0</v>
      </c>
      <c r="BV76" s="85" t="n">
        <f aca="false">AA76*(1-R76)</f>
        <v>0</v>
      </c>
      <c r="BW76" s="85" t="n">
        <f aca="false">BT76+BU76+BV76</f>
        <v>74860</v>
      </c>
      <c r="BX76" s="90" t="n">
        <f aca="false">IF(BT76&gt;0,BP76/BT76,0)</f>
        <v>0.286374847402345</v>
      </c>
      <c r="BY76" s="90" t="n">
        <f aca="false">IF(BU76&gt;0,BQ76/BU76,0)</f>
        <v>0</v>
      </c>
      <c r="BZ76" s="90" t="n">
        <f aca="false">IF(BV76&gt;0,BR76/BV76,0)</f>
        <v>0</v>
      </c>
      <c r="CA76" s="90" t="n">
        <f aca="false">INDEX(in_mkt_listing_3464,1,C76)*(1-IF(sku_flute_3464="B",T76,0))*(1-S76)*N76</f>
        <v>0.234</v>
      </c>
      <c r="CB76" s="90" t="n">
        <f aca="false">INDEX(in_mkt_listing_3463,1,C76)*(1-IF(sku_flute_3463="B",T76,0))*(1-S76)*N76</f>
        <v>0.27</v>
      </c>
      <c r="CC76" s="90" t="n">
        <f aca="false">INDEX(in_mkt_listing_3460,1,C76)*(1-IF(sku_flute_3460="B",T76,0))*(1-S76)*N76</f>
        <v>0.225</v>
      </c>
      <c r="CD76" s="88" t="n">
        <f aca="false">BT76*CA76+BU76*CB76+BV76*CC76</f>
        <v>17517.24</v>
      </c>
      <c r="CE76" s="88" t="n">
        <f aca="false">CD76-BM76</f>
        <v>-3920.78107653956</v>
      </c>
      <c r="CF76" s="87" t="n">
        <f aca="false">IF(CD76&gt;0,CE76/CD76,0)</f>
        <v>-0.223824134198056</v>
      </c>
      <c r="CG76" s="87" t="n">
        <f aca="false">W76+INDEX(in_sel_processing,1,C76)+INDEX(in_sel_bad_debt,1,C76)</f>
        <v>0.058</v>
      </c>
      <c r="CH76" s="88" t="n">
        <f aca="false">CD76*CG76</f>
        <v>1015.99992</v>
      </c>
      <c r="CI76" s="88" t="n">
        <f aca="false">INDEX(in_sel_testing,1,C76)*X76+INDEX(in_sel_admin,1,C76)</f>
        <v>3000</v>
      </c>
      <c r="CJ76" s="79" t="n">
        <f aca="false">INDEX(in_sup_lead_days,1,C76)</f>
        <v>21</v>
      </c>
      <c r="CK76" s="79" t="n">
        <f aca="false">CJ76+INDEX(in_oce_transit,1,C76)+IF(F76=4,INDEX(in_oce_lcl_extra_days,1,C76),0)</f>
        <v>51</v>
      </c>
      <c r="CL76" s="79" t="n">
        <f aca="false">CK76+2+INDEX(in_cus_dem_days,1,C76)</f>
        <v>53</v>
      </c>
      <c r="CM76" s="79" t="n">
        <f aca="false">CL76+U76</f>
        <v>98</v>
      </c>
      <c r="CN76" s="79" t="n">
        <f aca="false">CJ76+INDEX(in_sup_vat_lag,1,C76)</f>
        <v>81</v>
      </c>
      <c r="CO76" s="91" t="n">
        <f aca="false">INDEX(in_sup_advance,1,C76)</f>
        <v>0.5</v>
      </c>
      <c r="CP76" s="88" t="n">
        <f aca="false">CO76*(AL76+AM76)+AO76+INDEX(in_sel_testing,1,C76)*X76</f>
        <v>9366.37940835399</v>
      </c>
      <c r="CQ76" s="88" t="n">
        <f aca="false">(1-CO76)*(AL76+AM76)+AR76+AU76+AZ76</f>
        <v>12349.2965961027</v>
      </c>
      <c r="CR76" s="88" t="n">
        <f aca="false">BB76+BC76+BD76+BF76+BJ76</f>
        <v>2108.82422501194</v>
      </c>
      <c r="CS76" s="88" t="n">
        <f aca="false">BK76+BL76</f>
        <v>1800</v>
      </c>
      <c r="CT76" s="88" t="n">
        <f aca="false">IF(K76=2,AM76,0)</f>
        <v>1686.47915292905</v>
      </c>
      <c r="CU76" s="85" t="n">
        <f aca="false">IF(K76=2,CO76*AM76*(CN76-0)+(1-CO76)*AM76*(CN76-CJ76),0)</f>
        <v>118896.780281498</v>
      </c>
      <c r="CV76" s="85" t="n">
        <f aca="false">(CP76-CO76*CT76)*(CM76-0)+(CQ76-(1-CO76)*CT76)*(CM76-CJ76)+CR76*(CM76-CK76)+CS76*(CM76-CL76)</f>
        <v>1901348.83261287</v>
      </c>
      <c r="CW76" s="88" t="n">
        <f aca="false">INDEX(in_sel_fin_rate,1,C76)/365*(CU76+CV76)</f>
        <v>553.491948738182</v>
      </c>
      <c r="CX76" s="85" t="n">
        <f aca="false">CP76-IF(CN76&lt;=0,CT76,0)</f>
        <v>9366.37940835399</v>
      </c>
      <c r="CY76" s="85" t="n">
        <f aca="false">CP76+CQ76-IF(CN76&lt;=CJ76,CT76,0)</f>
        <v>21715.6760044567</v>
      </c>
      <c r="CZ76" s="85" t="n">
        <f aca="false">CP76+CQ76+CR76-IF(CN76&lt;=CK76,CT76,0)</f>
        <v>23824.5002294686</v>
      </c>
      <c r="DA76" s="85" t="n">
        <f aca="false">CP76+CQ76+CR76+CS76-IF(CN76&lt;=CL76,CT76,0)</f>
        <v>25624.5002294686</v>
      </c>
      <c r="DB76" s="88" t="n">
        <f aca="false">MAX(CX76,CY76,CZ76,DA76)</f>
        <v>25624.5002294686</v>
      </c>
      <c r="DC76" s="88" t="n">
        <f aca="false">CP76+CQ76+CR76+CS76</f>
        <v>25624.5002294686</v>
      </c>
      <c r="DD76" s="88" t="n">
        <f aca="false">CE76-CH76-CI76-CW76</f>
        <v>-8490.27294527774</v>
      </c>
      <c r="DE76" s="87" t="n">
        <f aca="false">IF(CD76&gt;0,DD76/CD76,0)</f>
        <v>-0.484680974016326</v>
      </c>
      <c r="DF76" s="86" t="n">
        <f aca="false">IF(CD76&gt;0,(BM76+CI76+CW76)/(CD76*(1-CG76)),0)</f>
        <v>1.51452332698124</v>
      </c>
      <c r="DG76" s="90" t="n">
        <f aca="false">IF(BW76&gt;0,BM76/BW76,0)</f>
        <v>0.286374847402345</v>
      </c>
      <c r="DH76" s="90" t="n">
        <f aca="false">IF(BW76&gt;0,CD76/BW76,0)</f>
        <v>0.234</v>
      </c>
      <c r="DI76" s="90" t="n">
        <f aca="false">IF(AI76&gt;0,(AI76*IF(K76=3,INDEX(in_sup_vat_rate,1,C76),0)+AV76*BA76+(BC76+BD76)*AV76/AY76+AZ76*AI76/AL76)/AI76,0)</f>
        <v>0.135939988611697</v>
      </c>
      <c r="DJ76" s="90" t="n">
        <f aca="false">IF(AJ76&gt;0,(AJ76*IF(K76=3,INDEX(in_sup_vat_rate,1,C76),0)+AW76*BA76+(BC76+BD76)*AW76/AY76+AZ76*AJ76/AL76)/AJ76,0)</f>
        <v>0</v>
      </c>
      <c r="DK76" s="90" t="n">
        <f aca="false">IF(AK76&gt;0,(AK76*IF(K76=3,INDEX(in_sup_vat_rate,1,C76),0)+AX76*BA76+(BC76+BD76)*AX76/AY76+AZ76*AK76/AL76)/AK76,0)</f>
        <v>0</v>
      </c>
      <c r="DL76" s="90" t="n">
        <f aca="false">IF(Y76&gt;0,(BP76-AI76*(1+DI76))/Y76,0)</f>
        <v>0.102028556479648</v>
      </c>
      <c r="DM76" s="90" t="n">
        <f aca="false">IF(Z76&gt;0,(BQ76-AJ76*(1+DJ76))/Z76,0)</f>
        <v>0</v>
      </c>
      <c r="DN76" s="90" t="n">
        <f aca="false">IF(AA76&gt;0,(BR76-AK76*(1+DK76))/AA76,0)</f>
        <v>0</v>
      </c>
      <c r="DO76" s="86" t="n">
        <f aca="false">IF(Y76&gt;0,(CA76*(1-thr_gm_go)*(1-R76)-DL76)/(1+DI76)*I76/((1+AH76)*J76),"")</f>
        <v>3.29111670860972</v>
      </c>
      <c r="DP76" s="86" t="str">
        <f aca="false">IF(Z76&gt;0,(CB76*(1-thr_gm_go)*(1-R76)-DM76)/(1+DJ76)*I76/((1+AH76)*J76),"")</f>
        <v/>
      </c>
      <c r="DQ76" s="86" t="str">
        <f aca="false">IF(AA76&gt;0,(CC76*(1-thr_gm_go)*(1-R76)-DN76)/(1+DK76)*I76/((1+AH76)*J76),"")</f>
        <v/>
      </c>
      <c r="DR76" s="92" t="n">
        <f aca="false">IF(AND(AY76*INDEX(in_cus_mpf_rate,1,C76)&gt;INDEX(in_cus_mpf_min,1,C76),AY76*INDEX(in_cus_mpf_rate,1,C76)&lt;INDEX(in_cus_mpf_max,1,C76)),INDEX(in_cus_mpf_rate,1,C76),0)</f>
        <v>0.003464</v>
      </c>
      <c r="DS76" s="88" t="n">
        <f aca="false">IF(AZ76&gt;INDEX(in_oce_ins_min,1,C76),INDEX(in_oce_ins_rate,1,C76)*(1+INDEX(in_oce_ins_uplift,1,C76))*AL76,0)</f>
        <v>0</v>
      </c>
      <c r="DT76" s="88" t="n">
        <f aca="false">(AL76+AN76)*(1+BA76+INDEX(in_cus_hmf,1,C76)+DR76)+DS76</f>
        <v>13608.8507840863</v>
      </c>
      <c r="DU76" s="86" t="n">
        <f aca="false">IF(DT76&gt;0,(CD76*(1-thr_gm_go)-(BM76-DT76))/DT76,0)</f>
        <v>0.390096106700989</v>
      </c>
      <c r="DV76" s="86" t="n">
        <f aca="false">IF(DT76&gt;0,(CD76-(BM76-DT76))/DT76,0)</f>
        <v>0.711894770635272</v>
      </c>
      <c r="DW76" s="87" t="n">
        <f aca="false">(1+AH76)*J76*DU76-1</f>
        <v>-0.609903893299011</v>
      </c>
      <c r="DX76" s="87" t="n">
        <f aca="false">(1+AH76)*J76*DV76-1</f>
        <v>-0.288105229364728</v>
      </c>
      <c r="DY76" s="85" t="n">
        <f aca="false">IF(G76&gt;0,(CD76*(1-thr_gm_go)-(BM76-AT76))/G76,"")</f>
        <v>-4300.09107653956</v>
      </c>
      <c r="DZ76" s="90" t="n">
        <f aca="false">IF(AB76&gt;0,(AL76+AN76+BB76+BC76+BD76)/AB76,0)</f>
        <v>0.179063826106399</v>
      </c>
      <c r="EA76" s="88" t="n">
        <f aca="false">BM76-DZ76*AB76</f>
        <v>7829.17029245322</v>
      </c>
      <c r="EB76" s="90" t="n">
        <f aca="false">IF(AB76&gt;0,CD76/AB76,0)</f>
        <v>0.23049</v>
      </c>
      <c r="EC76" s="85" t="str">
        <f aca="false">IF(EB76*(1-thr_gm_go)-DZ76&gt;0,EA76/(EB76*(1-thr_gm_go)-DZ76),"n/a")</f>
        <v>n/a</v>
      </c>
      <c r="ED76" s="85" t="n">
        <f aca="false">IF(EB76-DZ76&gt;0,EA76/(EB76-DZ76),"n/a")</f>
        <v>152240.964078944</v>
      </c>
      <c r="EE76" s="93" t="b">
        <f aca="false">INDEX(cfg_fits,D76,C76)</f>
        <v>1</v>
      </c>
      <c r="EF76" s="87" t="n">
        <f aca="false">IF(F76=4,"",INDEX(cfg_lenutil,D76,C76))</f>
        <v>0.991198658843252</v>
      </c>
      <c r="EG76" s="31" t="str">
        <f aca="false">IF(O76&gt;1,"Check fit (units scaled up)","")</f>
        <v/>
      </c>
    </row>
    <row r="77" customFormat="false" ht="15" hidden="false" customHeight="false" outlineLevel="0" collapsed="false">
      <c r="A77" s="78" t="n">
        <v>2053</v>
      </c>
      <c r="B77" s="9" t="s">
        <v>3225</v>
      </c>
      <c r="C77" s="78" t="n">
        <v>2</v>
      </c>
      <c r="D77" s="78" t="n">
        <v>5</v>
      </c>
      <c r="E77" s="78" t="n">
        <v>3</v>
      </c>
      <c r="F77" s="79" t="n">
        <f aca="false">INDEX(cfg_ct,D77)</f>
        <v>3</v>
      </c>
      <c r="G77" s="79" t="n">
        <f aca="false">INDEX(cfg_n,D77)</f>
        <v>1</v>
      </c>
      <c r="H77" s="79" t="n">
        <f aca="false">INDEX(dest_port,E77)</f>
        <v>2</v>
      </c>
      <c r="I77" s="80" t="n">
        <f aca="false">INDEX(in_fx_cbe,1,C77)*(1-INDEX(in_fx_spread,1,C77))</f>
        <v>52.7748</v>
      </c>
      <c r="J77" s="81" t="n">
        <f aca="false">1</f>
        <v>1</v>
      </c>
      <c r="K77" s="82" t="n">
        <f aca="false">INDEX(in_sup_vat_mode,1,C77)</f>
        <v>2</v>
      </c>
      <c r="L77" s="83" t="n">
        <f aca="false">INDEX(in_cus_s301,1,C77)</f>
        <v>0.125</v>
      </c>
      <c r="M77" s="84" t="n">
        <f aca="false">1</f>
        <v>1</v>
      </c>
      <c r="N77" s="81" t="n">
        <f aca="false">1</f>
        <v>1</v>
      </c>
      <c r="O77" s="81" t="n">
        <f aca="false">1</f>
        <v>1</v>
      </c>
      <c r="P77" s="81" t="n">
        <f aca="false">1</f>
        <v>1</v>
      </c>
      <c r="Q77" s="81" t="n">
        <f aca="false">1</f>
        <v>1</v>
      </c>
      <c r="R77" s="83" t="n">
        <f aca="false">INDEX(in_sel_damage,1,C77)</f>
        <v>0.015</v>
      </c>
      <c r="S77" s="83" t="n">
        <f aca="false">INDEX(in_mkt_dist_margin,1,C77)</f>
        <v>0.25</v>
      </c>
      <c r="T77" s="83" t="n">
        <f aca="false">INDEX(in_mkt_eflute_disc,1,C77)</f>
        <v>0.2</v>
      </c>
      <c r="U77" s="82" t="n">
        <f aca="false">INDEX(in_sel_credit_days,1,C77)</f>
        <v>45</v>
      </c>
      <c r="V77" s="81" t="n">
        <f aca="false">1</f>
        <v>1</v>
      </c>
      <c r="W77" s="83" t="n">
        <f aca="false">INDEX(in_sel_commission,1,C77)</f>
        <v>0.05</v>
      </c>
      <c r="X77" s="82" t="n">
        <f aca="false">1</f>
        <v>1</v>
      </c>
      <c r="Y77" s="85" t="n">
        <f aca="false">INDEX(cfg_u_3464,D77,C77)*O77</f>
        <v>76000</v>
      </c>
      <c r="Z77" s="85" t="n">
        <f aca="false">INDEX(cfg_u_3463,D77,C77)*O77</f>
        <v>0</v>
      </c>
      <c r="AA77" s="85" t="n">
        <f aca="false">INDEX(cfg_u_3460,D77,C77)*O77</f>
        <v>0</v>
      </c>
      <c r="AB77" s="85" t="n">
        <f aca="false">Y77+Z77+AA77</f>
        <v>76000</v>
      </c>
      <c r="AC77" s="86" t="n">
        <f aca="false">Y77*INDEX(lg_vpu_3464,C77)</f>
        <v>54.065792</v>
      </c>
      <c r="AD77" s="86" t="n">
        <f aca="false">Z77*INDEX(lg_vpu_3463,C77)</f>
        <v>0</v>
      </c>
      <c r="AE77" s="86" t="n">
        <f aca="false">AA77*INDEX(lg_vpu_3460,C77)</f>
        <v>0</v>
      </c>
      <c r="AF77" s="86" t="n">
        <f aca="false">AC77+AD77+AE77</f>
        <v>54.065792</v>
      </c>
      <c r="AG77" s="85" t="n">
        <f aca="false">Y77*INDEX(lg_kpu_3464,C77)+Z77*INDEX(lg_kpu_3463,C77)+AA77*INDEX(lg_kpu_3460,C77)</f>
        <v>13002.149312</v>
      </c>
      <c r="AH77" s="87" t="n">
        <f aca="false">INDEX(in_sup_requote,1,C77)</f>
        <v>0</v>
      </c>
      <c r="AI77" s="88" t="n">
        <f aca="false">Y77*q_price_3464*(1+AH77)*J77/I77</f>
        <v>12046.2796637789</v>
      </c>
      <c r="AJ77" s="88" t="n">
        <f aca="false">Z77*q_price_3463*(1+AH77)*J77/I77</f>
        <v>0</v>
      </c>
      <c r="AK77" s="88" t="n">
        <f aca="false">AA77*q_price_3460*(1+AH77)*J77/I77</f>
        <v>0</v>
      </c>
      <c r="AL77" s="88" t="n">
        <f aca="false">AI77+AJ77+AK77</f>
        <v>12046.2796637789</v>
      </c>
      <c r="AM77" s="88" t="n">
        <f aca="false">IF(OR(K77=2,K77=3),AL77*INDEX(in_sup_vat_rate,1,C77),0)</f>
        <v>1686.47915292905</v>
      </c>
      <c r="AN77" s="88" t="n">
        <f aca="false">IF(K77=3,AM77,0)</f>
        <v>0</v>
      </c>
      <c r="AO77" s="88" t="n">
        <f aca="false">INDEX(in_sup_tooling_egp,1,C77)/I77</f>
        <v>0</v>
      </c>
      <c r="AP77" s="88" t="n">
        <f aca="false">IF(F77=4,INDEX(in_ori_lcl_truck,1,C77)*V77/I77+INDEX(in_ori_lcl_cfs_o,1,C77),G77*(IF(F77=1,INDEX(in_ori_truck_20,1,C77),INDEX(in_ori_truck_40,1,C77))*V77/I77+INDEX(in_ori_terminal,1,C77)+IF(F77=1,INDEX(in_ori_othc_20,1,C77),INDEX(in_ori_othc_40,1,C77))*(1-INDEX(in_ori_othc_in_freight,1,C77))+INDEX(in_ori_seal,1,C77)+INDEX(in_ori_inspection,1,C77)+INDEX(in_ori_dd_days,1,C77)*IF(F77=1,INDEX(in_ori_dd_20,1,C77),INDEX(in_ori_dd_40,1,C77))+INDEX(in_ori_loading_egp,1,C77)/I77))</f>
        <v>555.278125165799</v>
      </c>
      <c r="AQ77" s="88" t="n">
        <f aca="false">(INDEX(in_ori_clearance,1,C77)+INDEX(in_ori_coo,1,C77))/I77+INDEX(in_ori_bl_fee,1,C77)+INDEX(in_ori_fwd_fee,1,C77)+INDEX(in_ori_qc,1,C77)+INDEX(in_ori_wires,1,C77)*INDEX(in_ori_wire_fee,1,C77)</f>
        <v>817.639062582899</v>
      </c>
      <c r="AR77" s="88" t="n">
        <f aca="false">AP77+AQ77</f>
        <v>1372.9171877487</v>
      </c>
      <c r="AS77" s="85" t="n">
        <f aca="false">INDEX(tbl_port_diff,H77,C77)</f>
        <v>150</v>
      </c>
      <c r="AT77" s="88" t="n">
        <f aca="false">IF(F77=4,MAX(AF77*INDEX(in_oce_lcl_factor,1,C77),AG77/1000,1)*INDEX(in_oce_lcl_rate,1,C77)*M77,G77*(INDEX(tbl_ocean_rate,MIN(F77,3),C77)+AS77)*M77)</f>
        <v>4150</v>
      </c>
      <c r="AU77" s="88" t="n">
        <f aca="false">AT77+INDEX(in_oce_ams,1,C77)</f>
        <v>4185</v>
      </c>
      <c r="AV77" s="88" t="n">
        <f aca="false">AI77*(1+IF(K77=3,INDEX(in_sup_vat_rate,1,C77),0))+AO77*Y77/AB77</f>
        <v>12046.2796637789</v>
      </c>
      <c r="AW77" s="88" t="n">
        <f aca="false">AJ77*(1+IF(K77=3,INDEX(in_sup_vat_rate,1,C77),0))+AO77*Z77/AB77</f>
        <v>0</v>
      </c>
      <c r="AX77" s="88" t="n">
        <f aca="false">AK77*(1+IF(K77=3,INDEX(in_sup_vat_rate,1,C77),0))+AO77*AA77/AB77</f>
        <v>0</v>
      </c>
      <c r="AY77" s="88" t="n">
        <f aca="false">AV77+AW77+AX77</f>
        <v>12046.2796637789</v>
      </c>
      <c r="AZ77" s="88" t="n">
        <f aca="false">MAX(INDEX(in_oce_ins_min,1,C77),INDEX(in_oce_ins_rate,1,C77)*(1+INDEX(in_oce_ins_uplift,1,C77))*(AL77+AO77+AR77+AU77))*(1-INDEX(in_oce_ins_in_other,1,C77))</f>
        <v>75</v>
      </c>
      <c r="BA77" s="87" t="n">
        <f aca="false">INDEX(in_cus_mfn,1,C77)+L77</f>
        <v>0.125</v>
      </c>
      <c r="BB77" s="88" t="n">
        <f aca="false">AY77*BA77</f>
        <v>1505.78495797237</v>
      </c>
      <c r="BC77" s="88" t="n">
        <f aca="false">MIN(MAX(AY77*INDEX(in_cus_mpf_rate,1,C77),INDEX(in_cus_mpf_min,1,C77)),INDEX(in_cus_mpf_max,1,C77))</f>
        <v>41.7283127553302</v>
      </c>
      <c r="BD77" s="88" t="n">
        <f aca="false">AY77*INDEX(in_cus_hmf,1,C77)</f>
        <v>15.0578495797237</v>
      </c>
      <c r="BE77" s="88" t="n">
        <f aca="false">MAX(INDEX(in_cus_stb_min,1,C77),INDEX(in_cus_stb_rate,1,C77)/1000*(AY77+BB77+BC77+BD77))</f>
        <v>81.6531047045181</v>
      </c>
      <c r="BF77" s="88" t="n">
        <f aca="false">INDEX(in_cus_broker,1,C77)+INDEX(in_cus_isf,1,C77)+INDEX(in_cus_do_fee,1,C77)+BE77+INDEX(in_cus_isf_bond,1,C77)</f>
        <v>516.653104704518</v>
      </c>
      <c r="BG77" s="88" t="n">
        <f aca="false">IF(H77=1,INDEX(in_cus_cfc,1,C77)*INDEX(ct_teu,F77)*G77*(1-INDEX(in_cus_cfc_in_freight,1,C77)),0)</f>
        <v>0</v>
      </c>
      <c r="BH77" s="88" t="n">
        <f aca="false">IF(F77=4,1,G77)*(INDEX(in_cus_exam,1,C77)+INDEX(in_cus_exam_dray,1,C77))</f>
        <v>0</v>
      </c>
      <c r="BI77" s="88" t="n">
        <f aca="false">IF(F77=4,1,G77)*INDEX(in_cus_dem_days,1,C77)*INDEX(in_cus_dem_rate,1,C77)</f>
        <v>0</v>
      </c>
      <c r="BJ77" s="88" t="n">
        <f aca="false">BG77+BH77+BI77</f>
        <v>0</v>
      </c>
      <c r="BK77" s="88" t="n">
        <f aca="false">IF(F77=4,(INDEX(in_dra_lcl_cfs_d,1,C77)+INDEX(in_dra_lcl_deliv,1,C77))*P77,G77*(INDEX(tbl_dest_line,E77,C77)*P77*(1+INDEX(in_dra_fsc,1,C77))+INDEX(tbl_dest_tolls,E77,C77)+INDEX(in_dra_chassis_days,1,C77)*INDEX(tbl_dest_chassis,E77,C77)*(1-INDEX(in_dra_chassis_in_dray,1,C77))+INDEX(in_dra_wait_hours,1,C77)*INDEX(in_dra_wait_rate,1,C77)+INDEX(in_dra_split,1,C77)+INDEX(in_dra_prepull,1,C77)+INDEX(in_dra_dryrun,1,C77)))</f>
        <v>904</v>
      </c>
      <c r="BL77" s="88" t="n">
        <f aca="false">IF(F77=4,0,G77*IF(F77=1,INDEX(in_dra_unload_20,1,C77),INDEX(in_dra_unload_40,1,C77))*Q77*(1-INDEX(in_dra_unload_in_dray,1,C77)))</f>
        <v>450</v>
      </c>
      <c r="BM77" s="88" t="n">
        <f aca="false">AL77+AN77+AO77+AR77+AU77+AZ77+BB77+BC77+BD77+BF77+BJ77+BK77+BL77</f>
        <v>21112.4210765396</v>
      </c>
      <c r="BN77" s="88" t="n">
        <f aca="false">AP77+AU77+BJ77+BK77+BL77</f>
        <v>6094.2781251658</v>
      </c>
      <c r="BO77" s="88" t="n">
        <f aca="false">AQ77+BF77</f>
        <v>1334.29216728742</v>
      </c>
      <c r="BP77" s="88" t="n">
        <f aca="false">AI77*(1+IF(K77=3,INDEX(in_sup_vat_rate,1,C77),0))+AO77*Y77/AB77+AV77*BA77+(BC77+BD77)*AV77/AY77+AZ77*AI77/AL77+BN77*AC77/AF77+BO77*Y77/AB77</f>
        <v>21112.4210765396</v>
      </c>
      <c r="BQ77" s="88" t="n">
        <f aca="false">AJ77*(1+IF(K77=3,INDEX(in_sup_vat_rate,1,C77),0))+AO77*Z77/AB77+AW77*BA77+(BC77+BD77)*AW77/AY77+AZ77*AJ77/AL77+BN77*AD77/AF77+BO77*Z77/AB77</f>
        <v>0</v>
      </c>
      <c r="BR77" s="88" t="n">
        <f aca="false">AK77*(1+IF(K77=3,INDEX(in_sup_vat_rate,1,C77),0))+AO77*AA77/AB77+AX77*BA77+(BC77+BD77)*AX77/AY77+AZ77*AK77/AL77+BN77*AE77/AF77+BO77*AA77/AB77</f>
        <v>0</v>
      </c>
      <c r="BS77" s="89" t="n">
        <f aca="false">BP77+BQ77+BR77-BM77</f>
        <v>0</v>
      </c>
      <c r="BT77" s="85" t="n">
        <f aca="false">Y77*(1-R77)</f>
        <v>74860</v>
      </c>
      <c r="BU77" s="85" t="n">
        <f aca="false">Z77*(1-R77)</f>
        <v>0</v>
      </c>
      <c r="BV77" s="85" t="n">
        <f aca="false">AA77*(1-R77)</f>
        <v>0</v>
      </c>
      <c r="BW77" s="85" t="n">
        <f aca="false">BT77+BU77+BV77</f>
        <v>74860</v>
      </c>
      <c r="BX77" s="90" t="n">
        <f aca="false">IF(BT77&gt;0,BP77/BT77,0)</f>
        <v>0.282025395091365</v>
      </c>
      <c r="BY77" s="90" t="n">
        <f aca="false">IF(BU77&gt;0,BQ77/BU77,0)</f>
        <v>0</v>
      </c>
      <c r="BZ77" s="90" t="n">
        <f aca="false">IF(BV77&gt;0,BR77/BV77,0)</f>
        <v>0</v>
      </c>
      <c r="CA77" s="90" t="n">
        <f aca="false">INDEX(in_mkt_listing_3464,1,C77)*(1-IF(sku_flute_3464="B",T77,0))*(1-S77)*N77</f>
        <v>0.234</v>
      </c>
      <c r="CB77" s="90" t="n">
        <f aca="false">INDEX(in_mkt_listing_3463,1,C77)*(1-IF(sku_flute_3463="B",T77,0))*(1-S77)*N77</f>
        <v>0.27</v>
      </c>
      <c r="CC77" s="90" t="n">
        <f aca="false">INDEX(in_mkt_listing_3460,1,C77)*(1-IF(sku_flute_3460="B",T77,0))*(1-S77)*N77</f>
        <v>0.225</v>
      </c>
      <c r="CD77" s="88" t="n">
        <f aca="false">BT77*CA77+BU77*CB77+BV77*CC77</f>
        <v>17517.24</v>
      </c>
      <c r="CE77" s="88" t="n">
        <f aca="false">CD77-BM77</f>
        <v>-3595.18107653956</v>
      </c>
      <c r="CF77" s="87" t="n">
        <f aca="false">IF(CD77&gt;0,CE77/CD77,0)</f>
        <v>-0.205236731159678</v>
      </c>
      <c r="CG77" s="87" t="n">
        <f aca="false">W77+INDEX(in_sel_processing,1,C77)+INDEX(in_sel_bad_debt,1,C77)</f>
        <v>0.058</v>
      </c>
      <c r="CH77" s="88" t="n">
        <f aca="false">CD77*CG77</f>
        <v>1015.99992</v>
      </c>
      <c r="CI77" s="88" t="n">
        <f aca="false">INDEX(in_sel_testing,1,C77)*X77+INDEX(in_sel_admin,1,C77)</f>
        <v>3000</v>
      </c>
      <c r="CJ77" s="79" t="n">
        <f aca="false">INDEX(in_sup_lead_days,1,C77)</f>
        <v>21</v>
      </c>
      <c r="CK77" s="79" t="n">
        <f aca="false">CJ77+INDEX(in_oce_transit,1,C77)+IF(F77=4,INDEX(in_oce_lcl_extra_days,1,C77),0)</f>
        <v>51</v>
      </c>
      <c r="CL77" s="79" t="n">
        <f aca="false">CK77+2+INDEX(in_cus_dem_days,1,C77)</f>
        <v>53</v>
      </c>
      <c r="CM77" s="79" t="n">
        <f aca="false">CL77+U77</f>
        <v>98</v>
      </c>
      <c r="CN77" s="79" t="n">
        <f aca="false">CJ77+INDEX(in_sup_vat_lag,1,C77)</f>
        <v>81</v>
      </c>
      <c r="CO77" s="91" t="n">
        <f aca="false">INDEX(in_sup_advance,1,C77)</f>
        <v>0.5</v>
      </c>
      <c r="CP77" s="88" t="n">
        <f aca="false">CO77*(AL77+AM77)+AO77+INDEX(in_sel_testing,1,C77)*X77</f>
        <v>9366.37940835399</v>
      </c>
      <c r="CQ77" s="88" t="n">
        <f aca="false">(1-CO77)*(AL77+AM77)+AR77+AU77+AZ77</f>
        <v>12499.2965961027</v>
      </c>
      <c r="CR77" s="88" t="n">
        <f aca="false">BB77+BC77+BD77+BF77+BJ77</f>
        <v>2079.22422501194</v>
      </c>
      <c r="CS77" s="88" t="n">
        <f aca="false">BK77+BL77</f>
        <v>1354</v>
      </c>
      <c r="CT77" s="88" t="n">
        <f aca="false">IF(K77=2,AM77,0)</f>
        <v>1686.47915292905</v>
      </c>
      <c r="CU77" s="85" t="n">
        <f aca="false">IF(K77=2,CO77*AM77*(CN77-0)+(1-CO77)*AM77*(CN77-CJ77),0)</f>
        <v>118896.780281498</v>
      </c>
      <c r="CV77" s="85" t="n">
        <f aca="false">(CP77-CO77*CT77)*(CM77-0)+(CQ77-(1-CO77)*CT77)*(CM77-CJ77)+CR77*(CM77-CK77)+CS77*(CM77-CL77)</f>
        <v>1891437.63261287</v>
      </c>
      <c r="CW77" s="88" t="n">
        <f aca="false">INDEX(in_sel_fin_rate,1,C77)/365*(CU77+CV77)</f>
        <v>550.776551477908</v>
      </c>
      <c r="CX77" s="85" t="n">
        <f aca="false">CP77-IF(CN77&lt;=0,CT77,0)</f>
        <v>9366.37940835399</v>
      </c>
      <c r="CY77" s="85" t="n">
        <f aca="false">CP77+CQ77-IF(CN77&lt;=CJ77,CT77,0)</f>
        <v>21865.6760044567</v>
      </c>
      <c r="CZ77" s="85" t="n">
        <f aca="false">CP77+CQ77+CR77-IF(CN77&lt;=CK77,CT77,0)</f>
        <v>23944.9002294686</v>
      </c>
      <c r="DA77" s="85" t="n">
        <f aca="false">CP77+CQ77+CR77+CS77-IF(CN77&lt;=CL77,CT77,0)</f>
        <v>25298.9002294686</v>
      </c>
      <c r="DB77" s="88" t="n">
        <f aca="false">MAX(CX77,CY77,CZ77,DA77)</f>
        <v>25298.9002294686</v>
      </c>
      <c r="DC77" s="88" t="n">
        <f aca="false">CP77+CQ77+CR77+CS77</f>
        <v>25298.9002294686</v>
      </c>
      <c r="DD77" s="88" t="n">
        <f aca="false">CE77-CH77-CI77-CW77</f>
        <v>-8161.95754801747</v>
      </c>
      <c r="DE77" s="87" t="n">
        <f aca="false">IF(CD77&gt;0,DD77/CD77,0)</f>
        <v>-0.465938558130018</v>
      </c>
      <c r="DF77" s="86" t="n">
        <f aca="false">IF(CD77&gt;0,(BM77+CI77+CW77)/(CD77*(1-CG77)),0)</f>
        <v>1.49462691945862</v>
      </c>
      <c r="DG77" s="90" t="n">
        <f aca="false">IF(BW77&gt;0,BM77/BW77,0)</f>
        <v>0.282025395091365</v>
      </c>
      <c r="DH77" s="90" t="n">
        <f aca="false">IF(BW77&gt;0,CD77/BW77,0)</f>
        <v>0.234</v>
      </c>
      <c r="DI77" s="90" t="n">
        <f aca="false">IF(AI77&gt;0,(AI77*IF(K77=3,INDEX(in_sup_vat_rate,1,C77),0)+AV77*BA77+(BC77+BD77)*AV77/AY77+AZ77*AI77/AL77)/AI77,0)</f>
        <v>0.135939988611697</v>
      </c>
      <c r="DJ77" s="90" t="n">
        <f aca="false">IF(AJ77&gt;0,(AJ77*IF(K77=3,INDEX(in_sup_vat_rate,1,C77),0)+AW77*BA77+(BC77+BD77)*AW77/AY77+AZ77*AJ77/AL77)/AJ77,0)</f>
        <v>0</v>
      </c>
      <c r="DK77" s="90" t="n">
        <f aca="false">IF(AK77&gt;0,(AK77*IF(K77=3,INDEX(in_sup_vat_rate,1,C77),0)+AX77*BA77+(BC77+BD77)*AX77/AY77+AZ77*AK77/AL77)/AK77,0)</f>
        <v>0</v>
      </c>
      <c r="DL77" s="90" t="n">
        <f aca="false">IF(Y77&gt;0,(BP77-AI77*(1+DI77))/Y77,0)</f>
        <v>0.0977443459533318</v>
      </c>
      <c r="DM77" s="90" t="n">
        <f aca="false">IF(Z77&gt;0,(BQ77-AJ77*(1+DJ77))/Z77,0)</f>
        <v>0</v>
      </c>
      <c r="DN77" s="90" t="n">
        <f aca="false">IF(AA77&gt;0,(BR77-AK77*(1+DK77))/AA77,0)</f>
        <v>0</v>
      </c>
      <c r="DO77" s="86" t="n">
        <f aca="false">IF(Y77&gt;0,(CA77*(1-thr_gm_go)*(1-R77)-DL77)/(1+DI77)*I77/((1+AH77)*J77),"")</f>
        <v>3.49015746424026</v>
      </c>
      <c r="DP77" s="86" t="str">
        <f aca="false">IF(Z77&gt;0,(CB77*(1-thr_gm_go)*(1-R77)-DM77)/(1+DJ77)*I77/((1+AH77)*J77),"")</f>
        <v/>
      </c>
      <c r="DQ77" s="86" t="str">
        <f aca="false">IF(AA77&gt;0,(CC77*(1-thr_gm_go)*(1-R77)-DN77)/(1+DK77)*I77/((1+AH77)*J77),"")</f>
        <v/>
      </c>
      <c r="DR77" s="92" t="n">
        <f aca="false">IF(AND(AY77*INDEX(in_cus_mpf_rate,1,C77)&gt;INDEX(in_cus_mpf_min,1,C77),AY77*INDEX(in_cus_mpf_rate,1,C77)&lt;INDEX(in_cus_mpf_max,1,C77)),INDEX(in_cus_mpf_rate,1,C77),0)</f>
        <v>0.003464</v>
      </c>
      <c r="DS77" s="88" t="n">
        <f aca="false">IF(AZ77&gt;INDEX(in_oce_ins_min,1,C77),INDEX(in_oce_ins_rate,1,C77)*(1+INDEX(in_oce_ins_uplift,1,C77))*AL77,0)</f>
        <v>0</v>
      </c>
      <c r="DT77" s="88" t="n">
        <f aca="false">(AL77+AN77)*(1+BA77+INDEX(in_cus_hmf,1,C77)+DR77)+DS77</f>
        <v>13608.8507840863</v>
      </c>
      <c r="DU77" s="86" t="n">
        <f aca="false">IF(DT77&gt;0,(CD77*(1-thr_gm_go)-(BM77-DT77))/DT77,0)</f>
        <v>0.414021712556021</v>
      </c>
      <c r="DV77" s="86" t="n">
        <f aca="false">IF(DT77&gt;0,(CD77-(BM77-DT77))/DT77,0)</f>
        <v>0.735820376490304</v>
      </c>
      <c r="DW77" s="87" t="n">
        <f aca="false">(1+AH77)*J77*DU77-1</f>
        <v>-0.585978287443979</v>
      </c>
      <c r="DX77" s="87" t="n">
        <f aca="false">(1+AH77)*J77*DV77-1</f>
        <v>-0.264179623509696</v>
      </c>
      <c r="DY77" s="85" t="n">
        <f aca="false">IF(G77&gt;0,(CD77*(1-thr_gm_go)-(BM77-AT77))/G77,"")</f>
        <v>-3824.49107653956</v>
      </c>
      <c r="DZ77" s="90" t="n">
        <f aca="false">IF(AB77&gt;0,(AL77+AN77+BB77+BC77+BD77)/AB77,0)</f>
        <v>0.179063826106399</v>
      </c>
      <c r="EA77" s="88" t="n">
        <f aca="false">BM77-DZ77*AB77</f>
        <v>7503.57029245322</v>
      </c>
      <c r="EB77" s="90" t="n">
        <f aca="false">IF(AB77&gt;0,CD77/AB77,0)</f>
        <v>0.23049</v>
      </c>
      <c r="EC77" s="85" t="str">
        <f aca="false">IF(EB77*(1-thr_gm_go)-DZ77&gt;0,EA77/(EB77*(1-thr_gm_go)-DZ77),"n/a")</f>
        <v>n/a</v>
      </c>
      <c r="ED77" s="85" t="n">
        <f aca="false">IF(EB77-DZ77&gt;0,EA77/(EB77-DZ77),"n/a")</f>
        <v>145909.557805679</v>
      </c>
      <c r="EE77" s="93" t="b">
        <f aca="false">INDEX(cfg_fits,D77,C77)</f>
        <v>1</v>
      </c>
      <c r="EF77" s="87" t="n">
        <f aca="false">IF(F77=4,"",INDEX(cfg_lenutil,D77,C77))</f>
        <v>0.991198658843252</v>
      </c>
      <c r="EG77" s="31" t="str">
        <f aca="false">IF(O77&gt;1,"Check fit (units scaled up)","")</f>
        <v/>
      </c>
    </row>
    <row r="78" customFormat="false" ht="15" hidden="false" customHeight="false" outlineLevel="0" collapsed="false">
      <c r="A78" s="78" t="n">
        <v>2054</v>
      </c>
      <c r="B78" s="9" t="s">
        <v>3226</v>
      </c>
      <c r="C78" s="78" t="n">
        <v>2</v>
      </c>
      <c r="D78" s="78" t="n">
        <v>5</v>
      </c>
      <c r="E78" s="78" t="n">
        <v>4</v>
      </c>
      <c r="F78" s="79" t="n">
        <f aca="false">INDEX(cfg_ct,D78)</f>
        <v>3</v>
      </c>
      <c r="G78" s="79" t="n">
        <f aca="false">INDEX(cfg_n,D78)</f>
        <v>1</v>
      </c>
      <c r="H78" s="79" t="n">
        <f aca="false">INDEX(dest_port,E78)</f>
        <v>3</v>
      </c>
      <c r="I78" s="80" t="n">
        <f aca="false">INDEX(in_fx_cbe,1,C78)*(1-INDEX(in_fx_spread,1,C78))</f>
        <v>52.7748</v>
      </c>
      <c r="J78" s="81" t="n">
        <f aca="false">1</f>
        <v>1</v>
      </c>
      <c r="K78" s="82" t="n">
        <f aca="false">INDEX(in_sup_vat_mode,1,C78)</f>
        <v>2</v>
      </c>
      <c r="L78" s="83" t="n">
        <f aca="false">INDEX(in_cus_s301,1,C78)</f>
        <v>0.125</v>
      </c>
      <c r="M78" s="84" t="n">
        <f aca="false">1</f>
        <v>1</v>
      </c>
      <c r="N78" s="81" t="n">
        <f aca="false">1</f>
        <v>1</v>
      </c>
      <c r="O78" s="81" t="n">
        <f aca="false">1</f>
        <v>1</v>
      </c>
      <c r="P78" s="81" t="n">
        <f aca="false">1</f>
        <v>1</v>
      </c>
      <c r="Q78" s="81" t="n">
        <f aca="false">1</f>
        <v>1</v>
      </c>
      <c r="R78" s="83" t="n">
        <f aca="false">INDEX(in_sel_damage,1,C78)</f>
        <v>0.015</v>
      </c>
      <c r="S78" s="83" t="n">
        <f aca="false">INDEX(in_mkt_dist_margin,1,C78)</f>
        <v>0.25</v>
      </c>
      <c r="T78" s="83" t="n">
        <f aca="false">INDEX(in_mkt_eflute_disc,1,C78)</f>
        <v>0.2</v>
      </c>
      <c r="U78" s="82" t="n">
        <f aca="false">INDEX(in_sel_credit_days,1,C78)</f>
        <v>45</v>
      </c>
      <c r="V78" s="81" t="n">
        <f aca="false">1</f>
        <v>1</v>
      </c>
      <c r="W78" s="83" t="n">
        <f aca="false">INDEX(in_sel_commission,1,C78)</f>
        <v>0.05</v>
      </c>
      <c r="X78" s="82" t="n">
        <f aca="false">1</f>
        <v>1</v>
      </c>
      <c r="Y78" s="85" t="n">
        <f aca="false">INDEX(cfg_u_3464,D78,C78)*O78</f>
        <v>76000</v>
      </c>
      <c r="Z78" s="85" t="n">
        <f aca="false">INDEX(cfg_u_3463,D78,C78)*O78</f>
        <v>0</v>
      </c>
      <c r="AA78" s="85" t="n">
        <f aca="false">INDEX(cfg_u_3460,D78,C78)*O78</f>
        <v>0</v>
      </c>
      <c r="AB78" s="85" t="n">
        <f aca="false">Y78+Z78+AA78</f>
        <v>76000</v>
      </c>
      <c r="AC78" s="86" t="n">
        <f aca="false">Y78*INDEX(lg_vpu_3464,C78)</f>
        <v>54.065792</v>
      </c>
      <c r="AD78" s="86" t="n">
        <f aca="false">Z78*INDEX(lg_vpu_3463,C78)</f>
        <v>0</v>
      </c>
      <c r="AE78" s="86" t="n">
        <f aca="false">AA78*INDEX(lg_vpu_3460,C78)</f>
        <v>0</v>
      </c>
      <c r="AF78" s="86" t="n">
        <f aca="false">AC78+AD78+AE78</f>
        <v>54.065792</v>
      </c>
      <c r="AG78" s="85" t="n">
        <f aca="false">Y78*INDEX(lg_kpu_3464,C78)+Z78*INDEX(lg_kpu_3463,C78)+AA78*INDEX(lg_kpu_3460,C78)</f>
        <v>13002.149312</v>
      </c>
      <c r="AH78" s="87" t="n">
        <f aca="false">INDEX(in_sup_requote,1,C78)</f>
        <v>0</v>
      </c>
      <c r="AI78" s="88" t="n">
        <f aca="false">Y78*q_price_3464*(1+AH78)*J78/I78</f>
        <v>12046.2796637789</v>
      </c>
      <c r="AJ78" s="88" t="n">
        <f aca="false">Z78*q_price_3463*(1+AH78)*J78/I78</f>
        <v>0</v>
      </c>
      <c r="AK78" s="88" t="n">
        <f aca="false">AA78*q_price_3460*(1+AH78)*J78/I78</f>
        <v>0</v>
      </c>
      <c r="AL78" s="88" t="n">
        <f aca="false">AI78+AJ78+AK78</f>
        <v>12046.2796637789</v>
      </c>
      <c r="AM78" s="88" t="n">
        <f aca="false">IF(OR(K78=2,K78=3),AL78*INDEX(in_sup_vat_rate,1,C78),0)</f>
        <v>1686.47915292905</v>
      </c>
      <c r="AN78" s="88" t="n">
        <f aca="false">IF(K78=3,AM78,0)</f>
        <v>0</v>
      </c>
      <c r="AO78" s="88" t="n">
        <f aca="false">INDEX(in_sup_tooling_egp,1,C78)/I78</f>
        <v>0</v>
      </c>
      <c r="AP78" s="88" t="n">
        <f aca="false">IF(F78=4,INDEX(in_ori_lcl_truck,1,C78)*V78/I78+INDEX(in_ori_lcl_cfs_o,1,C78),G78*(IF(F78=1,INDEX(in_ori_truck_20,1,C78),INDEX(in_ori_truck_40,1,C78))*V78/I78+INDEX(in_ori_terminal,1,C78)+IF(F78=1,INDEX(in_ori_othc_20,1,C78),INDEX(in_ori_othc_40,1,C78))*(1-INDEX(in_ori_othc_in_freight,1,C78))+INDEX(in_ori_seal,1,C78)+INDEX(in_ori_inspection,1,C78)+INDEX(in_ori_dd_days,1,C78)*IF(F78=1,INDEX(in_ori_dd_20,1,C78),INDEX(in_ori_dd_40,1,C78))+INDEX(in_ori_loading_egp,1,C78)/I78))</f>
        <v>555.278125165799</v>
      </c>
      <c r="AQ78" s="88" t="n">
        <f aca="false">(INDEX(in_ori_clearance,1,C78)+INDEX(in_ori_coo,1,C78))/I78+INDEX(in_ori_bl_fee,1,C78)+INDEX(in_ori_fwd_fee,1,C78)+INDEX(in_ori_qc,1,C78)+INDEX(in_ori_wires,1,C78)*INDEX(in_ori_wire_fee,1,C78)</f>
        <v>817.639062582899</v>
      </c>
      <c r="AR78" s="88" t="n">
        <f aca="false">AP78+AQ78</f>
        <v>1372.9171877487</v>
      </c>
      <c r="AS78" s="85" t="n">
        <f aca="false">INDEX(tbl_port_diff,H78,C78)</f>
        <v>0</v>
      </c>
      <c r="AT78" s="88" t="n">
        <f aca="false">IF(F78=4,MAX(AF78*INDEX(in_oce_lcl_factor,1,C78),AG78/1000,1)*INDEX(in_oce_lcl_rate,1,C78)*M78,G78*(INDEX(tbl_ocean_rate,MIN(F78,3),C78)+AS78)*M78)</f>
        <v>4000</v>
      </c>
      <c r="AU78" s="88" t="n">
        <f aca="false">AT78+INDEX(in_oce_ams,1,C78)</f>
        <v>4035</v>
      </c>
      <c r="AV78" s="88" t="n">
        <f aca="false">AI78*(1+IF(K78=3,INDEX(in_sup_vat_rate,1,C78),0))+AO78*Y78/AB78</f>
        <v>12046.2796637789</v>
      </c>
      <c r="AW78" s="88" t="n">
        <f aca="false">AJ78*(1+IF(K78=3,INDEX(in_sup_vat_rate,1,C78),0))+AO78*Z78/AB78</f>
        <v>0</v>
      </c>
      <c r="AX78" s="88" t="n">
        <f aca="false">AK78*(1+IF(K78=3,INDEX(in_sup_vat_rate,1,C78),0))+AO78*AA78/AB78</f>
        <v>0</v>
      </c>
      <c r="AY78" s="88" t="n">
        <f aca="false">AV78+AW78+AX78</f>
        <v>12046.2796637789</v>
      </c>
      <c r="AZ78" s="88" t="n">
        <f aca="false">MAX(INDEX(in_oce_ins_min,1,C78),INDEX(in_oce_ins_rate,1,C78)*(1+INDEX(in_oce_ins_uplift,1,C78))*(AL78+AO78+AR78+AU78))*(1-INDEX(in_oce_ins_in_other,1,C78))</f>
        <v>75</v>
      </c>
      <c r="BA78" s="87" t="n">
        <f aca="false">INDEX(in_cus_mfn,1,C78)+L78</f>
        <v>0.125</v>
      </c>
      <c r="BB78" s="88" t="n">
        <f aca="false">AY78*BA78</f>
        <v>1505.78495797237</v>
      </c>
      <c r="BC78" s="88" t="n">
        <f aca="false">MIN(MAX(AY78*INDEX(in_cus_mpf_rate,1,C78),INDEX(in_cus_mpf_min,1,C78)),INDEX(in_cus_mpf_max,1,C78))</f>
        <v>41.7283127553302</v>
      </c>
      <c r="BD78" s="88" t="n">
        <f aca="false">AY78*INDEX(in_cus_hmf,1,C78)</f>
        <v>15.0578495797237</v>
      </c>
      <c r="BE78" s="88" t="n">
        <f aca="false">MAX(INDEX(in_cus_stb_min,1,C78),INDEX(in_cus_stb_rate,1,C78)/1000*(AY78+BB78+BC78+BD78))</f>
        <v>81.6531047045181</v>
      </c>
      <c r="BF78" s="88" t="n">
        <f aca="false">INDEX(in_cus_broker,1,C78)+INDEX(in_cus_isf,1,C78)+INDEX(in_cus_do_fee,1,C78)+BE78+INDEX(in_cus_isf_bond,1,C78)</f>
        <v>516.653104704518</v>
      </c>
      <c r="BG78" s="88" t="n">
        <f aca="false">IF(H78=1,INDEX(in_cus_cfc,1,C78)*INDEX(ct_teu,F78)*G78*(1-INDEX(in_cus_cfc_in_freight,1,C78)),0)</f>
        <v>0</v>
      </c>
      <c r="BH78" s="88" t="n">
        <f aca="false">IF(F78=4,1,G78)*(INDEX(in_cus_exam,1,C78)+INDEX(in_cus_exam_dray,1,C78))</f>
        <v>0</v>
      </c>
      <c r="BI78" s="88" t="n">
        <f aca="false">IF(F78=4,1,G78)*INDEX(in_cus_dem_days,1,C78)*INDEX(in_cus_dem_rate,1,C78)</f>
        <v>0</v>
      </c>
      <c r="BJ78" s="88" t="n">
        <f aca="false">BG78+BH78+BI78</f>
        <v>0</v>
      </c>
      <c r="BK78" s="88" t="n">
        <f aca="false">IF(F78=4,(INDEX(in_dra_lcl_cfs_d,1,C78)+INDEX(in_dra_lcl_deliv,1,C78))*P78,G78*(INDEX(tbl_dest_line,E78,C78)*P78*(1+INDEX(in_dra_fsc,1,C78))+INDEX(tbl_dest_tolls,E78,C78)+INDEX(in_dra_chassis_days,1,C78)*INDEX(tbl_dest_chassis,E78,C78)*(1-INDEX(in_dra_chassis_in_dray,1,C78))+INDEX(in_dra_wait_hours,1,C78)*INDEX(in_dra_wait_rate,1,C78)+INDEX(in_dra_split,1,C78)+INDEX(in_dra_prepull,1,C78)+INDEX(in_dra_dryrun,1,C78)))</f>
        <v>1504</v>
      </c>
      <c r="BL78" s="88" t="n">
        <f aca="false">IF(F78=4,0,G78*IF(F78=1,INDEX(in_dra_unload_20,1,C78),INDEX(in_dra_unload_40,1,C78))*Q78*(1-INDEX(in_dra_unload_in_dray,1,C78)))</f>
        <v>450</v>
      </c>
      <c r="BM78" s="88" t="n">
        <f aca="false">AL78+AN78+AO78+AR78+AU78+AZ78+BB78+BC78+BD78+BF78+BJ78+BK78+BL78</f>
        <v>21562.4210765396</v>
      </c>
      <c r="BN78" s="88" t="n">
        <f aca="false">AP78+AU78+BJ78+BK78+BL78</f>
        <v>6544.2781251658</v>
      </c>
      <c r="BO78" s="88" t="n">
        <f aca="false">AQ78+BF78</f>
        <v>1334.29216728742</v>
      </c>
      <c r="BP78" s="88" t="n">
        <f aca="false">AI78*(1+IF(K78=3,INDEX(in_sup_vat_rate,1,C78),0))+AO78*Y78/AB78+AV78*BA78+(BC78+BD78)*AV78/AY78+AZ78*AI78/AL78+BN78*AC78/AF78+BO78*Y78/AB78</f>
        <v>21562.4210765396</v>
      </c>
      <c r="BQ78" s="88" t="n">
        <f aca="false">AJ78*(1+IF(K78=3,INDEX(in_sup_vat_rate,1,C78),0))+AO78*Z78/AB78+AW78*BA78+(BC78+BD78)*AW78/AY78+AZ78*AJ78/AL78+BN78*AD78/AF78+BO78*Z78/AB78</f>
        <v>0</v>
      </c>
      <c r="BR78" s="88" t="n">
        <f aca="false">AK78*(1+IF(K78=3,INDEX(in_sup_vat_rate,1,C78),0))+AO78*AA78/AB78+AX78*BA78+(BC78+BD78)*AX78/AY78+AZ78*AK78/AL78+BN78*AE78/AF78+BO78*AA78/AB78</f>
        <v>0</v>
      </c>
      <c r="BS78" s="89" t="n">
        <f aca="false">BP78+BQ78+BR78-BM78</f>
        <v>0</v>
      </c>
      <c r="BT78" s="85" t="n">
        <f aca="false">Y78*(1-R78)</f>
        <v>74860</v>
      </c>
      <c r="BU78" s="85" t="n">
        <f aca="false">Z78*(1-R78)</f>
        <v>0</v>
      </c>
      <c r="BV78" s="85" t="n">
        <f aca="false">AA78*(1-R78)</f>
        <v>0</v>
      </c>
      <c r="BW78" s="85" t="n">
        <f aca="false">BT78+BU78+BV78</f>
        <v>74860</v>
      </c>
      <c r="BX78" s="90" t="n">
        <f aca="false">IF(BT78&gt;0,BP78/BT78,0)</f>
        <v>0.28803661603713</v>
      </c>
      <c r="BY78" s="90" t="n">
        <f aca="false">IF(BU78&gt;0,BQ78/BU78,0)</f>
        <v>0</v>
      </c>
      <c r="BZ78" s="90" t="n">
        <f aca="false">IF(BV78&gt;0,BR78/BV78,0)</f>
        <v>0</v>
      </c>
      <c r="CA78" s="90" t="n">
        <f aca="false">INDEX(in_mkt_listing_3464,1,C78)*(1-IF(sku_flute_3464="B",T78,0))*(1-S78)*N78</f>
        <v>0.234</v>
      </c>
      <c r="CB78" s="90" t="n">
        <f aca="false">INDEX(in_mkt_listing_3463,1,C78)*(1-IF(sku_flute_3463="B",T78,0))*(1-S78)*N78</f>
        <v>0.27</v>
      </c>
      <c r="CC78" s="90" t="n">
        <f aca="false">INDEX(in_mkt_listing_3460,1,C78)*(1-IF(sku_flute_3460="B",T78,0))*(1-S78)*N78</f>
        <v>0.225</v>
      </c>
      <c r="CD78" s="88" t="n">
        <f aca="false">BT78*CA78+BU78*CB78+BV78*CC78</f>
        <v>17517.24</v>
      </c>
      <c r="CE78" s="88" t="n">
        <f aca="false">CD78-BM78</f>
        <v>-4045.18107653956</v>
      </c>
      <c r="CF78" s="87" t="n">
        <f aca="false">IF(CD78&gt;0,CE78/CD78,0)</f>
        <v>-0.230925709560385</v>
      </c>
      <c r="CG78" s="87" t="n">
        <f aca="false">W78+INDEX(in_sel_processing,1,C78)+INDEX(in_sel_bad_debt,1,C78)</f>
        <v>0.058</v>
      </c>
      <c r="CH78" s="88" t="n">
        <f aca="false">CD78*CG78</f>
        <v>1015.99992</v>
      </c>
      <c r="CI78" s="88" t="n">
        <f aca="false">INDEX(in_sel_testing,1,C78)*X78+INDEX(in_sel_admin,1,C78)</f>
        <v>3000</v>
      </c>
      <c r="CJ78" s="79" t="n">
        <f aca="false">INDEX(in_sup_lead_days,1,C78)</f>
        <v>21</v>
      </c>
      <c r="CK78" s="79" t="n">
        <f aca="false">CJ78+INDEX(in_oce_transit,1,C78)+IF(F78=4,INDEX(in_oce_lcl_extra_days,1,C78),0)</f>
        <v>51</v>
      </c>
      <c r="CL78" s="79" t="n">
        <f aca="false">CK78+2+INDEX(in_cus_dem_days,1,C78)</f>
        <v>53</v>
      </c>
      <c r="CM78" s="79" t="n">
        <f aca="false">CL78+U78</f>
        <v>98</v>
      </c>
      <c r="CN78" s="79" t="n">
        <f aca="false">CJ78+INDEX(in_sup_vat_lag,1,C78)</f>
        <v>81</v>
      </c>
      <c r="CO78" s="91" t="n">
        <f aca="false">INDEX(in_sup_advance,1,C78)</f>
        <v>0.5</v>
      </c>
      <c r="CP78" s="88" t="n">
        <f aca="false">CO78*(AL78+AM78)+AO78+INDEX(in_sel_testing,1,C78)*X78</f>
        <v>9366.37940835399</v>
      </c>
      <c r="CQ78" s="88" t="n">
        <f aca="false">(1-CO78)*(AL78+AM78)+AR78+AU78+AZ78</f>
        <v>12349.2965961027</v>
      </c>
      <c r="CR78" s="88" t="n">
        <f aca="false">BB78+BC78+BD78+BF78+BJ78</f>
        <v>2079.22422501194</v>
      </c>
      <c r="CS78" s="88" t="n">
        <f aca="false">BK78+BL78</f>
        <v>1954</v>
      </c>
      <c r="CT78" s="88" t="n">
        <f aca="false">IF(K78=2,AM78,0)</f>
        <v>1686.47915292905</v>
      </c>
      <c r="CU78" s="85" t="n">
        <f aca="false">IF(K78=2,CO78*AM78*(CN78-0)+(1-CO78)*AM78*(CN78-CJ78),0)</f>
        <v>118896.780281498</v>
      </c>
      <c r="CV78" s="85" t="n">
        <f aca="false">(CP78-CO78*CT78)*(CM78-0)+(CQ78-(1-CO78)*CT78)*(CM78-CJ78)+CR78*(CM78-CK78)+CS78*(CM78-CL78)</f>
        <v>1906887.63261287</v>
      </c>
      <c r="CW78" s="88" t="n">
        <f aca="false">INDEX(in_sel_fin_rate,1,C78)/365*(CU78+CV78)</f>
        <v>555.009428190237</v>
      </c>
      <c r="CX78" s="85" t="n">
        <f aca="false">CP78-IF(CN78&lt;=0,CT78,0)</f>
        <v>9366.37940835399</v>
      </c>
      <c r="CY78" s="85" t="n">
        <f aca="false">CP78+CQ78-IF(CN78&lt;=CJ78,CT78,0)</f>
        <v>21715.6760044567</v>
      </c>
      <c r="CZ78" s="85" t="n">
        <f aca="false">CP78+CQ78+CR78-IF(CN78&lt;=CK78,CT78,0)</f>
        <v>23794.9002294686</v>
      </c>
      <c r="DA78" s="85" t="n">
        <f aca="false">CP78+CQ78+CR78+CS78-IF(CN78&lt;=CL78,CT78,0)</f>
        <v>25748.9002294686</v>
      </c>
      <c r="DB78" s="88" t="n">
        <f aca="false">MAX(CX78,CY78,CZ78,DA78)</f>
        <v>25748.9002294686</v>
      </c>
      <c r="DC78" s="88" t="n">
        <f aca="false">CP78+CQ78+CR78+CS78</f>
        <v>25748.9002294686</v>
      </c>
      <c r="DD78" s="88" t="n">
        <f aca="false">CE78-CH78-CI78-CW78</f>
        <v>-8616.1904247298</v>
      </c>
      <c r="DE78" s="87" t="n">
        <f aca="false">IF(CD78&gt;0,DD78/CD78,0)</f>
        <v>-0.491869177149471</v>
      </c>
      <c r="DF78" s="86" t="n">
        <f aca="false">IF(CD78&gt;0,(BM78+CI78+CW78)/(CD78*(1-CG78)),0)</f>
        <v>1.52215411586993</v>
      </c>
      <c r="DG78" s="90" t="n">
        <f aca="false">IF(BW78&gt;0,BM78/BW78,0)</f>
        <v>0.28803661603713</v>
      </c>
      <c r="DH78" s="90" t="n">
        <f aca="false">IF(BW78&gt;0,CD78/BW78,0)</f>
        <v>0.234</v>
      </c>
      <c r="DI78" s="90" t="n">
        <f aca="false">IF(AI78&gt;0,(AI78*IF(K78=3,INDEX(in_sup_vat_rate,1,C78),0)+AV78*BA78+(BC78+BD78)*AV78/AY78+AZ78*AI78/AL78)/AI78,0)</f>
        <v>0.135939988611697</v>
      </c>
      <c r="DJ78" s="90" t="n">
        <f aca="false">IF(AJ78&gt;0,(AJ78*IF(K78=3,INDEX(in_sup_vat_rate,1,C78),0)+AW78*BA78+(BC78+BD78)*AW78/AY78+AZ78*AJ78/AL78)/AJ78,0)</f>
        <v>0</v>
      </c>
      <c r="DK78" s="90" t="n">
        <f aca="false">IF(AK78&gt;0,(AK78*IF(K78=3,INDEX(in_sup_vat_rate,1,C78),0)+AX78*BA78+(BC78+BD78)*AX78/AY78+AZ78*AK78/AL78)/AK78,0)</f>
        <v>0</v>
      </c>
      <c r="DL78" s="90" t="n">
        <f aca="false">IF(Y78&gt;0,(BP78-AI78*(1+DI78))/Y78,0)</f>
        <v>0.103665398584911</v>
      </c>
      <c r="DM78" s="90" t="n">
        <f aca="false">IF(Z78&gt;0,(BQ78-AJ78*(1+DJ78))/Z78,0)</f>
        <v>0</v>
      </c>
      <c r="DN78" s="90" t="n">
        <f aca="false">IF(AA78&gt;0,(BR78-AK78*(1+DK78))/AA78,0)</f>
        <v>0</v>
      </c>
      <c r="DO78" s="86" t="n">
        <f aca="false">IF(Y78&gt;0,(CA78*(1-thr_gm_go)*(1-R78)-DL78)/(1+DI78)*I78/((1+AH78)*J78),"")</f>
        <v>3.2150704248246</v>
      </c>
      <c r="DP78" s="86" t="str">
        <f aca="false">IF(Z78&gt;0,(CB78*(1-thr_gm_go)*(1-R78)-DM78)/(1+DJ78)*I78/((1+AH78)*J78),"")</f>
        <v/>
      </c>
      <c r="DQ78" s="86" t="str">
        <f aca="false">IF(AA78&gt;0,(CC78*(1-thr_gm_go)*(1-R78)-DN78)/(1+DK78)*I78/((1+AH78)*J78),"")</f>
        <v/>
      </c>
      <c r="DR78" s="92" t="n">
        <f aca="false">IF(AND(AY78*INDEX(in_cus_mpf_rate,1,C78)&gt;INDEX(in_cus_mpf_min,1,C78),AY78*INDEX(in_cus_mpf_rate,1,C78)&lt;INDEX(in_cus_mpf_max,1,C78)),INDEX(in_cus_mpf_rate,1,C78),0)</f>
        <v>0.003464</v>
      </c>
      <c r="DS78" s="88" t="n">
        <f aca="false">IF(AZ78&gt;INDEX(in_oce_ins_min,1,C78),INDEX(in_oce_ins_rate,1,C78)*(1+INDEX(in_oce_ins_uplift,1,C78))*AL78,0)</f>
        <v>0</v>
      </c>
      <c r="DT78" s="88" t="n">
        <f aca="false">(AL78+AN78)*(1+BA78+INDEX(in_cus_hmf,1,C78)+DR78)+DS78</f>
        <v>13608.8507840863</v>
      </c>
      <c r="DU78" s="86" t="n">
        <f aca="false">IF(DT78&gt;0,(CD78*(1-thr_gm_go)-(BM78-DT78))/DT78,0)</f>
        <v>0.380954996847285</v>
      </c>
      <c r="DV78" s="86" t="n">
        <f aca="false">IF(DT78&gt;0,(CD78-(BM78-DT78))/DT78,0)</f>
        <v>0.702753660781568</v>
      </c>
      <c r="DW78" s="87" t="n">
        <f aca="false">(1+AH78)*J78*DU78-1</f>
        <v>-0.619045003152715</v>
      </c>
      <c r="DX78" s="87" t="n">
        <f aca="false">(1+AH78)*J78*DV78-1</f>
        <v>-0.297246339218432</v>
      </c>
      <c r="DY78" s="85" t="n">
        <f aca="false">IF(G78&gt;0,(CD78*(1-thr_gm_go)-(BM78-AT78))/G78,"")</f>
        <v>-4424.49107653956</v>
      </c>
      <c r="DZ78" s="90" t="n">
        <f aca="false">IF(AB78&gt;0,(AL78+AN78+BB78+BC78+BD78)/AB78,0)</f>
        <v>0.179063826106399</v>
      </c>
      <c r="EA78" s="88" t="n">
        <f aca="false">BM78-DZ78*AB78</f>
        <v>7953.57029245322</v>
      </c>
      <c r="EB78" s="90" t="n">
        <f aca="false">IF(AB78&gt;0,CD78/AB78,0)</f>
        <v>0.23049</v>
      </c>
      <c r="EC78" s="85" t="str">
        <f aca="false">IF(EB78*(1-thr_gm_go)-DZ78&gt;0,EA78/(EB78*(1-thr_gm_go)-DZ78),"n/a")</f>
        <v>n/a</v>
      </c>
      <c r="ED78" s="85" t="n">
        <f aca="false">IF(EB78-DZ78&gt;0,EA78/(EB78-DZ78),"n/a")</f>
        <v>154659.965738632</v>
      </c>
      <c r="EE78" s="93" t="b">
        <f aca="false">INDEX(cfg_fits,D78,C78)</f>
        <v>1</v>
      </c>
      <c r="EF78" s="87" t="n">
        <f aca="false">IF(F78=4,"",INDEX(cfg_lenutil,D78,C78))</f>
        <v>0.991198658843252</v>
      </c>
      <c r="EG78" s="31" t="str">
        <f aca="false">IF(O78&gt;1,"Check fit (units scaled up)","")</f>
        <v/>
      </c>
    </row>
    <row r="79" customFormat="false" ht="15" hidden="false" customHeight="false" outlineLevel="0" collapsed="false">
      <c r="A79" s="78" t="n">
        <v>2055</v>
      </c>
      <c r="B79" s="9" t="s">
        <v>3227</v>
      </c>
      <c r="C79" s="78" t="n">
        <v>2</v>
      </c>
      <c r="D79" s="78" t="n">
        <v>5</v>
      </c>
      <c r="E79" s="78" t="n">
        <v>5</v>
      </c>
      <c r="F79" s="79" t="n">
        <f aca="false">INDEX(cfg_ct,D79)</f>
        <v>3</v>
      </c>
      <c r="G79" s="79" t="n">
        <f aca="false">INDEX(cfg_n,D79)</f>
        <v>1</v>
      </c>
      <c r="H79" s="79" t="n">
        <f aca="false">INDEX(dest_port,E79)</f>
        <v>4</v>
      </c>
      <c r="I79" s="80" t="n">
        <f aca="false">INDEX(in_fx_cbe,1,C79)*(1-INDEX(in_fx_spread,1,C79))</f>
        <v>52.7748</v>
      </c>
      <c r="J79" s="81" t="n">
        <f aca="false">1</f>
        <v>1</v>
      </c>
      <c r="K79" s="82" t="n">
        <f aca="false">INDEX(in_sup_vat_mode,1,C79)</f>
        <v>2</v>
      </c>
      <c r="L79" s="83" t="n">
        <f aca="false">INDEX(in_cus_s301,1,C79)</f>
        <v>0.125</v>
      </c>
      <c r="M79" s="84" t="n">
        <f aca="false">1</f>
        <v>1</v>
      </c>
      <c r="N79" s="81" t="n">
        <f aca="false">1</f>
        <v>1</v>
      </c>
      <c r="O79" s="81" t="n">
        <f aca="false">1</f>
        <v>1</v>
      </c>
      <c r="P79" s="81" t="n">
        <f aca="false">1</f>
        <v>1</v>
      </c>
      <c r="Q79" s="81" t="n">
        <f aca="false">1</f>
        <v>1</v>
      </c>
      <c r="R79" s="83" t="n">
        <f aca="false">INDEX(in_sel_damage,1,C79)</f>
        <v>0.015</v>
      </c>
      <c r="S79" s="83" t="n">
        <f aca="false">INDEX(in_mkt_dist_margin,1,C79)</f>
        <v>0.25</v>
      </c>
      <c r="T79" s="83" t="n">
        <f aca="false">INDEX(in_mkt_eflute_disc,1,C79)</f>
        <v>0.2</v>
      </c>
      <c r="U79" s="82" t="n">
        <f aca="false">INDEX(in_sel_credit_days,1,C79)</f>
        <v>45</v>
      </c>
      <c r="V79" s="81" t="n">
        <f aca="false">1</f>
        <v>1</v>
      </c>
      <c r="W79" s="83" t="n">
        <f aca="false">INDEX(in_sel_commission,1,C79)</f>
        <v>0.05</v>
      </c>
      <c r="X79" s="82" t="n">
        <f aca="false">1</f>
        <v>1</v>
      </c>
      <c r="Y79" s="85" t="n">
        <f aca="false">INDEX(cfg_u_3464,D79,C79)*O79</f>
        <v>76000</v>
      </c>
      <c r="Z79" s="85" t="n">
        <f aca="false">INDEX(cfg_u_3463,D79,C79)*O79</f>
        <v>0</v>
      </c>
      <c r="AA79" s="85" t="n">
        <f aca="false">INDEX(cfg_u_3460,D79,C79)*O79</f>
        <v>0</v>
      </c>
      <c r="AB79" s="85" t="n">
        <f aca="false">Y79+Z79+AA79</f>
        <v>76000</v>
      </c>
      <c r="AC79" s="86" t="n">
        <f aca="false">Y79*INDEX(lg_vpu_3464,C79)</f>
        <v>54.065792</v>
      </c>
      <c r="AD79" s="86" t="n">
        <f aca="false">Z79*INDEX(lg_vpu_3463,C79)</f>
        <v>0</v>
      </c>
      <c r="AE79" s="86" t="n">
        <f aca="false">AA79*INDEX(lg_vpu_3460,C79)</f>
        <v>0</v>
      </c>
      <c r="AF79" s="86" t="n">
        <f aca="false">AC79+AD79+AE79</f>
        <v>54.065792</v>
      </c>
      <c r="AG79" s="85" t="n">
        <f aca="false">Y79*INDEX(lg_kpu_3464,C79)+Z79*INDEX(lg_kpu_3463,C79)+AA79*INDEX(lg_kpu_3460,C79)</f>
        <v>13002.149312</v>
      </c>
      <c r="AH79" s="87" t="n">
        <f aca="false">INDEX(in_sup_requote,1,C79)</f>
        <v>0</v>
      </c>
      <c r="AI79" s="88" t="n">
        <f aca="false">Y79*q_price_3464*(1+AH79)*J79/I79</f>
        <v>12046.2796637789</v>
      </c>
      <c r="AJ79" s="88" t="n">
        <f aca="false">Z79*q_price_3463*(1+AH79)*J79/I79</f>
        <v>0</v>
      </c>
      <c r="AK79" s="88" t="n">
        <f aca="false">AA79*q_price_3460*(1+AH79)*J79/I79</f>
        <v>0</v>
      </c>
      <c r="AL79" s="88" t="n">
        <f aca="false">AI79+AJ79+AK79</f>
        <v>12046.2796637789</v>
      </c>
      <c r="AM79" s="88" t="n">
        <f aca="false">IF(OR(K79=2,K79=3),AL79*INDEX(in_sup_vat_rate,1,C79),0)</f>
        <v>1686.47915292905</v>
      </c>
      <c r="AN79" s="88" t="n">
        <f aca="false">IF(K79=3,AM79,0)</f>
        <v>0</v>
      </c>
      <c r="AO79" s="88" t="n">
        <f aca="false">INDEX(in_sup_tooling_egp,1,C79)/I79</f>
        <v>0</v>
      </c>
      <c r="AP79" s="88" t="n">
        <f aca="false">IF(F79=4,INDEX(in_ori_lcl_truck,1,C79)*V79/I79+INDEX(in_ori_lcl_cfs_o,1,C79),G79*(IF(F79=1,INDEX(in_ori_truck_20,1,C79),INDEX(in_ori_truck_40,1,C79))*V79/I79+INDEX(in_ori_terminal,1,C79)+IF(F79=1,INDEX(in_ori_othc_20,1,C79),INDEX(in_ori_othc_40,1,C79))*(1-INDEX(in_ori_othc_in_freight,1,C79))+INDEX(in_ori_seal,1,C79)+INDEX(in_ori_inspection,1,C79)+INDEX(in_ori_dd_days,1,C79)*IF(F79=1,INDEX(in_ori_dd_20,1,C79),INDEX(in_ori_dd_40,1,C79))+INDEX(in_ori_loading_egp,1,C79)/I79))</f>
        <v>555.278125165799</v>
      </c>
      <c r="AQ79" s="88" t="n">
        <f aca="false">(INDEX(in_ori_clearance,1,C79)+INDEX(in_ori_coo,1,C79))/I79+INDEX(in_ori_bl_fee,1,C79)+INDEX(in_ori_fwd_fee,1,C79)+INDEX(in_ori_qc,1,C79)+INDEX(in_ori_wires,1,C79)*INDEX(in_ori_wire_fee,1,C79)</f>
        <v>817.639062582899</v>
      </c>
      <c r="AR79" s="88" t="n">
        <f aca="false">AP79+AQ79</f>
        <v>1372.9171877487</v>
      </c>
      <c r="AS79" s="85" t="n">
        <f aca="false">INDEX(tbl_port_diff,H79,C79)</f>
        <v>100</v>
      </c>
      <c r="AT79" s="88" t="n">
        <f aca="false">IF(F79=4,MAX(AF79*INDEX(in_oce_lcl_factor,1,C79),AG79/1000,1)*INDEX(in_oce_lcl_rate,1,C79)*M79,G79*(INDEX(tbl_ocean_rate,MIN(F79,3),C79)+AS79)*M79)</f>
        <v>4100</v>
      </c>
      <c r="AU79" s="88" t="n">
        <f aca="false">AT79+INDEX(in_oce_ams,1,C79)</f>
        <v>4135</v>
      </c>
      <c r="AV79" s="88" t="n">
        <f aca="false">AI79*(1+IF(K79=3,INDEX(in_sup_vat_rate,1,C79),0))+AO79*Y79/AB79</f>
        <v>12046.2796637789</v>
      </c>
      <c r="AW79" s="88" t="n">
        <f aca="false">AJ79*(1+IF(K79=3,INDEX(in_sup_vat_rate,1,C79),0))+AO79*Z79/AB79</f>
        <v>0</v>
      </c>
      <c r="AX79" s="88" t="n">
        <f aca="false">AK79*(1+IF(K79=3,INDEX(in_sup_vat_rate,1,C79),0))+AO79*AA79/AB79</f>
        <v>0</v>
      </c>
      <c r="AY79" s="88" t="n">
        <f aca="false">AV79+AW79+AX79</f>
        <v>12046.2796637789</v>
      </c>
      <c r="AZ79" s="88" t="n">
        <f aca="false">MAX(INDEX(in_oce_ins_min,1,C79),INDEX(in_oce_ins_rate,1,C79)*(1+INDEX(in_oce_ins_uplift,1,C79))*(AL79+AO79+AR79+AU79))*(1-INDEX(in_oce_ins_in_other,1,C79))</f>
        <v>75</v>
      </c>
      <c r="BA79" s="87" t="n">
        <f aca="false">INDEX(in_cus_mfn,1,C79)+L79</f>
        <v>0.125</v>
      </c>
      <c r="BB79" s="88" t="n">
        <f aca="false">AY79*BA79</f>
        <v>1505.78495797237</v>
      </c>
      <c r="BC79" s="88" t="n">
        <f aca="false">MIN(MAX(AY79*INDEX(in_cus_mpf_rate,1,C79),INDEX(in_cus_mpf_min,1,C79)),INDEX(in_cus_mpf_max,1,C79))</f>
        <v>41.7283127553302</v>
      </c>
      <c r="BD79" s="88" t="n">
        <f aca="false">AY79*INDEX(in_cus_hmf,1,C79)</f>
        <v>15.0578495797237</v>
      </c>
      <c r="BE79" s="88" t="n">
        <f aca="false">MAX(INDEX(in_cus_stb_min,1,C79),INDEX(in_cus_stb_rate,1,C79)/1000*(AY79+BB79+BC79+BD79))</f>
        <v>81.6531047045181</v>
      </c>
      <c r="BF79" s="88" t="n">
        <f aca="false">INDEX(in_cus_broker,1,C79)+INDEX(in_cus_isf,1,C79)+INDEX(in_cus_do_fee,1,C79)+BE79+INDEX(in_cus_isf_bond,1,C79)</f>
        <v>516.653104704518</v>
      </c>
      <c r="BG79" s="88" t="n">
        <f aca="false">IF(H79=1,INDEX(in_cus_cfc,1,C79)*INDEX(ct_teu,F79)*G79*(1-INDEX(in_cus_cfc_in_freight,1,C79)),0)</f>
        <v>0</v>
      </c>
      <c r="BH79" s="88" t="n">
        <f aca="false">IF(F79=4,1,G79)*(INDEX(in_cus_exam,1,C79)+INDEX(in_cus_exam_dray,1,C79))</f>
        <v>0</v>
      </c>
      <c r="BI79" s="88" t="n">
        <f aca="false">IF(F79=4,1,G79)*INDEX(in_cus_dem_days,1,C79)*INDEX(in_cus_dem_rate,1,C79)</f>
        <v>0</v>
      </c>
      <c r="BJ79" s="88" t="n">
        <f aca="false">BG79+BH79+BI79</f>
        <v>0</v>
      </c>
      <c r="BK79" s="88" t="n">
        <f aca="false">IF(F79=4,(INDEX(in_dra_lcl_cfs_d,1,C79)+INDEX(in_dra_lcl_deliv,1,C79))*P79,G79*(INDEX(tbl_dest_line,E79,C79)*P79*(1+INDEX(in_dra_fsc,1,C79))+INDEX(tbl_dest_tolls,E79,C79)+INDEX(in_dra_chassis_days,1,C79)*INDEX(tbl_dest_chassis,E79,C79)*(1-INDEX(in_dra_chassis_in_dray,1,C79))+INDEX(in_dra_wait_hours,1,C79)*INDEX(in_dra_wait_rate,1,C79)+INDEX(in_dra_split,1,C79)+INDEX(in_dra_prepull,1,C79)+INDEX(in_dra_dryrun,1,C79)))</f>
        <v>1970</v>
      </c>
      <c r="BL79" s="88" t="n">
        <f aca="false">IF(F79=4,0,G79*IF(F79=1,INDEX(in_dra_unload_20,1,C79),INDEX(in_dra_unload_40,1,C79))*Q79*(1-INDEX(in_dra_unload_in_dray,1,C79)))</f>
        <v>450</v>
      </c>
      <c r="BM79" s="88" t="n">
        <f aca="false">AL79+AN79+AO79+AR79+AU79+AZ79+BB79+BC79+BD79+BF79+BJ79+BK79+BL79</f>
        <v>22128.4210765396</v>
      </c>
      <c r="BN79" s="88" t="n">
        <f aca="false">AP79+AU79+BJ79+BK79+BL79</f>
        <v>7110.2781251658</v>
      </c>
      <c r="BO79" s="88" t="n">
        <f aca="false">AQ79+BF79</f>
        <v>1334.29216728742</v>
      </c>
      <c r="BP79" s="88" t="n">
        <f aca="false">AI79*(1+IF(K79=3,INDEX(in_sup_vat_rate,1,C79),0))+AO79*Y79/AB79+AV79*BA79+(BC79+BD79)*AV79/AY79+AZ79*AI79/AL79+BN79*AC79/AF79+BO79*Y79/AB79</f>
        <v>22128.4210765396</v>
      </c>
      <c r="BQ79" s="88" t="n">
        <f aca="false">AJ79*(1+IF(K79=3,INDEX(in_sup_vat_rate,1,C79),0))+AO79*Z79/AB79+AW79*BA79+(BC79+BD79)*AW79/AY79+AZ79*AJ79/AL79+BN79*AD79/AF79+BO79*Z79/AB79</f>
        <v>0</v>
      </c>
      <c r="BR79" s="88" t="n">
        <f aca="false">AK79*(1+IF(K79=3,INDEX(in_sup_vat_rate,1,C79),0))+AO79*AA79/AB79+AX79*BA79+(BC79+BD79)*AX79/AY79+AZ79*AK79/AL79+BN79*AE79/AF79+BO79*AA79/AB79</f>
        <v>0</v>
      </c>
      <c r="BS79" s="89" t="n">
        <f aca="false">BP79+BQ79+BR79-BM79</f>
        <v>0</v>
      </c>
      <c r="BT79" s="85" t="n">
        <f aca="false">Y79*(1-R79)</f>
        <v>74860</v>
      </c>
      <c r="BU79" s="85" t="n">
        <f aca="false">Z79*(1-R79)</f>
        <v>0</v>
      </c>
      <c r="BV79" s="85" t="n">
        <f aca="false">AA79*(1-R79)</f>
        <v>0</v>
      </c>
      <c r="BW79" s="85" t="n">
        <f aca="false">BT79+BU79+BV79</f>
        <v>74860</v>
      </c>
      <c r="BX79" s="90" t="n">
        <f aca="false">IF(BT79&gt;0,BP79/BT79,0)</f>
        <v>0.295597396160026</v>
      </c>
      <c r="BY79" s="90" t="n">
        <f aca="false">IF(BU79&gt;0,BQ79/BU79,0)</f>
        <v>0</v>
      </c>
      <c r="BZ79" s="90" t="n">
        <f aca="false">IF(BV79&gt;0,BR79/BV79,0)</f>
        <v>0</v>
      </c>
      <c r="CA79" s="90" t="n">
        <f aca="false">INDEX(in_mkt_listing_3464,1,C79)*(1-IF(sku_flute_3464="B",T79,0))*(1-S79)*N79</f>
        <v>0.234</v>
      </c>
      <c r="CB79" s="90" t="n">
        <f aca="false">INDEX(in_mkt_listing_3463,1,C79)*(1-IF(sku_flute_3463="B",T79,0))*(1-S79)*N79</f>
        <v>0.27</v>
      </c>
      <c r="CC79" s="90" t="n">
        <f aca="false">INDEX(in_mkt_listing_3460,1,C79)*(1-IF(sku_flute_3460="B",T79,0))*(1-S79)*N79</f>
        <v>0.225</v>
      </c>
      <c r="CD79" s="88" t="n">
        <f aca="false">BT79*CA79+BU79*CB79+BV79*CC79</f>
        <v>17517.24</v>
      </c>
      <c r="CE79" s="88" t="n">
        <f aca="false">CD79-BM79</f>
        <v>-4611.18107653956</v>
      </c>
      <c r="CF79" s="87" t="n">
        <f aca="false">IF(CD79&gt;0,CE79/CD79,0)</f>
        <v>-0.263236735726608</v>
      </c>
      <c r="CG79" s="87" t="n">
        <f aca="false">W79+INDEX(in_sel_processing,1,C79)+INDEX(in_sel_bad_debt,1,C79)</f>
        <v>0.058</v>
      </c>
      <c r="CH79" s="88" t="n">
        <f aca="false">CD79*CG79</f>
        <v>1015.99992</v>
      </c>
      <c r="CI79" s="88" t="n">
        <f aca="false">INDEX(in_sel_testing,1,C79)*X79+INDEX(in_sel_admin,1,C79)</f>
        <v>3000</v>
      </c>
      <c r="CJ79" s="79" t="n">
        <f aca="false">INDEX(in_sup_lead_days,1,C79)</f>
        <v>21</v>
      </c>
      <c r="CK79" s="79" t="n">
        <f aca="false">CJ79+INDEX(in_oce_transit,1,C79)+IF(F79=4,INDEX(in_oce_lcl_extra_days,1,C79),0)</f>
        <v>51</v>
      </c>
      <c r="CL79" s="79" t="n">
        <f aca="false">CK79+2+INDEX(in_cus_dem_days,1,C79)</f>
        <v>53</v>
      </c>
      <c r="CM79" s="79" t="n">
        <f aca="false">CL79+U79</f>
        <v>98</v>
      </c>
      <c r="CN79" s="79" t="n">
        <f aca="false">CJ79+INDEX(in_sup_vat_lag,1,C79)</f>
        <v>81</v>
      </c>
      <c r="CO79" s="91" t="n">
        <f aca="false">INDEX(in_sup_advance,1,C79)</f>
        <v>0.5</v>
      </c>
      <c r="CP79" s="88" t="n">
        <f aca="false">CO79*(AL79+AM79)+AO79+INDEX(in_sel_testing,1,C79)*X79</f>
        <v>9366.37940835399</v>
      </c>
      <c r="CQ79" s="88" t="n">
        <f aca="false">(1-CO79)*(AL79+AM79)+AR79+AU79+AZ79</f>
        <v>12449.2965961027</v>
      </c>
      <c r="CR79" s="88" t="n">
        <f aca="false">BB79+BC79+BD79+BF79+BJ79</f>
        <v>2079.22422501194</v>
      </c>
      <c r="CS79" s="88" t="n">
        <f aca="false">BK79+BL79</f>
        <v>2420</v>
      </c>
      <c r="CT79" s="88" t="n">
        <f aca="false">IF(K79=2,AM79,0)</f>
        <v>1686.47915292905</v>
      </c>
      <c r="CU79" s="85" t="n">
        <f aca="false">IF(K79=2,CO79*AM79*(CN79-0)+(1-CO79)*AM79*(CN79-CJ79),0)</f>
        <v>118896.780281498</v>
      </c>
      <c r="CV79" s="85" t="n">
        <f aca="false">(CP79-CO79*CT79)*(CM79-0)+(CQ79-(1-CO79)*CT79)*(CM79-CJ79)+CR79*(CM79-CK79)+CS79*(CM79-CL79)</f>
        <v>1935557.63261287</v>
      </c>
      <c r="CW79" s="88" t="n">
        <f aca="false">INDEX(in_sel_fin_rate,1,C79)/365*(CU79+CV79)</f>
        <v>562.864222710785</v>
      </c>
      <c r="CX79" s="85" t="n">
        <f aca="false">CP79-IF(CN79&lt;=0,CT79,0)</f>
        <v>9366.37940835399</v>
      </c>
      <c r="CY79" s="85" t="n">
        <f aca="false">CP79+CQ79-IF(CN79&lt;=CJ79,CT79,0)</f>
        <v>21815.6760044567</v>
      </c>
      <c r="CZ79" s="85" t="n">
        <f aca="false">CP79+CQ79+CR79-IF(CN79&lt;=CK79,CT79,0)</f>
        <v>23894.9002294686</v>
      </c>
      <c r="DA79" s="85" t="n">
        <f aca="false">CP79+CQ79+CR79+CS79-IF(CN79&lt;=CL79,CT79,0)</f>
        <v>26314.9002294686</v>
      </c>
      <c r="DB79" s="88" t="n">
        <f aca="false">MAX(CX79,CY79,CZ79,DA79)</f>
        <v>26314.9002294686</v>
      </c>
      <c r="DC79" s="88" t="n">
        <f aca="false">CP79+CQ79+CR79+CS79</f>
        <v>26314.9002294686</v>
      </c>
      <c r="DD79" s="88" t="n">
        <f aca="false">CE79-CH79-CI79-CW79</f>
        <v>-9190.04521925035</v>
      </c>
      <c r="DE79" s="87" t="n">
        <f aca="false">IF(CD79&gt;0,DD79/CD79,0)</f>
        <v>-0.524628606975205</v>
      </c>
      <c r="DF79" s="86" t="n">
        <f aca="false">IF(CD79&gt;0,(BM79+CI79+CW79)/(CD79*(1-CG79)),0)</f>
        <v>1.55693058065308</v>
      </c>
      <c r="DG79" s="90" t="n">
        <f aca="false">IF(BW79&gt;0,BM79/BW79,0)</f>
        <v>0.295597396160026</v>
      </c>
      <c r="DH79" s="90" t="n">
        <f aca="false">IF(BW79&gt;0,CD79/BW79,0)</f>
        <v>0.234</v>
      </c>
      <c r="DI79" s="90" t="n">
        <f aca="false">IF(AI79&gt;0,(AI79*IF(K79=3,INDEX(in_sup_vat_rate,1,C79),0)+AV79*BA79+(BC79+BD79)*AV79/AY79+AZ79*AI79/AL79)/AI79,0)</f>
        <v>0.135939988611697</v>
      </c>
      <c r="DJ79" s="90" t="n">
        <f aca="false">IF(AJ79&gt;0,(AJ79*IF(K79=3,INDEX(in_sup_vat_rate,1,C79),0)+AW79*BA79+(BC79+BD79)*AW79/AY79+AZ79*AJ79/AL79)/AJ79,0)</f>
        <v>0</v>
      </c>
      <c r="DK79" s="90" t="n">
        <f aca="false">IF(AK79&gt;0,(AK79*IF(K79=3,INDEX(in_sup_vat_rate,1,C79),0)+AX79*BA79+(BC79+BD79)*AX79/AY79+AZ79*AK79/AL79)/AK79,0)</f>
        <v>0</v>
      </c>
      <c r="DL79" s="90" t="n">
        <f aca="false">IF(Y79&gt;0,(BP79-AI79*(1+DI79))/Y79,0)</f>
        <v>0.111112767005963</v>
      </c>
      <c r="DM79" s="90" t="n">
        <f aca="false">IF(Z79&gt;0,(BQ79-AJ79*(1+DJ79))/Z79,0)</f>
        <v>0</v>
      </c>
      <c r="DN79" s="90" t="n">
        <f aca="false">IF(AA79&gt;0,(BR79-AK79*(1+DK79))/AA79,0)</f>
        <v>0</v>
      </c>
      <c r="DO79" s="86" t="n">
        <f aca="false">IF(Y79&gt;0,(CA79*(1-thr_gm_go)*(1-R79)-DL79)/(1+DI79)*I79/((1+AH79)*J79),"")</f>
        <v>2.8690720596929</v>
      </c>
      <c r="DP79" s="86" t="str">
        <f aca="false">IF(Z79&gt;0,(CB79*(1-thr_gm_go)*(1-R79)-DM79)/(1+DJ79)*I79/((1+AH79)*J79),"")</f>
        <v/>
      </c>
      <c r="DQ79" s="86" t="str">
        <f aca="false">IF(AA79&gt;0,(CC79*(1-thr_gm_go)*(1-R79)-DN79)/(1+DK79)*I79/((1+AH79)*J79),"")</f>
        <v/>
      </c>
      <c r="DR79" s="92" t="n">
        <f aca="false">IF(AND(AY79*INDEX(in_cus_mpf_rate,1,C79)&gt;INDEX(in_cus_mpf_min,1,C79),AY79*INDEX(in_cus_mpf_rate,1,C79)&lt;INDEX(in_cus_mpf_max,1,C79)),INDEX(in_cus_mpf_rate,1,C79),0)</f>
        <v>0.003464</v>
      </c>
      <c r="DS79" s="88" t="n">
        <f aca="false">IF(AZ79&gt;INDEX(in_oce_ins_min,1,C79),INDEX(in_oce_ins_rate,1,C79)*(1+INDEX(in_oce_ins_uplift,1,C79))*AL79,0)</f>
        <v>0</v>
      </c>
      <c r="DT79" s="88" t="n">
        <f aca="false">(AL79+AN79)*(1+BA79+INDEX(in_cus_hmf,1,C79)+DR79)+DS79</f>
        <v>13608.8507840863</v>
      </c>
      <c r="DU79" s="86" t="n">
        <f aca="false">IF(DT79&gt;0,(CD79*(1-thr_gm_go)-(BM79-DT79))/DT79,0)</f>
        <v>0.339364416644741</v>
      </c>
      <c r="DV79" s="86" t="n">
        <f aca="false">IF(DT79&gt;0,(CD79-(BM79-DT79))/DT79,0)</f>
        <v>0.661163080579023</v>
      </c>
      <c r="DW79" s="87" t="n">
        <f aca="false">(1+AH79)*J79*DU79-1</f>
        <v>-0.66063558335526</v>
      </c>
      <c r="DX79" s="87" t="n">
        <f aca="false">(1+AH79)*J79*DV79-1</f>
        <v>-0.338836919420977</v>
      </c>
      <c r="DY79" s="85" t="n">
        <f aca="false">IF(G79&gt;0,(CD79*(1-thr_gm_go)-(BM79-AT79))/G79,"")</f>
        <v>-4890.49107653956</v>
      </c>
      <c r="DZ79" s="90" t="n">
        <f aca="false">IF(AB79&gt;0,(AL79+AN79+BB79+BC79+BD79)/AB79,0)</f>
        <v>0.179063826106399</v>
      </c>
      <c r="EA79" s="88" t="n">
        <f aca="false">BM79-DZ79*AB79</f>
        <v>8519.57029245322</v>
      </c>
      <c r="EB79" s="90" t="n">
        <f aca="false">IF(AB79&gt;0,CD79/AB79,0)</f>
        <v>0.23049</v>
      </c>
      <c r="EC79" s="85" t="str">
        <f aca="false">IF(EB79*(1-thr_gm_go)-DZ79&gt;0,EA79/(EB79*(1-thr_gm_go)-DZ79),"n/a")</f>
        <v>n/a</v>
      </c>
      <c r="ED79" s="85" t="n">
        <f aca="false">IF(EB79-DZ79&gt;0,EA79/(EB79-DZ79),"n/a")</f>
        <v>165666.034383191</v>
      </c>
      <c r="EE79" s="93" t="b">
        <f aca="false">INDEX(cfg_fits,D79,C79)</f>
        <v>1</v>
      </c>
      <c r="EF79" s="87" t="n">
        <f aca="false">IF(F79=4,"",INDEX(cfg_lenutil,D79,C79))</f>
        <v>0.991198658843252</v>
      </c>
      <c r="EG79" s="31" t="str">
        <f aca="false">IF(O79&gt;1,"Check fit (units scaled up)","")</f>
        <v/>
      </c>
    </row>
    <row r="80" customFormat="false" ht="15" hidden="false" customHeight="false" outlineLevel="0" collapsed="false">
      <c r="A80" s="78" t="n">
        <v>2061</v>
      </c>
      <c r="B80" s="9" t="s">
        <v>3228</v>
      </c>
      <c r="C80" s="78" t="n">
        <v>2</v>
      </c>
      <c r="D80" s="78" t="n">
        <v>6</v>
      </c>
      <c r="E80" s="78" t="n">
        <v>1</v>
      </c>
      <c r="F80" s="79" t="n">
        <f aca="false">INDEX(cfg_ct,D80)</f>
        <v>3</v>
      </c>
      <c r="G80" s="79" t="n">
        <f aca="false">INDEX(cfg_n,D80)</f>
        <v>1</v>
      </c>
      <c r="H80" s="79" t="n">
        <f aca="false">INDEX(dest_port,E80)</f>
        <v>1</v>
      </c>
      <c r="I80" s="80" t="n">
        <f aca="false">INDEX(in_fx_cbe,1,C80)*(1-INDEX(in_fx_spread,1,C80))</f>
        <v>52.7748</v>
      </c>
      <c r="J80" s="81" t="n">
        <f aca="false">1</f>
        <v>1</v>
      </c>
      <c r="K80" s="82" t="n">
        <f aca="false">INDEX(in_sup_vat_mode,1,C80)</f>
        <v>2</v>
      </c>
      <c r="L80" s="83" t="n">
        <f aca="false">INDEX(in_cus_s301,1,C80)</f>
        <v>0.125</v>
      </c>
      <c r="M80" s="84" t="n">
        <f aca="false">1</f>
        <v>1</v>
      </c>
      <c r="N80" s="81" t="n">
        <f aca="false">1</f>
        <v>1</v>
      </c>
      <c r="O80" s="81" t="n">
        <f aca="false">1</f>
        <v>1</v>
      </c>
      <c r="P80" s="81" t="n">
        <f aca="false">1</f>
        <v>1</v>
      </c>
      <c r="Q80" s="81" t="n">
        <f aca="false">1</f>
        <v>1</v>
      </c>
      <c r="R80" s="83" t="n">
        <f aca="false">INDEX(in_sel_damage,1,C80)</f>
        <v>0.015</v>
      </c>
      <c r="S80" s="83" t="n">
        <f aca="false">INDEX(in_mkt_dist_margin,1,C80)</f>
        <v>0.25</v>
      </c>
      <c r="T80" s="83" t="n">
        <f aca="false">INDEX(in_mkt_eflute_disc,1,C80)</f>
        <v>0.2</v>
      </c>
      <c r="U80" s="82" t="n">
        <f aca="false">INDEX(in_sel_credit_days,1,C80)</f>
        <v>45</v>
      </c>
      <c r="V80" s="81" t="n">
        <f aca="false">1</f>
        <v>1</v>
      </c>
      <c r="W80" s="83" t="n">
        <f aca="false">INDEX(in_sel_commission,1,C80)</f>
        <v>0.05</v>
      </c>
      <c r="X80" s="82" t="n">
        <f aca="false">1</f>
        <v>1</v>
      </c>
      <c r="Y80" s="85" t="n">
        <f aca="false">INDEX(cfg_u_3464,D80,C80)*O80</f>
        <v>0</v>
      </c>
      <c r="Z80" s="85" t="n">
        <f aca="false">INDEX(cfg_u_3463,D80,C80)*O80</f>
        <v>66850</v>
      </c>
      <c r="AA80" s="85" t="n">
        <f aca="false">INDEX(cfg_u_3460,D80,C80)*O80</f>
        <v>0</v>
      </c>
      <c r="AB80" s="85" t="n">
        <f aca="false">Y80+Z80+AA80</f>
        <v>66850</v>
      </c>
      <c r="AC80" s="86" t="n">
        <f aca="false">Y80*INDEX(lg_vpu_3464,C80)</f>
        <v>0</v>
      </c>
      <c r="AD80" s="86" t="n">
        <f aca="false">Z80*INDEX(lg_vpu_3463,C80)</f>
        <v>58.1776832</v>
      </c>
      <c r="AE80" s="86" t="n">
        <f aca="false">AA80*INDEX(lg_vpu_3460,C80)</f>
        <v>0</v>
      </c>
      <c r="AF80" s="86" t="n">
        <f aca="false">AC80+AD80+AE80</f>
        <v>58.1776832</v>
      </c>
      <c r="AG80" s="85" t="n">
        <f aca="false">Y80*INDEX(lg_kpu_3464,C80)+Z80*INDEX(lg_kpu_3463,C80)+AA80*INDEX(lg_kpu_3460,C80)</f>
        <v>13982.3882492</v>
      </c>
      <c r="AH80" s="87" t="n">
        <f aca="false">INDEX(in_sup_requote,1,C80)</f>
        <v>0</v>
      </c>
      <c r="AI80" s="88" t="n">
        <f aca="false">Y80*q_price_3464*(1+AH80)*J80/I80</f>
        <v>0</v>
      </c>
      <c r="AJ80" s="88" t="n">
        <f aca="false">Z80*q_price_3463*(1+AH80)*J80/I80</f>
        <v>10006.9540765668</v>
      </c>
      <c r="AK80" s="88" t="n">
        <f aca="false">AA80*q_price_3460*(1+AH80)*J80/I80</f>
        <v>0</v>
      </c>
      <c r="AL80" s="88" t="n">
        <f aca="false">AI80+AJ80+AK80</f>
        <v>10006.9540765668</v>
      </c>
      <c r="AM80" s="88" t="n">
        <f aca="false">IF(OR(K80=2,K80=3),AL80*INDEX(in_sup_vat_rate,1,C80),0)</f>
        <v>1400.97357071936</v>
      </c>
      <c r="AN80" s="88" t="n">
        <f aca="false">IF(K80=3,AM80,0)</f>
        <v>0</v>
      </c>
      <c r="AO80" s="88" t="n">
        <f aca="false">INDEX(in_sup_tooling_egp,1,C80)/I80</f>
        <v>0</v>
      </c>
      <c r="AP80" s="88" t="n">
        <f aca="false">IF(F80=4,INDEX(in_ori_lcl_truck,1,C80)*V80/I80+INDEX(in_ori_lcl_cfs_o,1,C80),G80*(IF(F80=1,INDEX(in_ori_truck_20,1,C80),INDEX(in_ori_truck_40,1,C80))*V80/I80+INDEX(in_ori_terminal,1,C80)+IF(F80=1,INDEX(in_ori_othc_20,1,C80),INDEX(in_ori_othc_40,1,C80))*(1-INDEX(in_ori_othc_in_freight,1,C80))+INDEX(in_ori_seal,1,C80)+INDEX(in_ori_inspection,1,C80)+INDEX(in_ori_dd_days,1,C80)*IF(F80=1,INDEX(in_ori_dd_20,1,C80),INDEX(in_ori_dd_40,1,C80))+INDEX(in_ori_loading_egp,1,C80)/I80))</f>
        <v>555.278125165799</v>
      </c>
      <c r="AQ80" s="88" t="n">
        <f aca="false">(INDEX(in_ori_clearance,1,C80)+INDEX(in_ori_coo,1,C80))/I80+INDEX(in_ori_bl_fee,1,C80)+INDEX(in_ori_fwd_fee,1,C80)+INDEX(in_ori_qc,1,C80)+INDEX(in_ori_wires,1,C80)*INDEX(in_ori_wire_fee,1,C80)</f>
        <v>817.639062582899</v>
      </c>
      <c r="AR80" s="88" t="n">
        <f aca="false">AP80+AQ80</f>
        <v>1372.9171877487</v>
      </c>
      <c r="AS80" s="85" t="n">
        <f aca="false">INDEX(tbl_port_diff,H80,C80)</f>
        <v>0</v>
      </c>
      <c r="AT80" s="88" t="n">
        <f aca="false">IF(F80=4,MAX(AF80*INDEX(in_oce_lcl_factor,1,C80),AG80/1000,1)*INDEX(in_oce_lcl_rate,1,C80)*M80,G80*(INDEX(tbl_ocean_rate,MIN(F80,3),C80)+AS80)*M80)</f>
        <v>4000</v>
      </c>
      <c r="AU80" s="88" t="n">
        <f aca="false">AT80+INDEX(in_oce_ams,1,C80)</f>
        <v>4035</v>
      </c>
      <c r="AV80" s="88" t="n">
        <f aca="false">AI80*(1+IF(K80=3,INDEX(in_sup_vat_rate,1,C80),0))+AO80*Y80/AB80</f>
        <v>0</v>
      </c>
      <c r="AW80" s="88" t="n">
        <f aca="false">AJ80*(1+IF(K80=3,INDEX(in_sup_vat_rate,1,C80),0))+AO80*Z80/AB80</f>
        <v>10006.9540765668</v>
      </c>
      <c r="AX80" s="88" t="n">
        <f aca="false">AK80*(1+IF(K80=3,INDEX(in_sup_vat_rate,1,C80),0))+AO80*AA80/AB80</f>
        <v>0</v>
      </c>
      <c r="AY80" s="88" t="n">
        <f aca="false">AV80+AW80+AX80</f>
        <v>10006.9540765668</v>
      </c>
      <c r="AZ80" s="88" t="n">
        <f aca="false">MAX(INDEX(in_oce_ins_min,1,C80),INDEX(in_oce_ins_rate,1,C80)*(1+INDEX(in_oce_ins_uplift,1,C80))*(AL80+AO80+AR80+AU80))*(1-INDEX(in_oce_ins_in_other,1,C80))</f>
        <v>75</v>
      </c>
      <c r="BA80" s="87" t="n">
        <f aca="false">INDEX(in_cus_mfn,1,C80)+L80</f>
        <v>0.125</v>
      </c>
      <c r="BB80" s="88" t="n">
        <f aca="false">AY80*BA80</f>
        <v>1250.86925957086</v>
      </c>
      <c r="BC80" s="88" t="n">
        <f aca="false">MIN(MAX(AY80*INDEX(in_cus_mpf_rate,1,C80),INDEX(in_cus_mpf_min,1,C80)),INDEX(in_cus_mpf_max,1,C80))</f>
        <v>34.6640889212276</v>
      </c>
      <c r="BD80" s="88" t="n">
        <f aca="false">AY80*INDEX(in_cus_hmf,1,C80)</f>
        <v>12.5086925957086</v>
      </c>
      <c r="BE80" s="88" t="n">
        <f aca="false">MAX(INDEX(in_cus_stb_min,1,C80),INDEX(in_cus_stb_rate,1,C80)/1000*(AY80+BB80+BC80+BD80))</f>
        <v>75</v>
      </c>
      <c r="BF80" s="88" t="n">
        <f aca="false">INDEX(in_cus_broker,1,C80)+INDEX(in_cus_isf,1,C80)+INDEX(in_cus_do_fee,1,C80)+BE80+INDEX(in_cus_isf_bond,1,C80)</f>
        <v>510</v>
      </c>
      <c r="BG80" s="88" t="n">
        <f aca="false">IF(H80=1,INDEX(in_cus_cfc,1,C80)*INDEX(ct_teu,F80)*G80*(1-INDEX(in_cus_cfc_in_freight,1,C80)),0)</f>
        <v>29.6</v>
      </c>
      <c r="BH80" s="88" t="n">
        <f aca="false">IF(F80=4,1,G80)*(INDEX(in_cus_exam,1,C80)+INDEX(in_cus_exam_dray,1,C80))</f>
        <v>0</v>
      </c>
      <c r="BI80" s="88" t="n">
        <f aca="false">IF(F80=4,1,G80)*INDEX(in_cus_dem_days,1,C80)*INDEX(in_cus_dem_rate,1,C80)</f>
        <v>0</v>
      </c>
      <c r="BJ80" s="88" t="n">
        <f aca="false">BG80+BH80+BI80</f>
        <v>29.6</v>
      </c>
      <c r="BK80" s="88" t="n">
        <f aca="false">IF(F80=4,(INDEX(in_dra_lcl_cfs_d,1,C80)+INDEX(in_dra_lcl_deliv,1,C80))*P80,G80*(INDEX(tbl_dest_line,E80,C80)*P80*(1+INDEX(in_dra_fsc,1,C80))+INDEX(tbl_dest_tolls,E80,C80)+INDEX(in_dra_chassis_days,1,C80)*INDEX(tbl_dest_chassis,E80,C80)*(1-INDEX(in_dra_chassis_in_dray,1,C80))+INDEX(in_dra_wait_hours,1,C80)*INDEX(in_dra_wait_rate,1,C80)+INDEX(in_dra_split,1,C80)+INDEX(in_dra_prepull,1,C80)+INDEX(in_dra_dryrun,1,C80)))</f>
        <v>1060</v>
      </c>
      <c r="BL80" s="88" t="n">
        <f aca="false">IF(F80=4,0,G80*IF(F80=1,INDEX(in_dra_unload_20,1,C80),INDEX(in_dra_unload_40,1,C80))*Q80*(1-INDEX(in_dra_unload_in_dray,1,C80)))</f>
        <v>450</v>
      </c>
      <c r="BM80" s="88" t="n">
        <f aca="false">AL80+AN80+AO80+AR80+AU80+AZ80+BB80+BC80+BD80+BF80+BJ80+BK80+BL80</f>
        <v>18837.5133054033</v>
      </c>
      <c r="BN80" s="88" t="n">
        <f aca="false">AP80+AU80+BJ80+BK80+BL80</f>
        <v>6129.8781251658</v>
      </c>
      <c r="BO80" s="88" t="n">
        <f aca="false">AQ80+BF80</f>
        <v>1327.6390625829</v>
      </c>
      <c r="BP80" s="88" t="n">
        <f aca="false">AI80*(1+IF(K80=3,INDEX(in_sup_vat_rate,1,C80),0))+AO80*Y80/AB80+AV80*BA80+(BC80+BD80)*AV80/AY80+AZ80*AI80/AL80+BN80*AC80/AF80+BO80*Y80/AB80</f>
        <v>0</v>
      </c>
      <c r="BQ80" s="88" t="n">
        <f aca="false">AJ80*(1+IF(K80=3,INDEX(in_sup_vat_rate,1,C80),0))+AO80*Z80/AB80+AW80*BA80+(BC80+BD80)*AW80/AY80+AZ80*AJ80/AL80+BN80*AD80/AF80+BO80*Z80/AB80</f>
        <v>18837.5133054033</v>
      </c>
      <c r="BR80" s="88" t="n">
        <f aca="false">AK80*(1+IF(K80=3,INDEX(in_sup_vat_rate,1,C80),0))+AO80*AA80/AB80+AX80*BA80+(BC80+BD80)*AX80/AY80+AZ80*AK80/AL80+BN80*AE80/AF80+BO80*AA80/AB80</f>
        <v>0</v>
      </c>
      <c r="BS80" s="89" t="n">
        <f aca="false">BP80+BQ80+BR80-BM80</f>
        <v>0</v>
      </c>
      <c r="BT80" s="85" t="n">
        <f aca="false">Y80*(1-R80)</f>
        <v>0</v>
      </c>
      <c r="BU80" s="85" t="n">
        <f aca="false">Z80*(1-R80)</f>
        <v>65847.25</v>
      </c>
      <c r="BV80" s="85" t="n">
        <f aca="false">AA80*(1-R80)</f>
        <v>0</v>
      </c>
      <c r="BW80" s="85" t="n">
        <f aca="false">BT80+BU80+BV80</f>
        <v>65847.25</v>
      </c>
      <c r="BX80" s="90" t="n">
        <f aca="false">IF(BT80&gt;0,BP80/BT80,0)</f>
        <v>0</v>
      </c>
      <c r="BY80" s="90" t="n">
        <f aca="false">IF(BU80&gt;0,BQ80/BU80,0)</f>
        <v>0.286078967692703</v>
      </c>
      <c r="BZ80" s="90" t="n">
        <f aca="false">IF(BV80&gt;0,BR80/BV80,0)</f>
        <v>0</v>
      </c>
      <c r="CA80" s="90" t="n">
        <f aca="false">INDEX(in_mkt_listing_3464,1,C80)*(1-IF(sku_flute_3464="B",T80,0))*(1-S80)*N80</f>
        <v>0.234</v>
      </c>
      <c r="CB80" s="90" t="n">
        <f aca="false">INDEX(in_mkt_listing_3463,1,C80)*(1-IF(sku_flute_3463="B",T80,0))*(1-S80)*N80</f>
        <v>0.27</v>
      </c>
      <c r="CC80" s="90" t="n">
        <f aca="false">INDEX(in_mkt_listing_3460,1,C80)*(1-IF(sku_flute_3460="B",T80,0))*(1-S80)*N80</f>
        <v>0.225</v>
      </c>
      <c r="CD80" s="88" t="n">
        <f aca="false">BT80*CA80+BU80*CB80+BV80*CC80</f>
        <v>17778.7575</v>
      </c>
      <c r="CE80" s="88" t="n">
        <f aca="false">CD80-BM80</f>
        <v>-1058.75580540334</v>
      </c>
      <c r="CF80" s="87" t="n">
        <f aca="false">IF(CD80&gt;0,CE80/CD80,0)</f>
        <v>-0.0595517321951962</v>
      </c>
      <c r="CG80" s="87" t="n">
        <f aca="false">W80+INDEX(in_sel_processing,1,C80)+INDEX(in_sel_bad_debt,1,C80)</f>
        <v>0.058</v>
      </c>
      <c r="CH80" s="88" t="n">
        <f aca="false">CD80*CG80</f>
        <v>1031.167935</v>
      </c>
      <c r="CI80" s="88" t="n">
        <f aca="false">INDEX(in_sel_testing,1,C80)*X80+INDEX(in_sel_admin,1,C80)</f>
        <v>3000</v>
      </c>
      <c r="CJ80" s="79" t="n">
        <f aca="false">INDEX(in_sup_lead_days,1,C80)</f>
        <v>21</v>
      </c>
      <c r="CK80" s="79" t="n">
        <f aca="false">CJ80+INDEX(in_oce_transit,1,C80)+IF(F80=4,INDEX(in_oce_lcl_extra_days,1,C80),0)</f>
        <v>51</v>
      </c>
      <c r="CL80" s="79" t="n">
        <f aca="false">CK80+2+INDEX(in_cus_dem_days,1,C80)</f>
        <v>53</v>
      </c>
      <c r="CM80" s="79" t="n">
        <f aca="false">CL80+U80</f>
        <v>98</v>
      </c>
      <c r="CN80" s="79" t="n">
        <f aca="false">CJ80+INDEX(in_sup_vat_lag,1,C80)</f>
        <v>81</v>
      </c>
      <c r="CO80" s="91" t="n">
        <f aca="false">INDEX(in_sup_advance,1,C80)</f>
        <v>0.5</v>
      </c>
      <c r="CP80" s="88" t="n">
        <f aca="false">CO80*(AL80+AM80)+AO80+INDEX(in_sel_testing,1,C80)*X80</f>
        <v>8203.9638236431</v>
      </c>
      <c r="CQ80" s="88" t="n">
        <f aca="false">(1-CO80)*(AL80+AM80)+AR80+AU80+AZ80</f>
        <v>11186.8810113918</v>
      </c>
      <c r="CR80" s="88" t="n">
        <f aca="false">BB80+BC80+BD80+BF80+BJ80</f>
        <v>1837.64204108779</v>
      </c>
      <c r="CS80" s="88" t="n">
        <f aca="false">BK80+BL80</f>
        <v>1510</v>
      </c>
      <c r="CT80" s="88" t="n">
        <f aca="false">IF(K80=2,AM80,0)</f>
        <v>1400.97357071936</v>
      </c>
      <c r="CU80" s="85" t="n">
        <f aca="false">IF(K80=2,CO80*AM80*(CN80-0)+(1-CO80)*AM80*(CN80-CJ80),0)</f>
        <v>98768.6367357148</v>
      </c>
      <c r="CV80" s="85" t="n">
        <f aca="false">(CP80-CO80*CT80)*(CM80-0)+(CQ80-(1-CO80)*CT80)*(CM80-CJ80)+CR80*(CM80-CK80)+CS80*(CM80-CL80)</f>
        <v>1697112.28108738</v>
      </c>
      <c r="CW80" s="88" t="n">
        <f aca="false">INDEX(in_sel_fin_rate,1,C80)/365*(CU80+CV80)</f>
        <v>492.0221692666</v>
      </c>
      <c r="CX80" s="85" t="n">
        <f aca="false">CP80-IF(CN80&lt;=0,CT80,0)</f>
        <v>8203.9638236431</v>
      </c>
      <c r="CY80" s="85" t="n">
        <f aca="false">CP80+CQ80-IF(CN80&lt;=CJ80,CT80,0)</f>
        <v>19390.8448350349</v>
      </c>
      <c r="CZ80" s="85" t="n">
        <f aca="false">CP80+CQ80+CR80-IF(CN80&lt;=CK80,CT80,0)</f>
        <v>21228.4868761227</v>
      </c>
      <c r="DA80" s="85" t="n">
        <f aca="false">CP80+CQ80+CR80+CS80-IF(CN80&lt;=CL80,CT80,0)</f>
        <v>22738.4868761227</v>
      </c>
      <c r="DB80" s="88" t="n">
        <f aca="false">MAX(CX80,CY80,CZ80,DA80)</f>
        <v>22738.4868761227</v>
      </c>
      <c r="DC80" s="88" t="n">
        <f aca="false">CP80+CQ80+CR80+CS80</f>
        <v>22738.4868761227</v>
      </c>
      <c r="DD80" s="88" t="n">
        <f aca="false">CE80-CH80-CI80-CW80</f>
        <v>-5581.94590966994</v>
      </c>
      <c r="DE80" s="87" t="n">
        <f aca="false">IF(CD80&gt;0,DD80/CD80,0)</f>
        <v>-0.313967154885258</v>
      </c>
      <c r="DF80" s="86" t="n">
        <f aca="false">IF(CD80&gt;0,(BM80+CI80+CW80)/(CD80*(1-CG80)),0)</f>
        <v>1.33329846590792</v>
      </c>
      <c r="DG80" s="90" t="n">
        <f aca="false">IF(BW80&gt;0,BM80/BW80,0)</f>
        <v>0.286078967692703</v>
      </c>
      <c r="DH80" s="90" t="n">
        <f aca="false">IF(BW80&gt;0,CD80/BW80,0)</f>
        <v>0.27</v>
      </c>
      <c r="DI80" s="90" t="n">
        <f aca="false">IF(AI80&gt;0,(AI80*IF(K80=3,INDEX(in_sup_vat_rate,1,C80),0)+AV80*BA80+(BC80+BD80)*AV80/AY80+AZ80*AI80/AL80)/AI80,0)</f>
        <v>0</v>
      </c>
      <c r="DJ80" s="90" t="n">
        <f aca="false">IF(AJ80&gt;0,(AJ80*IF(K80=3,INDEX(in_sup_vat_rate,1,C80),0)+AW80*BA80+(BC80+BD80)*AW80/AY80+AZ80*AJ80/AL80)/AJ80,0)</f>
        <v>0.137208788066993</v>
      </c>
      <c r="DK80" s="90" t="n">
        <f aca="false">IF(AK80&gt;0,(AK80*IF(K80=3,INDEX(in_sup_vat_rate,1,C80),0)+AX80*BA80+(BC80+BD80)*AX80/AY80+AZ80*AK80/AL80)/AK80,0)</f>
        <v>0</v>
      </c>
      <c r="DL80" s="90" t="n">
        <f aca="false">IF(Y80&gt;0,(BP80-AI80*(1+DI80))/Y80,0)</f>
        <v>0</v>
      </c>
      <c r="DM80" s="90" t="n">
        <f aca="false">IF(Z80&gt;0,(BQ80-AJ80*(1+DJ80))/Z80,0)</f>
        <v>0.111555978874326</v>
      </c>
      <c r="DN80" s="90" t="n">
        <f aca="false">IF(AA80&gt;0,(BR80-AK80*(1+DK80))/AA80,0)</f>
        <v>0</v>
      </c>
      <c r="DO80" s="86" t="str">
        <f aca="false">IF(Y80&gt;0,(CA80*(1-thr_gm_go)*(1-R80)-DL80)/(1+DI80)*I80/((1+AH80)*J80),"")</f>
        <v/>
      </c>
      <c r="DP80" s="86" t="n">
        <f aca="false">IF(Z80&gt;0,(CB80*(1-thr_gm_go)*(1-R80)-DM80)/(1+DJ80)*I80/((1+AH80)*J80),"")</f>
        <v>4.07950511795545</v>
      </c>
      <c r="DQ80" s="86" t="str">
        <f aca="false">IF(AA80&gt;0,(CC80*(1-thr_gm_go)*(1-R80)-DN80)/(1+DK80)*I80/((1+AH80)*J80),"")</f>
        <v/>
      </c>
      <c r="DR80" s="92" t="n">
        <f aca="false">IF(AND(AY80*INDEX(in_cus_mpf_rate,1,C80)&gt;INDEX(in_cus_mpf_min,1,C80),AY80*INDEX(in_cus_mpf_rate,1,C80)&lt;INDEX(in_cus_mpf_max,1,C80)),INDEX(in_cus_mpf_rate,1,C80),0)</f>
        <v>0.003464</v>
      </c>
      <c r="DS80" s="88" t="n">
        <f aca="false">IF(AZ80&gt;INDEX(in_oce_ins_min,1,C80),INDEX(in_oce_ins_rate,1,C80)*(1+INDEX(in_oce_ins_uplift,1,C80))*AL80,0)</f>
        <v>0</v>
      </c>
      <c r="DT80" s="88" t="n">
        <f aca="false">(AL80+AN80)*(1+BA80+INDEX(in_cus_hmf,1,C80)+DR80)+DS80</f>
        <v>11304.9961176546</v>
      </c>
      <c r="DU80" s="86" t="n">
        <f aca="false">IF(DT80&gt;0,(CD80*(1-thr_gm_go)-(BM80-DT80))/DT80,0)</f>
        <v>0.513184690810394</v>
      </c>
      <c r="DV80" s="86" t="n">
        <f aca="false">IF(DT80&gt;0,(CD80-(BM80-DT80))/DT80,0)</f>
        <v>0.906346203538282</v>
      </c>
      <c r="DW80" s="87" t="n">
        <f aca="false">(1+AH80)*J80*DU80-1</f>
        <v>-0.486815309189606</v>
      </c>
      <c r="DX80" s="87" t="n">
        <f aca="false">(1+AH80)*J80*DV80-1</f>
        <v>-0.0936537964617177</v>
      </c>
      <c r="DY80" s="85" t="n">
        <f aca="false">IF(G80&gt;0,(CD80*(1-thr_gm_go)-(BM80-AT80))/G80,"")</f>
        <v>-1503.44518040334</v>
      </c>
      <c r="DZ80" s="90" t="n">
        <f aca="false">IF(AB80&gt;0,(AL80+AN80+BB80+BC80+BD80)/AB80,0)</f>
        <v>0.169109889568506</v>
      </c>
      <c r="EA80" s="88" t="n">
        <f aca="false">BM80-DZ80*AB80</f>
        <v>7532.5171877487</v>
      </c>
      <c r="EB80" s="90" t="n">
        <f aca="false">IF(AB80&gt;0,CD80/AB80,0)</f>
        <v>0.26595</v>
      </c>
      <c r="EC80" s="85" t="n">
        <f aca="false">IF(EB80*(1-thr_gm_go)-DZ80&gt;0,EA80/(EB80*(1-thr_gm_go)-DZ80),"n/a")</f>
        <v>248167.030138962</v>
      </c>
      <c r="ED80" s="85" t="n">
        <f aca="false">IF(EB80-DZ80&gt;0,EA80/(EB80-DZ80),"n/a")</f>
        <v>77783.0297196668</v>
      </c>
      <c r="EE80" s="93" t="b">
        <f aca="false">INDEX(cfg_fits,D80,C80)</f>
        <v>1</v>
      </c>
      <c r="EF80" s="87" t="n">
        <f aca="false">IF(F80=4,"",INDEX(cfg_lenutil,D80,C80))</f>
        <v>0.958927074601844</v>
      </c>
      <c r="EG80" s="31" t="str">
        <f aca="false">IF(O80&gt;1,"Check fit (units scaled up)","")</f>
        <v/>
      </c>
    </row>
    <row r="81" customFormat="false" ht="15" hidden="false" customHeight="false" outlineLevel="0" collapsed="false">
      <c r="A81" s="78" t="n">
        <v>2062</v>
      </c>
      <c r="B81" s="9" t="s">
        <v>3229</v>
      </c>
      <c r="C81" s="78" t="n">
        <v>2</v>
      </c>
      <c r="D81" s="78" t="n">
        <v>6</v>
      </c>
      <c r="E81" s="78" t="n">
        <v>2</v>
      </c>
      <c r="F81" s="79" t="n">
        <f aca="false">INDEX(cfg_ct,D81)</f>
        <v>3</v>
      </c>
      <c r="G81" s="79" t="n">
        <f aca="false">INDEX(cfg_n,D81)</f>
        <v>1</v>
      </c>
      <c r="H81" s="79" t="n">
        <f aca="false">INDEX(dest_port,E81)</f>
        <v>1</v>
      </c>
      <c r="I81" s="80" t="n">
        <f aca="false">INDEX(in_fx_cbe,1,C81)*(1-INDEX(in_fx_spread,1,C81))</f>
        <v>52.7748</v>
      </c>
      <c r="J81" s="81" t="n">
        <f aca="false">1</f>
        <v>1</v>
      </c>
      <c r="K81" s="82" t="n">
        <f aca="false">INDEX(in_sup_vat_mode,1,C81)</f>
        <v>2</v>
      </c>
      <c r="L81" s="83" t="n">
        <f aca="false">INDEX(in_cus_s301,1,C81)</f>
        <v>0.125</v>
      </c>
      <c r="M81" s="84" t="n">
        <f aca="false">1</f>
        <v>1</v>
      </c>
      <c r="N81" s="81" t="n">
        <f aca="false">1</f>
        <v>1</v>
      </c>
      <c r="O81" s="81" t="n">
        <f aca="false">1</f>
        <v>1</v>
      </c>
      <c r="P81" s="81" t="n">
        <f aca="false">1</f>
        <v>1</v>
      </c>
      <c r="Q81" s="81" t="n">
        <f aca="false">1</f>
        <v>1</v>
      </c>
      <c r="R81" s="83" t="n">
        <f aca="false">INDEX(in_sel_damage,1,C81)</f>
        <v>0.015</v>
      </c>
      <c r="S81" s="83" t="n">
        <f aca="false">INDEX(in_mkt_dist_margin,1,C81)</f>
        <v>0.25</v>
      </c>
      <c r="T81" s="83" t="n">
        <f aca="false">INDEX(in_mkt_eflute_disc,1,C81)</f>
        <v>0.2</v>
      </c>
      <c r="U81" s="82" t="n">
        <f aca="false">INDEX(in_sel_credit_days,1,C81)</f>
        <v>45</v>
      </c>
      <c r="V81" s="81" t="n">
        <f aca="false">1</f>
        <v>1</v>
      </c>
      <c r="W81" s="83" t="n">
        <f aca="false">INDEX(in_sel_commission,1,C81)</f>
        <v>0.05</v>
      </c>
      <c r="X81" s="82" t="n">
        <f aca="false">1</f>
        <v>1</v>
      </c>
      <c r="Y81" s="85" t="n">
        <f aca="false">INDEX(cfg_u_3464,D81,C81)*O81</f>
        <v>0</v>
      </c>
      <c r="Z81" s="85" t="n">
        <f aca="false">INDEX(cfg_u_3463,D81,C81)*O81</f>
        <v>66850</v>
      </c>
      <c r="AA81" s="85" t="n">
        <f aca="false">INDEX(cfg_u_3460,D81,C81)*O81</f>
        <v>0</v>
      </c>
      <c r="AB81" s="85" t="n">
        <f aca="false">Y81+Z81+AA81</f>
        <v>66850</v>
      </c>
      <c r="AC81" s="86" t="n">
        <f aca="false">Y81*INDEX(lg_vpu_3464,C81)</f>
        <v>0</v>
      </c>
      <c r="AD81" s="86" t="n">
        <f aca="false">Z81*INDEX(lg_vpu_3463,C81)</f>
        <v>58.1776832</v>
      </c>
      <c r="AE81" s="86" t="n">
        <f aca="false">AA81*INDEX(lg_vpu_3460,C81)</f>
        <v>0</v>
      </c>
      <c r="AF81" s="86" t="n">
        <f aca="false">AC81+AD81+AE81</f>
        <v>58.1776832</v>
      </c>
      <c r="AG81" s="85" t="n">
        <f aca="false">Y81*INDEX(lg_kpu_3464,C81)+Z81*INDEX(lg_kpu_3463,C81)+AA81*INDEX(lg_kpu_3460,C81)</f>
        <v>13982.3882492</v>
      </c>
      <c r="AH81" s="87" t="n">
        <f aca="false">INDEX(in_sup_requote,1,C81)</f>
        <v>0</v>
      </c>
      <c r="AI81" s="88" t="n">
        <f aca="false">Y81*q_price_3464*(1+AH81)*J81/I81</f>
        <v>0</v>
      </c>
      <c r="AJ81" s="88" t="n">
        <f aca="false">Z81*q_price_3463*(1+AH81)*J81/I81</f>
        <v>10006.9540765668</v>
      </c>
      <c r="AK81" s="88" t="n">
        <f aca="false">AA81*q_price_3460*(1+AH81)*J81/I81</f>
        <v>0</v>
      </c>
      <c r="AL81" s="88" t="n">
        <f aca="false">AI81+AJ81+AK81</f>
        <v>10006.9540765668</v>
      </c>
      <c r="AM81" s="88" t="n">
        <f aca="false">IF(OR(K81=2,K81=3),AL81*INDEX(in_sup_vat_rate,1,C81),0)</f>
        <v>1400.97357071936</v>
      </c>
      <c r="AN81" s="88" t="n">
        <f aca="false">IF(K81=3,AM81,0)</f>
        <v>0</v>
      </c>
      <c r="AO81" s="88" t="n">
        <f aca="false">INDEX(in_sup_tooling_egp,1,C81)/I81</f>
        <v>0</v>
      </c>
      <c r="AP81" s="88" t="n">
        <f aca="false">IF(F81=4,INDEX(in_ori_lcl_truck,1,C81)*V81/I81+INDEX(in_ori_lcl_cfs_o,1,C81),G81*(IF(F81=1,INDEX(in_ori_truck_20,1,C81),INDEX(in_ori_truck_40,1,C81))*V81/I81+INDEX(in_ori_terminal,1,C81)+IF(F81=1,INDEX(in_ori_othc_20,1,C81),INDEX(in_ori_othc_40,1,C81))*(1-INDEX(in_ori_othc_in_freight,1,C81))+INDEX(in_ori_seal,1,C81)+INDEX(in_ori_inspection,1,C81)+INDEX(in_ori_dd_days,1,C81)*IF(F81=1,INDEX(in_ori_dd_20,1,C81),INDEX(in_ori_dd_40,1,C81))+INDEX(in_ori_loading_egp,1,C81)/I81))</f>
        <v>555.278125165799</v>
      </c>
      <c r="AQ81" s="88" t="n">
        <f aca="false">(INDEX(in_ori_clearance,1,C81)+INDEX(in_ori_coo,1,C81))/I81+INDEX(in_ori_bl_fee,1,C81)+INDEX(in_ori_fwd_fee,1,C81)+INDEX(in_ori_qc,1,C81)+INDEX(in_ori_wires,1,C81)*INDEX(in_ori_wire_fee,1,C81)</f>
        <v>817.639062582899</v>
      </c>
      <c r="AR81" s="88" t="n">
        <f aca="false">AP81+AQ81</f>
        <v>1372.9171877487</v>
      </c>
      <c r="AS81" s="85" t="n">
        <f aca="false">INDEX(tbl_port_diff,H81,C81)</f>
        <v>0</v>
      </c>
      <c r="AT81" s="88" t="n">
        <f aca="false">IF(F81=4,MAX(AF81*INDEX(in_oce_lcl_factor,1,C81),AG81/1000,1)*INDEX(in_oce_lcl_rate,1,C81)*M81,G81*(INDEX(tbl_ocean_rate,MIN(F81,3),C81)+AS81)*M81)</f>
        <v>4000</v>
      </c>
      <c r="AU81" s="88" t="n">
        <f aca="false">AT81+INDEX(in_oce_ams,1,C81)</f>
        <v>4035</v>
      </c>
      <c r="AV81" s="88" t="n">
        <f aca="false">AI81*(1+IF(K81=3,INDEX(in_sup_vat_rate,1,C81),0))+AO81*Y81/AB81</f>
        <v>0</v>
      </c>
      <c r="AW81" s="88" t="n">
        <f aca="false">AJ81*(1+IF(K81=3,INDEX(in_sup_vat_rate,1,C81),0))+AO81*Z81/AB81</f>
        <v>10006.9540765668</v>
      </c>
      <c r="AX81" s="88" t="n">
        <f aca="false">AK81*(1+IF(K81=3,INDEX(in_sup_vat_rate,1,C81),0))+AO81*AA81/AB81</f>
        <v>0</v>
      </c>
      <c r="AY81" s="88" t="n">
        <f aca="false">AV81+AW81+AX81</f>
        <v>10006.9540765668</v>
      </c>
      <c r="AZ81" s="88" t="n">
        <f aca="false">MAX(INDEX(in_oce_ins_min,1,C81),INDEX(in_oce_ins_rate,1,C81)*(1+INDEX(in_oce_ins_uplift,1,C81))*(AL81+AO81+AR81+AU81))*(1-INDEX(in_oce_ins_in_other,1,C81))</f>
        <v>75</v>
      </c>
      <c r="BA81" s="87" t="n">
        <f aca="false">INDEX(in_cus_mfn,1,C81)+L81</f>
        <v>0.125</v>
      </c>
      <c r="BB81" s="88" t="n">
        <f aca="false">AY81*BA81</f>
        <v>1250.86925957086</v>
      </c>
      <c r="BC81" s="88" t="n">
        <f aca="false">MIN(MAX(AY81*INDEX(in_cus_mpf_rate,1,C81),INDEX(in_cus_mpf_min,1,C81)),INDEX(in_cus_mpf_max,1,C81))</f>
        <v>34.6640889212276</v>
      </c>
      <c r="BD81" s="88" t="n">
        <f aca="false">AY81*INDEX(in_cus_hmf,1,C81)</f>
        <v>12.5086925957086</v>
      </c>
      <c r="BE81" s="88" t="n">
        <f aca="false">MAX(INDEX(in_cus_stb_min,1,C81),INDEX(in_cus_stb_rate,1,C81)/1000*(AY81+BB81+BC81+BD81))</f>
        <v>75</v>
      </c>
      <c r="BF81" s="88" t="n">
        <f aca="false">INDEX(in_cus_broker,1,C81)+INDEX(in_cus_isf,1,C81)+INDEX(in_cus_do_fee,1,C81)+BE81+INDEX(in_cus_isf_bond,1,C81)</f>
        <v>510</v>
      </c>
      <c r="BG81" s="88" t="n">
        <f aca="false">IF(H81=1,INDEX(in_cus_cfc,1,C81)*INDEX(ct_teu,F81)*G81*(1-INDEX(in_cus_cfc_in_freight,1,C81)),0)</f>
        <v>29.6</v>
      </c>
      <c r="BH81" s="88" t="n">
        <f aca="false">IF(F81=4,1,G81)*(INDEX(in_cus_exam,1,C81)+INDEX(in_cus_exam_dray,1,C81))</f>
        <v>0</v>
      </c>
      <c r="BI81" s="88" t="n">
        <f aca="false">IF(F81=4,1,G81)*INDEX(in_cus_dem_days,1,C81)*INDEX(in_cus_dem_rate,1,C81)</f>
        <v>0</v>
      </c>
      <c r="BJ81" s="88" t="n">
        <f aca="false">BG81+BH81+BI81</f>
        <v>29.6</v>
      </c>
      <c r="BK81" s="88" t="n">
        <f aca="false">IF(F81=4,(INDEX(in_dra_lcl_cfs_d,1,C81)+INDEX(in_dra_lcl_deliv,1,C81))*P81,G81*(INDEX(tbl_dest_line,E81,C81)*P81*(1+INDEX(in_dra_fsc,1,C81))+INDEX(tbl_dest_tolls,E81,C81)+INDEX(in_dra_chassis_days,1,C81)*INDEX(tbl_dest_chassis,E81,C81)*(1-INDEX(in_dra_chassis_in_dray,1,C81))+INDEX(in_dra_wait_hours,1,C81)*INDEX(in_dra_wait_rate,1,C81)+INDEX(in_dra_split,1,C81)+INDEX(in_dra_prepull,1,C81)+INDEX(in_dra_dryrun,1,C81)))</f>
        <v>1350</v>
      </c>
      <c r="BL81" s="88" t="n">
        <f aca="false">IF(F81=4,0,G81*IF(F81=1,INDEX(in_dra_unload_20,1,C81),INDEX(in_dra_unload_40,1,C81))*Q81*(1-INDEX(in_dra_unload_in_dray,1,C81)))</f>
        <v>450</v>
      </c>
      <c r="BM81" s="88" t="n">
        <f aca="false">AL81+AN81+AO81+AR81+AU81+AZ81+BB81+BC81+BD81+BF81+BJ81+BK81+BL81</f>
        <v>19127.5133054033</v>
      </c>
      <c r="BN81" s="88" t="n">
        <f aca="false">AP81+AU81+BJ81+BK81+BL81</f>
        <v>6419.8781251658</v>
      </c>
      <c r="BO81" s="88" t="n">
        <f aca="false">AQ81+BF81</f>
        <v>1327.6390625829</v>
      </c>
      <c r="BP81" s="88" t="n">
        <f aca="false">AI81*(1+IF(K81=3,INDEX(in_sup_vat_rate,1,C81),0))+AO81*Y81/AB81+AV81*BA81+(BC81+BD81)*AV81/AY81+AZ81*AI81/AL81+BN81*AC81/AF81+BO81*Y81/AB81</f>
        <v>0</v>
      </c>
      <c r="BQ81" s="88" t="n">
        <f aca="false">AJ81*(1+IF(K81=3,INDEX(in_sup_vat_rate,1,C81),0))+AO81*Z81/AB81+AW81*BA81+(BC81+BD81)*AW81/AY81+AZ81*AJ81/AL81+BN81*AD81/AF81+BO81*Z81/AB81</f>
        <v>19127.5133054033</v>
      </c>
      <c r="BR81" s="88" t="n">
        <f aca="false">AK81*(1+IF(K81=3,INDEX(in_sup_vat_rate,1,C81),0))+AO81*AA81/AB81+AX81*BA81+(BC81+BD81)*AX81/AY81+AZ81*AK81/AL81+BN81*AE81/AF81+BO81*AA81/AB81</f>
        <v>0</v>
      </c>
      <c r="BS81" s="89" t="n">
        <f aca="false">BP81+BQ81+BR81-BM81</f>
        <v>0</v>
      </c>
      <c r="BT81" s="85" t="n">
        <f aca="false">Y81*(1-R81)</f>
        <v>0</v>
      </c>
      <c r="BU81" s="85" t="n">
        <f aca="false">Z81*(1-R81)</f>
        <v>65847.25</v>
      </c>
      <c r="BV81" s="85" t="n">
        <f aca="false">AA81*(1-R81)</f>
        <v>0</v>
      </c>
      <c r="BW81" s="85" t="n">
        <f aca="false">BT81+BU81+BV81</f>
        <v>65847.25</v>
      </c>
      <c r="BX81" s="90" t="n">
        <f aca="false">IF(BT81&gt;0,BP81/BT81,0)</f>
        <v>0</v>
      </c>
      <c r="BY81" s="90" t="n">
        <f aca="false">IF(BU81&gt;0,BQ81/BU81,0)</f>
        <v>0.290483099983725</v>
      </c>
      <c r="BZ81" s="90" t="n">
        <f aca="false">IF(BV81&gt;0,BR81/BV81,0)</f>
        <v>0</v>
      </c>
      <c r="CA81" s="90" t="n">
        <f aca="false">INDEX(in_mkt_listing_3464,1,C81)*(1-IF(sku_flute_3464="B",T81,0))*(1-S81)*N81</f>
        <v>0.234</v>
      </c>
      <c r="CB81" s="90" t="n">
        <f aca="false">INDEX(in_mkt_listing_3463,1,C81)*(1-IF(sku_flute_3463="B",T81,0))*(1-S81)*N81</f>
        <v>0.27</v>
      </c>
      <c r="CC81" s="90" t="n">
        <f aca="false">INDEX(in_mkt_listing_3460,1,C81)*(1-IF(sku_flute_3460="B",T81,0))*(1-S81)*N81</f>
        <v>0.225</v>
      </c>
      <c r="CD81" s="88" t="n">
        <f aca="false">BT81*CA81+BU81*CB81+BV81*CC81</f>
        <v>17778.7575</v>
      </c>
      <c r="CE81" s="88" t="n">
        <f aca="false">CD81-BM81</f>
        <v>-1348.75580540334</v>
      </c>
      <c r="CF81" s="87" t="n">
        <f aca="false">IF(CD81&gt;0,CE81/CD81,0)</f>
        <v>-0.0758633332730556</v>
      </c>
      <c r="CG81" s="87" t="n">
        <f aca="false">W81+INDEX(in_sel_processing,1,C81)+INDEX(in_sel_bad_debt,1,C81)</f>
        <v>0.058</v>
      </c>
      <c r="CH81" s="88" t="n">
        <f aca="false">CD81*CG81</f>
        <v>1031.167935</v>
      </c>
      <c r="CI81" s="88" t="n">
        <f aca="false">INDEX(in_sel_testing,1,C81)*X81+INDEX(in_sel_admin,1,C81)</f>
        <v>3000</v>
      </c>
      <c r="CJ81" s="79" t="n">
        <f aca="false">INDEX(in_sup_lead_days,1,C81)</f>
        <v>21</v>
      </c>
      <c r="CK81" s="79" t="n">
        <f aca="false">CJ81+INDEX(in_oce_transit,1,C81)+IF(F81=4,INDEX(in_oce_lcl_extra_days,1,C81),0)</f>
        <v>51</v>
      </c>
      <c r="CL81" s="79" t="n">
        <f aca="false">CK81+2+INDEX(in_cus_dem_days,1,C81)</f>
        <v>53</v>
      </c>
      <c r="CM81" s="79" t="n">
        <f aca="false">CL81+U81</f>
        <v>98</v>
      </c>
      <c r="CN81" s="79" t="n">
        <f aca="false">CJ81+INDEX(in_sup_vat_lag,1,C81)</f>
        <v>81</v>
      </c>
      <c r="CO81" s="91" t="n">
        <f aca="false">INDEX(in_sup_advance,1,C81)</f>
        <v>0.5</v>
      </c>
      <c r="CP81" s="88" t="n">
        <f aca="false">CO81*(AL81+AM81)+AO81+INDEX(in_sel_testing,1,C81)*X81</f>
        <v>8203.9638236431</v>
      </c>
      <c r="CQ81" s="88" t="n">
        <f aca="false">(1-CO81)*(AL81+AM81)+AR81+AU81+AZ81</f>
        <v>11186.8810113918</v>
      </c>
      <c r="CR81" s="88" t="n">
        <f aca="false">BB81+BC81+BD81+BF81+BJ81</f>
        <v>1837.64204108779</v>
      </c>
      <c r="CS81" s="88" t="n">
        <f aca="false">BK81+BL81</f>
        <v>1800</v>
      </c>
      <c r="CT81" s="88" t="n">
        <f aca="false">IF(K81=2,AM81,0)</f>
        <v>1400.97357071936</v>
      </c>
      <c r="CU81" s="85" t="n">
        <f aca="false">IF(K81=2,CO81*AM81*(CN81-0)+(1-CO81)*AM81*(CN81-CJ81),0)</f>
        <v>98768.6367357148</v>
      </c>
      <c r="CV81" s="85" t="n">
        <f aca="false">(CP81-CO81*CT81)*(CM81-0)+(CQ81-(1-CO81)*CT81)*(CM81-CJ81)+CR81*(CM81-CK81)+CS81*(CM81-CL81)</f>
        <v>1710162.28108738</v>
      </c>
      <c r="CW81" s="88" t="n">
        <f aca="false">INDEX(in_sel_fin_rate,1,C81)/365*(CU81+CV81)</f>
        <v>495.597511732353</v>
      </c>
      <c r="CX81" s="85" t="n">
        <f aca="false">CP81-IF(CN81&lt;=0,CT81,0)</f>
        <v>8203.9638236431</v>
      </c>
      <c r="CY81" s="85" t="n">
        <f aca="false">CP81+CQ81-IF(CN81&lt;=CJ81,CT81,0)</f>
        <v>19390.8448350349</v>
      </c>
      <c r="CZ81" s="85" t="n">
        <f aca="false">CP81+CQ81+CR81-IF(CN81&lt;=CK81,CT81,0)</f>
        <v>21228.4868761227</v>
      </c>
      <c r="DA81" s="85" t="n">
        <f aca="false">CP81+CQ81+CR81+CS81-IF(CN81&lt;=CL81,CT81,0)</f>
        <v>23028.4868761227</v>
      </c>
      <c r="DB81" s="88" t="n">
        <f aca="false">MAX(CX81,CY81,CZ81,DA81)</f>
        <v>23028.4868761227</v>
      </c>
      <c r="DC81" s="88" t="n">
        <f aca="false">CP81+CQ81+CR81+CS81</f>
        <v>23028.4868761227</v>
      </c>
      <c r="DD81" s="88" t="n">
        <f aca="false">CE81-CH81-CI81-CW81</f>
        <v>-5875.52125213569</v>
      </c>
      <c r="DE81" s="87" t="n">
        <f aca="false">IF(CD81&gt;0,DD81/CD81,0)</f>
        <v>-0.330479857894214</v>
      </c>
      <c r="DF81" s="86" t="n">
        <f aca="false">IF(CD81&gt;0,(BM81+CI81+CW81)/(CD81*(1-CG81)),0)</f>
        <v>1.35082787462231</v>
      </c>
      <c r="DG81" s="90" t="n">
        <f aca="false">IF(BW81&gt;0,BM81/BW81,0)</f>
        <v>0.290483099983725</v>
      </c>
      <c r="DH81" s="90" t="n">
        <f aca="false">IF(BW81&gt;0,CD81/BW81,0)</f>
        <v>0.27</v>
      </c>
      <c r="DI81" s="90" t="n">
        <f aca="false">IF(AI81&gt;0,(AI81*IF(K81=3,INDEX(in_sup_vat_rate,1,C81),0)+AV81*BA81+(BC81+BD81)*AV81/AY81+AZ81*AI81/AL81)/AI81,0)</f>
        <v>0</v>
      </c>
      <c r="DJ81" s="90" t="n">
        <f aca="false">IF(AJ81&gt;0,(AJ81*IF(K81=3,INDEX(in_sup_vat_rate,1,C81),0)+AW81*BA81+(BC81+BD81)*AW81/AY81+AZ81*AJ81/AL81)/AJ81,0)</f>
        <v>0.137208788066993</v>
      </c>
      <c r="DK81" s="90" t="n">
        <f aca="false">IF(AK81&gt;0,(AK81*IF(K81=3,INDEX(in_sup_vat_rate,1,C81),0)+AX81*BA81+(BC81+BD81)*AX81/AY81+AZ81*AK81/AL81)/AK81,0)</f>
        <v>0</v>
      </c>
      <c r="DL81" s="90" t="n">
        <f aca="false">IF(Y81&gt;0,(BP81-AI81*(1+DI81))/Y81,0)</f>
        <v>0</v>
      </c>
      <c r="DM81" s="90" t="n">
        <f aca="false">IF(Z81&gt;0,(BQ81-AJ81*(1+DJ81))/Z81,0)</f>
        <v>0.115894049180983</v>
      </c>
      <c r="DN81" s="90" t="n">
        <f aca="false">IF(AA81&gt;0,(BR81-AK81*(1+DK81))/AA81,0)</f>
        <v>0</v>
      </c>
      <c r="DO81" s="86" t="str">
        <f aca="false">IF(Y81&gt;0,(CA81*(1-thr_gm_go)*(1-R81)-DL81)/(1+DI81)*I81/((1+AH81)*J81),"")</f>
        <v/>
      </c>
      <c r="DP81" s="86" t="n">
        <f aca="false">IF(Z81&gt;0,(CB81*(1-thr_gm_go)*(1-R81)-DM81)/(1+DJ81)*I81/((1+AH81)*J81),"")</f>
        <v>3.87818694734151</v>
      </c>
      <c r="DQ81" s="86" t="str">
        <f aca="false">IF(AA81&gt;0,(CC81*(1-thr_gm_go)*(1-R81)-DN81)/(1+DK81)*I81/((1+AH81)*J81),"")</f>
        <v/>
      </c>
      <c r="DR81" s="92" t="n">
        <f aca="false">IF(AND(AY81*INDEX(in_cus_mpf_rate,1,C81)&gt;INDEX(in_cus_mpf_min,1,C81),AY81*INDEX(in_cus_mpf_rate,1,C81)&lt;INDEX(in_cus_mpf_max,1,C81)),INDEX(in_cus_mpf_rate,1,C81),0)</f>
        <v>0.003464</v>
      </c>
      <c r="DS81" s="88" t="n">
        <f aca="false">IF(AZ81&gt;INDEX(in_oce_ins_min,1,C81),INDEX(in_oce_ins_rate,1,C81)*(1+INDEX(in_oce_ins_uplift,1,C81))*AL81,0)</f>
        <v>0</v>
      </c>
      <c r="DT81" s="88" t="n">
        <f aca="false">(AL81+AN81)*(1+BA81+INDEX(in_cus_hmf,1,C81)+DR81)+DS81</f>
        <v>11304.9961176546</v>
      </c>
      <c r="DU81" s="86" t="n">
        <f aca="false">IF(DT81&gt;0,(CD81*(1-thr_gm_go)-(BM81-DT81))/DT81,0)</f>
        <v>0.487532315791254</v>
      </c>
      <c r="DV81" s="86" t="n">
        <f aca="false">IF(DT81&gt;0,(CD81-(BM81-DT81))/DT81,0)</f>
        <v>0.880693828519142</v>
      </c>
      <c r="DW81" s="87" t="n">
        <f aca="false">(1+AH81)*J81*DU81-1</f>
        <v>-0.512467684208746</v>
      </c>
      <c r="DX81" s="87" t="n">
        <f aca="false">(1+AH81)*J81*DV81-1</f>
        <v>-0.119306171480858</v>
      </c>
      <c r="DY81" s="85" t="n">
        <f aca="false">IF(G81&gt;0,(CD81*(1-thr_gm_go)-(BM81-AT81))/G81,"")</f>
        <v>-1793.44518040334</v>
      </c>
      <c r="DZ81" s="90" t="n">
        <f aca="false">IF(AB81&gt;0,(AL81+AN81+BB81+BC81+BD81)/AB81,0)</f>
        <v>0.169109889568506</v>
      </c>
      <c r="EA81" s="88" t="n">
        <f aca="false">BM81-DZ81*AB81</f>
        <v>7822.5171877487</v>
      </c>
      <c r="EB81" s="90" t="n">
        <f aca="false">IF(AB81&gt;0,CD81/AB81,0)</f>
        <v>0.26595</v>
      </c>
      <c r="EC81" s="85" t="n">
        <f aca="false">IF(EB81*(1-thr_gm_go)-DZ81&gt;0,EA81/(EB81*(1-thr_gm_go)-DZ81),"n/a")</f>
        <v>257721.397815328</v>
      </c>
      <c r="ED81" s="85" t="n">
        <f aca="false">IF(EB81-DZ81&gt;0,EA81/(EB81-DZ81),"n/a")</f>
        <v>80777.6566227944</v>
      </c>
      <c r="EE81" s="93" t="b">
        <f aca="false">INDEX(cfg_fits,D81,C81)</f>
        <v>1</v>
      </c>
      <c r="EF81" s="87" t="n">
        <f aca="false">IF(F81=4,"",INDEX(cfg_lenutil,D81,C81))</f>
        <v>0.958927074601844</v>
      </c>
      <c r="EG81" s="31" t="str">
        <f aca="false">IF(O81&gt;1,"Check fit (units scaled up)","")</f>
        <v/>
      </c>
    </row>
    <row r="82" customFormat="false" ht="15" hidden="false" customHeight="false" outlineLevel="0" collapsed="false">
      <c r="A82" s="78" t="n">
        <v>2063</v>
      </c>
      <c r="B82" s="9" t="s">
        <v>3230</v>
      </c>
      <c r="C82" s="78" t="n">
        <v>2</v>
      </c>
      <c r="D82" s="78" t="n">
        <v>6</v>
      </c>
      <c r="E82" s="78" t="n">
        <v>3</v>
      </c>
      <c r="F82" s="79" t="n">
        <f aca="false">INDEX(cfg_ct,D82)</f>
        <v>3</v>
      </c>
      <c r="G82" s="79" t="n">
        <f aca="false">INDEX(cfg_n,D82)</f>
        <v>1</v>
      </c>
      <c r="H82" s="79" t="n">
        <f aca="false">INDEX(dest_port,E82)</f>
        <v>2</v>
      </c>
      <c r="I82" s="80" t="n">
        <f aca="false">INDEX(in_fx_cbe,1,C82)*(1-INDEX(in_fx_spread,1,C82))</f>
        <v>52.7748</v>
      </c>
      <c r="J82" s="81" t="n">
        <f aca="false">1</f>
        <v>1</v>
      </c>
      <c r="K82" s="82" t="n">
        <f aca="false">INDEX(in_sup_vat_mode,1,C82)</f>
        <v>2</v>
      </c>
      <c r="L82" s="83" t="n">
        <f aca="false">INDEX(in_cus_s301,1,C82)</f>
        <v>0.125</v>
      </c>
      <c r="M82" s="84" t="n">
        <f aca="false">1</f>
        <v>1</v>
      </c>
      <c r="N82" s="81" t="n">
        <f aca="false">1</f>
        <v>1</v>
      </c>
      <c r="O82" s="81" t="n">
        <f aca="false">1</f>
        <v>1</v>
      </c>
      <c r="P82" s="81" t="n">
        <f aca="false">1</f>
        <v>1</v>
      </c>
      <c r="Q82" s="81" t="n">
        <f aca="false">1</f>
        <v>1</v>
      </c>
      <c r="R82" s="83" t="n">
        <f aca="false">INDEX(in_sel_damage,1,C82)</f>
        <v>0.015</v>
      </c>
      <c r="S82" s="83" t="n">
        <f aca="false">INDEX(in_mkt_dist_margin,1,C82)</f>
        <v>0.25</v>
      </c>
      <c r="T82" s="83" t="n">
        <f aca="false">INDEX(in_mkt_eflute_disc,1,C82)</f>
        <v>0.2</v>
      </c>
      <c r="U82" s="82" t="n">
        <f aca="false">INDEX(in_sel_credit_days,1,C82)</f>
        <v>45</v>
      </c>
      <c r="V82" s="81" t="n">
        <f aca="false">1</f>
        <v>1</v>
      </c>
      <c r="W82" s="83" t="n">
        <f aca="false">INDEX(in_sel_commission,1,C82)</f>
        <v>0.05</v>
      </c>
      <c r="X82" s="82" t="n">
        <f aca="false">1</f>
        <v>1</v>
      </c>
      <c r="Y82" s="85" t="n">
        <f aca="false">INDEX(cfg_u_3464,D82,C82)*O82</f>
        <v>0</v>
      </c>
      <c r="Z82" s="85" t="n">
        <f aca="false">INDEX(cfg_u_3463,D82,C82)*O82</f>
        <v>66850</v>
      </c>
      <c r="AA82" s="85" t="n">
        <f aca="false">INDEX(cfg_u_3460,D82,C82)*O82</f>
        <v>0</v>
      </c>
      <c r="AB82" s="85" t="n">
        <f aca="false">Y82+Z82+AA82</f>
        <v>66850</v>
      </c>
      <c r="AC82" s="86" t="n">
        <f aca="false">Y82*INDEX(lg_vpu_3464,C82)</f>
        <v>0</v>
      </c>
      <c r="AD82" s="86" t="n">
        <f aca="false">Z82*INDEX(lg_vpu_3463,C82)</f>
        <v>58.1776832</v>
      </c>
      <c r="AE82" s="86" t="n">
        <f aca="false">AA82*INDEX(lg_vpu_3460,C82)</f>
        <v>0</v>
      </c>
      <c r="AF82" s="86" t="n">
        <f aca="false">AC82+AD82+AE82</f>
        <v>58.1776832</v>
      </c>
      <c r="AG82" s="85" t="n">
        <f aca="false">Y82*INDEX(lg_kpu_3464,C82)+Z82*INDEX(lg_kpu_3463,C82)+AA82*INDEX(lg_kpu_3460,C82)</f>
        <v>13982.3882492</v>
      </c>
      <c r="AH82" s="87" t="n">
        <f aca="false">INDEX(in_sup_requote,1,C82)</f>
        <v>0</v>
      </c>
      <c r="AI82" s="88" t="n">
        <f aca="false">Y82*q_price_3464*(1+AH82)*J82/I82</f>
        <v>0</v>
      </c>
      <c r="AJ82" s="88" t="n">
        <f aca="false">Z82*q_price_3463*(1+AH82)*J82/I82</f>
        <v>10006.9540765668</v>
      </c>
      <c r="AK82" s="88" t="n">
        <f aca="false">AA82*q_price_3460*(1+AH82)*J82/I82</f>
        <v>0</v>
      </c>
      <c r="AL82" s="88" t="n">
        <f aca="false">AI82+AJ82+AK82</f>
        <v>10006.9540765668</v>
      </c>
      <c r="AM82" s="88" t="n">
        <f aca="false">IF(OR(K82=2,K82=3),AL82*INDEX(in_sup_vat_rate,1,C82),0)</f>
        <v>1400.97357071936</v>
      </c>
      <c r="AN82" s="88" t="n">
        <f aca="false">IF(K82=3,AM82,0)</f>
        <v>0</v>
      </c>
      <c r="AO82" s="88" t="n">
        <f aca="false">INDEX(in_sup_tooling_egp,1,C82)/I82</f>
        <v>0</v>
      </c>
      <c r="AP82" s="88" t="n">
        <f aca="false">IF(F82=4,INDEX(in_ori_lcl_truck,1,C82)*V82/I82+INDEX(in_ori_lcl_cfs_o,1,C82),G82*(IF(F82=1,INDEX(in_ori_truck_20,1,C82),INDEX(in_ori_truck_40,1,C82))*V82/I82+INDEX(in_ori_terminal,1,C82)+IF(F82=1,INDEX(in_ori_othc_20,1,C82),INDEX(in_ori_othc_40,1,C82))*(1-INDEX(in_ori_othc_in_freight,1,C82))+INDEX(in_ori_seal,1,C82)+INDEX(in_ori_inspection,1,C82)+INDEX(in_ori_dd_days,1,C82)*IF(F82=1,INDEX(in_ori_dd_20,1,C82),INDEX(in_ori_dd_40,1,C82))+INDEX(in_ori_loading_egp,1,C82)/I82))</f>
        <v>555.278125165799</v>
      </c>
      <c r="AQ82" s="88" t="n">
        <f aca="false">(INDEX(in_ori_clearance,1,C82)+INDEX(in_ori_coo,1,C82))/I82+INDEX(in_ori_bl_fee,1,C82)+INDEX(in_ori_fwd_fee,1,C82)+INDEX(in_ori_qc,1,C82)+INDEX(in_ori_wires,1,C82)*INDEX(in_ori_wire_fee,1,C82)</f>
        <v>817.639062582899</v>
      </c>
      <c r="AR82" s="88" t="n">
        <f aca="false">AP82+AQ82</f>
        <v>1372.9171877487</v>
      </c>
      <c r="AS82" s="85" t="n">
        <f aca="false">INDEX(tbl_port_diff,H82,C82)</f>
        <v>150</v>
      </c>
      <c r="AT82" s="88" t="n">
        <f aca="false">IF(F82=4,MAX(AF82*INDEX(in_oce_lcl_factor,1,C82),AG82/1000,1)*INDEX(in_oce_lcl_rate,1,C82)*M82,G82*(INDEX(tbl_ocean_rate,MIN(F82,3),C82)+AS82)*M82)</f>
        <v>4150</v>
      </c>
      <c r="AU82" s="88" t="n">
        <f aca="false">AT82+INDEX(in_oce_ams,1,C82)</f>
        <v>4185</v>
      </c>
      <c r="AV82" s="88" t="n">
        <f aca="false">AI82*(1+IF(K82=3,INDEX(in_sup_vat_rate,1,C82),0))+AO82*Y82/AB82</f>
        <v>0</v>
      </c>
      <c r="AW82" s="88" t="n">
        <f aca="false">AJ82*(1+IF(K82=3,INDEX(in_sup_vat_rate,1,C82),0))+AO82*Z82/AB82</f>
        <v>10006.9540765668</v>
      </c>
      <c r="AX82" s="88" t="n">
        <f aca="false">AK82*(1+IF(K82=3,INDEX(in_sup_vat_rate,1,C82),0))+AO82*AA82/AB82</f>
        <v>0</v>
      </c>
      <c r="AY82" s="88" t="n">
        <f aca="false">AV82+AW82+AX82</f>
        <v>10006.9540765668</v>
      </c>
      <c r="AZ82" s="88" t="n">
        <f aca="false">MAX(INDEX(in_oce_ins_min,1,C82),INDEX(in_oce_ins_rate,1,C82)*(1+INDEX(in_oce_ins_uplift,1,C82))*(AL82+AO82+AR82+AU82))*(1-INDEX(in_oce_ins_in_other,1,C82))</f>
        <v>75</v>
      </c>
      <c r="BA82" s="87" t="n">
        <f aca="false">INDEX(in_cus_mfn,1,C82)+L82</f>
        <v>0.125</v>
      </c>
      <c r="BB82" s="88" t="n">
        <f aca="false">AY82*BA82</f>
        <v>1250.86925957086</v>
      </c>
      <c r="BC82" s="88" t="n">
        <f aca="false">MIN(MAX(AY82*INDEX(in_cus_mpf_rate,1,C82),INDEX(in_cus_mpf_min,1,C82)),INDEX(in_cus_mpf_max,1,C82))</f>
        <v>34.6640889212276</v>
      </c>
      <c r="BD82" s="88" t="n">
        <f aca="false">AY82*INDEX(in_cus_hmf,1,C82)</f>
        <v>12.5086925957086</v>
      </c>
      <c r="BE82" s="88" t="n">
        <f aca="false">MAX(INDEX(in_cus_stb_min,1,C82),INDEX(in_cus_stb_rate,1,C82)/1000*(AY82+BB82+BC82+BD82))</f>
        <v>75</v>
      </c>
      <c r="BF82" s="88" t="n">
        <f aca="false">INDEX(in_cus_broker,1,C82)+INDEX(in_cus_isf,1,C82)+INDEX(in_cus_do_fee,1,C82)+BE82+INDEX(in_cus_isf_bond,1,C82)</f>
        <v>510</v>
      </c>
      <c r="BG82" s="88" t="n">
        <f aca="false">IF(H82=1,INDEX(in_cus_cfc,1,C82)*INDEX(ct_teu,F82)*G82*(1-INDEX(in_cus_cfc_in_freight,1,C82)),0)</f>
        <v>0</v>
      </c>
      <c r="BH82" s="88" t="n">
        <f aca="false">IF(F82=4,1,G82)*(INDEX(in_cus_exam,1,C82)+INDEX(in_cus_exam_dray,1,C82))</f>
        <v>0</v>
      </c>
      <c r="BI82" s="88" t="n">
        <f aca="false">IF(F82=4,1,G82)*INDEX(in_cus_dem_days,1,C82)*INDEX(in_cus_dem_rate,1,C82)</f>
        <v>0</v>
      </c>
      <c r="BJ82" s="88" t="n">
        <f aca="false">BG82+BH82+BI82</f>
        <v>0</v>
      </c>
      <c r="BK82" s="88" t="n">
        <f aca="false">IF(F82=4,(INDEX(in_dra_lcl_cfs_d,1,C82)+INDEX(in_dra_lcl_deliv,1,C82))*P82,G82*(INDEX(tbl_dest_line,E82,C82)*P82*(1+INDEX(in_dra_fsc,1,C82))+INDEX(tbl_dest_tolls,E82,C82)+INDEX(in_dra_chassis_days,1,C82)*INDEX(tbl_dest_chassis,E82,C82)*(1-INDEX(in_dra_chassis_in_dray,1,C82))+INDEX(in_dra_wait_hours,1,C82)*INDEX(in_dra_wait_rate,1,C82)+INDEX(in_dra_split,1,C82)+INDEX(in_dra_prepull,1,C82)+INDEX(in_dra_dryrun,1,C82)))</f>
        <v>904</v>
      </c>
      <c r="BL82" s="88" t="n">
        <f aca="false">IF(F82=4,0,G82*IF(F82=1,INDEX(in_dra_unload_20,1,C82),INDEX(in_dra_unload_40,1,C82))*Q82*(1-INDEX(in_dra_unload_in_dray,1,C82)))</f>
        <v>450</v>
      </c>
      <c r="BM82" s="88" t="n">
        <f aca="false">AL82+AN82+AO82+AR82+AU82+AZ82+BB82+BC82+BD82+BF82+BJ82+BK82+BL82</f>
        <v>18801.9133054033</v>
      </c>
      <c r="BN82" s="88" t="n">
        <f aca="false">AP82+AU82+BJ82+BK82+BL82</f>
        <v>6094.2781251658</v>
      </c>
      <c r="BO82" s="88" t="n">
        <f aca="false">AQ82+BF82</f>
        <v>1327.6390625829</v>
      </c>
      <c r="BP82" s="88" t="n">
        <f aca="false">AI82*(1+IF(K82=3,INDEX(in_sup_vat_rate,1,C82),0))+AO82*Y82/AB82+AV82*BA82+(BC82+BD82)*AV82/AY82+AZ82*AI82/AL82+BN82*AC82/AF82+BO82*Y82/AB82</f>
        <v>0</v>
      </c>
      <c r="BQ82" s="88" t="n">
        <f aca="false">AJ82*(1+IF(K82=3,INDEX(in_sup_vat_rate,1,C82),0))+AO82*Z82/AB82+AW82*BA82+(BC82+BD82)*AW82/AY82+AZ82*AJ82/AL82+BN82*AD82/AF82+BO82*Z82/AB82</f>
        <v>18801.9133054033</v>
      </c>
      <c r="BR82" s="88" t="n">
        <f aca="false">AK82*(1+IF(K82=3,INDEX(in_sup_vat_rate,1,C82),0))+AO82*AA82/AB82+AX82*BA82+(BC82+BD82)*AX82/AY82+AZ82*AK82/AL82+BN82*AE82/AF82+BO82*AA82/AB82</f>
        <v>0</v>
      </c>
      <c r="BS82" s="89" t="n">
        <f aca="false">BP82+BQ82+BR82-BM82</f>
        <v>0</v>
      </c>
      <c r="BT82" s="85" t="n">
        <f aca="false">Y82*(1-R82)</f>
        <v>0</v>
      </c>
      <c r="BU82" s="85" t="n">
        <f aca="false">Z82*(1-R82)</f>
        <v>65847.25</v>
      </c>
      <c r="BV82" s="85" t="n">
        <f aca="false">AA82*(1-R82)</f>
        <v>0</v>
      </c>
      <c r="BW82" s="85" t="n">
        <f aca="false">BT82+BU82+BV82</f>
        <v>65847.25</v>
      </c>
      <c r="BX82" s="90" t="n">
        <f aca="false">IF(BT82&gt;0,BP82/BT82,0)</f>
        <v>0</v>
      </c>
      <c r="BY82" s="90" t="n">
        <f aca="false">IF(BU82&gt;0,BQ82/BU82,0)</f>
        <v>0.285538322487322</v>
      </c>
      <c r="BZ82" s="90" t="n">
        <f aca="false">IF(BV82&gt;0,BR82/BV82,0)</f>
        <v>0</v>
      </c>
      <c r="CA82" s="90" t="n">
        <f aca="false">INDEX(in_mkt_listing_3464,1,C82)*(1-IF(sku_flute_3464="B",T82,0))*(1-S82)*N82</f>
        <v>0.234</v>
      </c>
      <c r="CB82" s="90" t="n">
        <f aca="false">INDEX(in_mkt_listing_3463,1,C82)*(1-IF(sku_flute_3463="B",T82,0))*(1-S82)*N82</f>
        <v>0.27</v>
      </c>
      <c r="CC82" s="90" t="n">
        <f aca="false">INDEX(in_mkt_listing_3460,1,C82)*(1-IF(sku_flute_3460="B",T82,0))*(1-S82)*N82</f>
        <v>0.225</v>
      </c>
      <c r="CD82" s="88" t="n">
        <f aca="false">BT82*CA82+BU82*CB82+BV82*CC82</f>
        <v>17778.7575</v>
      </c>
      <c r="CE82" s="88" t="n">
        <f aca="false">CD82-BM82</f>
        <v>-1023.15580540334</v>
      </c>
      <c r="CF82" s="87" t="n">
        <f aca="false">IF(CD82&gt;0,CE82/CD82,0)</f>
        <v>-0.0575493425456384</v>
      </c>
      <c r="CG82" s="87" t="n">
        <f aca="false">W82+INDEX(in_sel_processing,1,C82)+INDEX(in_sel_bad_debt,1,C82)</f>
        <v>0.058</v>
      </c>
      <c r="CH82" s="88" t="n">
        <f aca="false">CD82*CG82</f>
        <v>1031.167935</v>
      </c>
      <c r="CI82" s="88" t="n">
        <f aca="false">INDEX(in_sel_testing,1,C82)*X82+INDEX(in_sel_admin,1,C82)</f>
        <v>3000</v>
      </c>
      <c r="CJ82" s="79" t="n">
        <f aca="false">INDEX(in_sup_lead_days,1,C82)</f>
        <v>21</v>
      </c>
      <c r="CK82" s="79" t="n">
        <f aca="false">CJ82+INDEX(in_oce_transit,1,C82)+IF(F82=4,INDEX(in_oce_lcl_extra_days,1,C82),0)</f>
        <v>51</v>
      </c>
      <c r="CL82" s="79" t="n">
        <f aca="false">CK82+2+INDEX(in_cus_dem_days,1,C82)</f>
        <v>53</v>
      </c>
      <c r="CM82" s="79" t="n">
        <f aca="false">CL82+U82</f>
        <v>98</v>
      </c>
      <c r="CN82" s="79" t="n">
        <f aca="false">CJ82+INDEX(in_sup_vat_lag,1,C82)</f>
        <v>81</v>
      </c>
      <c r="CO82" s="91" t="n">
        <f aca="false">INDEX(in_sup_advance,1,C82)</f>
        <v>0.5</v>
      </c>
      <c r="CP82" s="88" t="n">
        <f aca="false">CO82*(AL82+AM82)+AO82+INDEX(in_sel_testing,1,C82)*X82</f>
        <v>8203.9638236431</v>
      </c>
      <c r="CQ82" s="88" t="n">
        <f aca="false">(1-CO82)*(AL82+AM82)+AR82+AU82+AZ82</f>
        <v>11336.8810113918</v>
      </c>
      <c r="CR82" s="88" t="n">
        <f aca="false">BB82+BC82+BD82+BF82+BJ82</f>
        <v>1808.04204108779</v>
      </c>
      <c r="CS82" s="88" t="n">
        <f aca="false">BK82+BL82</f>
        <v>1354</v>
      </c>
      <c r="CT82" s="88" t="n">
        <f aca="false">IF(K82=2,AM82,0)</f>
        <v>1400.97357071936</v>
      </c>
      <c r="CU82" s="85" t="n">
        <f aca="false">IF(K82=2,CO82*AM82*(CN82-0)+(1-CO82)*AM82*(CN82-CJ82),0)</f>
        <v>98768.6367357148</v>
      </c>
      <c r="CV82" s="85" t="n">
        <f aca="false">(CP82-CO82*CT82)*(CM82-0)+(CQ82-(1-CO82)*CT82)*(CM82-CJ82)+CR82*(CM82-CK82)+CS82*(CM82-CL82)</f>
        <v>1700251.08108738</v>
      </c>
      <c r="CW82" s="88" t="n">
        <f aca="false">INDEX(in_sel_fin_rate,1,C82)/365*(CU82+CV82)</f>
        <v>492.88211447208</v>
      </c>
      <c r="CX82" s="85" t="n">
        <f aca="false">CP82-IF(CN82&lt;=0,CT82,0)</f>
        <v>8203.9638236431</v>
      </c>
      <c r="CY82" s="85" t="n">
        <f aca="false">CP82+CQ82-IF(CN82&lt;=CJ82,CT82,0)</f>
        <v>19540.8448350349</v>
      </c>
      <c r="CZ82" s="85" t="n">
        <f aca="false">CP82+CQ82+CR82-IF(CN82&lt;=CK82,CT82,0)</f>
        <v>21348.8868761227</v>
      </c>
      <c r="DA82" s="85" t="n">
        <f aca="false">CP82+CQ82+CR82+CS82-IF(CN82&lt;=CL82,CT82,0)</f>
        <v>22702.8868761227</v>
      </c>
      <c r="DB82" s="88" t="n">
        <f aca="false">MAX(CX82,CY82,CZ82,DA82)</f>
        <v>22702.8868761227</v>
      </c>
      <c r="DC82" s="88" t="n">
        <f aca="false">CP82+CQ82+CR82+CS82</f>
        <v>22702.8868761227</v>
      </c>
      <c r="DD82" s="88" t="n">
        <f aca="false">CE82-CH82-CI82-CW82</f>
        <v>-5547.20585487542</v>
      </c>
      <c r="DE82" s="87" t="n">
        <f aca="false">IF(CD82&gt;0,DD82/CD82,0)</f>
        <v>-0.312013134487909</v>
      </c>
      <c r="DF82" s="86" t="n">
        <f aca="false">IF(CD82&gt;0,(BM82+CI82+CW82)/(CD82*(1-CG82)),0)</f>
        <v>1.33122413427591</v>
      </c>
      <c r="DG82" s="90" t="n">
        <f aca="false">IF(BW82&gt;0,BM82/BW82,0)</f>
        <v>0.285538322487322</v>
      </c>
      <c r="DH82" s="90" t="n">
        <f aca="false">IF(BW82&gt;0,CD82/BW82,0)</f>
        <v>0.27</v>
      </c>
      <c r="DI82" s="90" t="n">
        <f aca="false">IF(AI82&gt;0,(AI82*IF(K82=3,INDEX(in_sup_vat_rate,1,C82),0)+AV82*BA82+(BC82+BD82)*AV82/AY82+AZ82*AI82/AL82)/AI82,0)</f>
        <v>0</v>
      </c>
      <c r="DJ82" s="90" t="n">
        <f aca="false">IF(AJ82&gt;0,(AJ82*IF(K82=3,INDEX(in_sup_vat_rate,1,C82),0)+AW82*BA82+(BC82+BD82)*AW82/AY82+AZ82*AJ82/AL82)/AJ82,0)</f>
        <v>0.137208788066993</v>
      </c>
      <c r="DK82" s="90" t="n">
        <f aca="false">IF(AK82&gt;0,(AK82*IF(K82=3,INDEX(in_sup_vat_rate,1,C82),0)+AX82*BA82+(BC82+BD82)*AX82/AY82+AZ82*AK82/AL82)/AK82,0)</f>
        <v>0</v>
      </c>
      <c r="DL82" s="90" t="n">
        <f aca="false">IF(Y82&gt;0,(BP82-AI82*(1+DI82))/Y82,0)</f>
        <v>0</v>
      </c>
      <c r="DM82" s="90" t="n">
        <f aca="false">IF(Z82&gt;0,(BQ82-AJ82*(1+DJ82))/Z82,0)</f>
        <v>0.111023443347026</v>
      </c>
      <c r="DN82" s="90" t="n">
        <f aca="false">IF(AA82&gt;0,(BR82-AK82*(1+DK82))/AA82,0)</f>
        <v>0</v>
      </c>
      <c r="DO82" s="86" t="str">
        <f aca="false">IF(Y82&gt;0,(CA82*(1-thr_gm_go)*(1-R82)-DL82)/(1+DI82)*I82/((1+AH82)*J82),"")</f>
        <v/>
      </c>
      <c r="DP82" s="86" t="n">
        <f aca="false">IF(Z82&gt;0,(CB82*(1-thr_gm_go)*(1-R82)-DM82)/(1+DJ82)*I82/((1+AH82)*J82),"")</f>
        <v>4.10421865889979</v>
      </c>
      <c r="DQ82" s="86" t="str">
        <f aca="false">IF(AA82&gt;0,(CC82*(1-thr_gm_go)*(1-R82)-DN82)/(1+DK82)*I82/((1+AH82)*J82),"")</f>
        <v/>
      </c>
      <c r="DR82" s="92" t="n">
        <f aca="false">IF(AND(AY82*INDEX(in_cus_mpf_rate,1,C82)&gt;INDEX(in_cus_mpf_min,1,C82),AY82*INDEX(in_cus_mpf_rate,1,C82)&lt;INDEX(in_cus_mpf_max,1,C82)),INDEX(in_cus_mpf_rate,1,C82),0)</f>
        <v>0.003464</v>
      </c>
      <c r="DS82" s="88" t="n">
        <f aca="false">IF(AZ82&gt;INDEX(in_oce_ins_min,1,C82),INDEX(in_oce_ins_rate,1,C82)*(1+INDEX(in_oce_ins_uplift,1,C82))*AL82,0)</f>
        <v>0</v>
      </c>
      <c r="DT82" s="88" t="n">
        <f aca="false">(AL82+AN82)*(1+BA82+INDEX(in_cus_hmf,1,C82)+DR82)+DS82</f>
        <v>11304.9961176546</v>
      </c>
      <c r="DU82" s="86" t="n">
        <f aca="false">IF(DT82&gt;0,(CD82*(1-thr_gm_go)-(BM82-DT82))/DT82,0)</f>
        <v>0.516333740985157</v>
      </c>
      <c r="DV82" s="86" t="n">
        <f aca="false">IF(DT82&gt;0,(CD82-(BM82-DT82))/DT82,0)</f>
        <v>0.909495253713046</v>
      </c>
      <c r="DW82" s="87" t="n">
        <f aca="false">(1+AH82)*J82*DU82-1</f>
        <v>-0.483666259014843</v>
      </c>
      <c r="DX82" s="87" t="n">
        <f aca="false">(1+AH82)*J82*DV82-1</f>
        <v>-0.0905047462869544</v>
      </c>
      <c r="DY82" s="85" t="n">
        <f aca="false">IF(G82&gt;0,(CD82*(1-thr_gm_go)-(BM82-AT82))/G82,"")</f>
        <v>-1317.84518040334</v>
      </c>
      <c r="DZ82" s="90" t="n">
        <f aca="false">IF(AB82&gt;0,(AL82+AN82+BB82+BC82+BD82)/AB82,0)</f>
        <v>0.169109889568506</v>
      </c>
      <c r="EA82" s="88" t="n">
        <f aca="false">BM82-DZ82*AB82</f>
        <v>7496.9171877487</v>
      </c>
      <c r="EB82" s="90" t="n">
        <f aca="false">IF(AB82&gt;0,CD82/AB82,0)</f>
        <v>0.26595</v>
      </c>
      <c r="EC82" s="85" t="n">
        <f aca="false">IF(EB82*(1-thr_gm_go)-DZ82&gt;0,EA82/(EB82*(1-thr_gm_go)-DZ82),"n/a")</f>
        <v>246994.149141449</v>
      </c>
      <c r="ED82" s="85" t="n">
        <f aca="false">IF(EB82-DZ82&gt;0,EA82/(EB82-DZ82),"n/a")</f>
        <v>77415.4134515587</v>
      </c>
      <c r="EE82" s="93" t="b">
        <f aca="false">INDEX(cfg_fits,D82,C82)</f>
        <v>1</v>
      </c>
      <c r="EF82" s="87" t="n">
        <f aca="false">IF(F82=4,"",INDEX(cfg_lenutil,D82,C82))</f>
        <v>0.958927074601844</v>
      </c>
      <c r="EG82" s="31" t="str">
        <f aca="false">IF(O82&gt;1,"Check fit (units scaled up)","")</f>
        <v/>
      </c>
    </row>
    <row r="83" customFormat="false" ht="15" hidden="false" customHeight="false" outlineLevel="0" collapsed="false">
      <c r="A83" s="78" t="n">
        <v>2064</v>
      </c>
      <c r="B83" s="9" t="s">
        <v>3231</v>
      </c>
      <c r="C83" s="78" t="n">
        <v>2</v>
      </c>
      <c r="D83" s="78" t="n">
        <v>6</v>
      </c>
      <c r="E83" s="78" t="n">
        <v>4</v>
      </c>
      <c r="F83" s="79" t="n">
        <f aca="false">INDEX(cfg_ct,D83)</f>
        <v>3</v>
      </c>
      <c r="G83" s="79" t="n">
        <f aca="false">INDEX(cfg_n,D83)</f>
        <v>1</v>
      </c>
      <c r="H83" s="79" t="n">
        <f aca="false">INDEX(dest_port,E83)</f>
        <v>3</v>
      </c>
      <c r="I83" s="80" t="n">
        <f aca="false">INDEX(in_fx_cbe,1,C83)*(1-INDEX(in_fx_spread,1,C83))</f>
        <v>52.7748</v>
      </c>
      <c r="J83" s="81" t="n">
        <f aca="false">1</f>
        <v>1</v>
      </c>
      <c r="K83" s="82" t="n">
        <f aca="false">INDEX(in_sup_vat_mode,1,C83)</f>
        <v>2</v>
      </c>
      <c r="L83" s="83" t="n">
        <f aca="false">INDEX(in_cus_s301,1,C83)</f>
        <v>0.125</v>
      </c>
      <c r="M83" s="84" t="n">
        <f aca="false">1</f>
        <v>1</v>
      </c>
      <c r="N83" s="81" t="n">
        <f aca="false">1</f>
        <v>1</v>
      </c>
      <c r="O83" s="81" t="n">
        <f aca="false">1</f>
        <v>1</v>
      </c>
      <c r="P83" s="81" t="n">
        <f aca="false">1</f>
        <v>1</v>
      </c>
      <c r="Q83" s="81" t="n">
        <f aca="false">1</f>
        <v>1</v>
      </c>
      <c r="R83" s="83" t="n">
        <f aca="false">INDEX(in_sel_damage,1,C83)</f>
        <v>0.015</v>
      </c>
      <c r="S83" s="83" t="n">
        <f aca="false">INDEX(in_mkt_dist_margin,1,C83)</f>
        <v>0.25</v>
      </c>
      <c r="T83" s="83" t="n">
        <f aca="false">INDEX(in_mkt_eflute_disc,1,C83)</f>
        <v>0.2</v>
      </c>
      <c r="U83" s="82" t="n">
        <f aca="false">INDEX(in_sel_credit_days,1,C83)</f>
        <v>45</v>
      </c>
      <c r="V83" s="81" t="n">
        <f aca="false">1</f>
        <v>1</v>
      </c>
      <c r="W83" s="83" t="n">
        <f aca="false">INDEX(in_sel_commission,1,C83)</f>
        <v>0.05</v>
      </c>
      <c r="X83" s="82" t="n">
        <f aca="false">1</f>
        <v>1</v>
      </c>
      <c r="Y83" s="85" t="n">
        <f aca="false">INDEX(cfg_u_3464,D83,C83)*O83</f>
        <v>0</v>
      </c>
      <c r="Z83" s="85" t="n">
        <f aca="false">INDEX(cfg_u_3463,D83,C83)*O83</f>
        <v>66850</v>
      </c>
      <c r="AA83" s="85" t="n">
        <f aca="false">INDEX(cfg_u_3460,D83,C83)*O83</f>
        <v>0</v>
      </c>
      <c r="AB83" s="85" t="n">
        <f aca="false">Y83+Z83+AA83</f>
        <v>66850</v>
      </c>
      <c r="AC83" s="86" t="n">
        <f aca="false">Y83*INDEX(lg_vpu_3464,C83)</f>
        <v>0</v>
      </c>
      <c r="AD83" s="86" t="n">
        <f aca="false">Z83*INDEX(lg_vpu_3463,C83)</f>
        <v>58.1776832</v>
      </c>
      <c r="AE83" s="86" t="n">
        <f aca="false">AA83*INDEX(lg_vpu_3460,C83)</f>
        <v>0</v>
      </c>
      <c r="AF83" s="86" t="n">
        <f aca="false">AC83+AD83+AE83</f>
        <v>58.1776832</v>
      </c>
      <c r="AG83" s="85" t="n">
        <f aca="false">Y83*INDEX(lg_kpu_3464,C83)+Z83*INDEX(lg_kpu_3463,C83)+AA83*INDEX(lg_kpu_3460,C83)</f>
        <v>13982.3882492</v>
      </c>
      <c r="AH83" s="87" t="n">
        <f aca="false">INDEX(in_sup_requote,1,C83)</f>
        <v>0</v>
      </c>
      <c r="AI83" s="88" t="n">
        <f aca="false">Y83*q_price_3464*(1+AH83)*J83/I83</f>
        <v>0</v>
      </c>
      <c r="AJ83" s="88" t="n">
        <f aca="false">Z83*q_price_3463*(1+AH83)*J83/I83</f>
        <v>10006.9540765668</v>
      </c>
      <c r="AK83" s="88" t="n">
        <f aca="false">AA83*q_price_3460*(1+AH83)*J83/I83</f>
        <v>0</v>
      </c>
      <c r="AL83" s="88" t="n">
        <f aca="false">AI83+AJ83+AK83</f>
        <v>10006.9540765668</v>
      </c>
      <c r="AM83" s="88" t="n">
        <f aca="false">IF(OR(K83=2,K83=3),AL83*INDEX(in_sup_vat_rate,1,C83),0)</f>
        <v>1400.97357071936</v>
      </c>
      <c r="AN83" s="88" t="n">
        <f aca="false">IF(K83=3,AM83,0)</f>
        <v>0</v>
      </c>
      <c r="AO83" s="88" t="n">
        <f aca="false">INDEX(in_sup_tooling_egp,1,C83)/I83</f>
        <v>0</v>
      </c>
      <c r="AP83" s="88" t="n">
        <f aca="false">IF(F83=4,INDEX(in_ori_lcl_truck,1,C83)*V83/I83+INDEX(in_ori_lcl_cfs_o,1,C83),G83*(IF(F83=1,INDEX(in_ori_truck_20,1,C83),INDEX(in_ori_truck_40,1,C83))*V83/I83+INDEX(in_ori_terminal,1,C83)+IF(F83=1,INDEX(in_ori_othc_20,1,C83),INDEX(in_ori_othc_40,1,C83))*(1-INDEX(in_ori_othc_in_freight,1,C83))+INDEX(in_ori_seal,1,C83)+INDEX(in_ori_inspection,1,C83)+INDEX(in_ori_dd_days,1,C83)*IF(F83=1,INDEX(in_ori_dd_20,1,C83),INDEX(in_ori_dd_40,1,C83))+INDEX(in_ori_loading_egp,1,C83)/I83))</f>
        <v>555.278125165799</v>
      </c>
      <c r="AQ83" s="88" t="n">
        <f aca="false">(INDEX(in_ori_clearance,1,C83)+INDEX(in_ori_coo,1,C83))/I83+INDEX(in_ori_bl_fee,1,C83)+INDEX(in_ori_fwd_fee,1,C83)+INDEX(in_ori_qc,1,C83)+INDEX(in_ori_wires,1,C83)*INDEX(in_ori_wire_fee,1,C83)</f>
        <v>817.639062582899</v>
      </c>
      <c r="AR83" s="88" t="n">
        <f aca="false">AP83+AQ83</f>
        <v>1372.9171877487</v>
      </c>
      <c r="AS83" s="85" t="n">
        <f aca="false">INDEX(tbl_port_diff,H83,C83)</f>
        <v>0</v>
      </c>
      <c r="AT83" s="88" t="n">
        <f aca="false">IF(F83=4,MAX(AF83*INDEX(in_oce_lcl_factor,1,C83),AG83/1000,1)*INDEX(in_oce_lcl_rate,1,C83)*M83,G83*(INDEX(tbl_ocean_rate,MIN(F83,3),C83)+AS83)*M83)</f>
        <v>4000</v>
      </c>
      <c r="AU83" s="88" t="n">
        <f aca="false">AT83+INDEX(in_oce_ams,1,C83)</f>
        <v>4035</v>
      </c>
      <c r="AV83" s="88" t="n">
        <f aca="false">AI83*(1+IF(K83=3,INDEX(in_sup_vat_rate,1,C83),0))+AO83*Y83/AB83</f>
        <v>0</v>
      </c>
      <c r="AW83" s="88" t="n">
        <f aca="false">AJ83*(1+IF(K83=3,INDEX(in_sup_vat_rate,1,C83),0))+AO83*Z83/AB83</f>
        <v>10006.9540765668</v>
      </c>
      <c r="AX83" s="88" t="n">
        <f aca="false">AK83*(1+IF(K83=3,INDEX(in_sup_vat_rate,1,C83),0))+AO83*AA83/AB83</f>
        <v>0</v>
      </c>
      <c r="AY83" s="88" t="n">
        <f aca="false">AV83+AW83+AX83</f>
        <v>10006.9540765668</v>
      </c>
      <c r="AZ83" s="88" t="n">
        <f aca="false">MAX(INDEX(in_oce_ins_min,1,C83),INDEX(in_oce_ins_rate,1,C83)*(1+INDEX(in_oce_ins_uplift,1,C83))*(AL83+AO83+AR83+AU83))*(1-INDEX(in_oce_ins_in_other,1,C83))</f>
        <v>75</v>
      </c>
      <c r="BA83" s="87" t="n">
        <f aca="false">INDEX(in_cus_mfn,1,C83)+L83</f>
        <v>0.125</v>
      </c>
      <c r="BB83" s="88" t="n">
        <f aca="false">AY83*BA83</f>
        <v>1250.86925957086</v>
      </c>
      <c r="BC83" s="88" t="n">
        <f aca="false">MIN(MAX(AY83*INDEX(in_cus_mpf_rate,1,C83),INDEX(in_cus_mpf_min,1,C83)),INDEX(in_cus_mpf_max,1,C83))</f>
        <v>34.6640889212276</v>
      </c>
      <c r="BD83" s="88" t="n">
        <f aca="false">AY83*INDEX(in_cus_hmf,1,C83)</f>
        <v>12.5086925957086</v>
      </c>
      <c r="BE83" s="88" t="n">
        <f aca="false">MAX(INDEX(in_cus_stb_min,1,C83),INDEX(in_cus_stb_rate,1,C83)/1000*(AY83+BB83+BC83+BD83))</f>
        <v>75</v>
      </c>
      <c r="BF83" s="88" t="n">
        <f aca="false">INDEX(in_cus_broker,1,C83)+INDEX(in_cus_isf,1,C83)+INDEX(in_cus_do_fee,1,C83)+BE83+INDEX(in_cus_isf_bond,1,C83)</f>
        <v>510</v>
      </c>
      <c r="BG83" s="88" t="n">
        <f aca="false">IF(H83=1,INDEX(in_cus_cfc,1,C83)*INDEX(ct_teu,F83)*G83*(1-INDEX(in_cus_cfc_in_freight,1,C83)),0)</f>
        <v>0</v>
      </c>
      <c r="BH83" s="88" t="n">
        <f aca="false">IF(F83=4,1,G83)*(INDEX(in_cus_exam,1,C83)+INDEX(in_cus_exam_dray,1,C83))</f>
        <v>0</v>
      </c>
      <c r="BI83" s="88" t="n">
        <f aca="false">IF(F83=4,1,G83)*INDEX(in_cus_dem_days,1,C83)*INDEX(in_cus_dem_rate,1,C83)</f>
        <v>0</v>
      </c>
      <c r="BJ83" s="88" t="n">
        <f aca="false">BG83+BH83+BI83</f>
        <v>0</v>
      </c>
      <c r="BK83" s="88" t="n">
        <f aca="false">IF(F83=4,(INDEX(in_dra_lcl_cfs_d,1,C83)+INDEX(in_dra_lcl_deliv,1,C83))*P83,G83*(INDEX(tbl_dest_line,E83,C83)*P83*(1+INDEX(in_dra_fsc,1,C83))+INDEX(tbl_dest_tolls,E83,C83)+INDEX(in_dra_chassis_days,1,C83)*INDEX(tbl_dest_chassis,E83,C83)*(1-INDEX(in_dra_chassis_in_dray,1,C83))+INDEX(in_dra_wait_hours,1,C83)*INDEX(in_dra_wait_rate,1,C83)+INDEX(in_dra_split,1,C83)+INDEX(in_dra_prepull,1,C83)+INDEX(in_dra_dryrun,1,C83)))</f>
        <v>1504</v>
      </c>
      <c r="BL83" s="88" t="n">
        <f aca="false">IF(F83=4,0,G83*IF(F83=1,INDEX(in_dra_unload_20,1,C83),INDEX(in_dra_unload_40,1,C83))*Q83*(1-INDEX(in_dra_unload_in_dray,1,C83)))</f>
        <v>450</v>
      </c>
      <c r="BM83" s="88" t="n">
        <f aca="false">AL83+AN83+AO83+AR83+AU83+AZ83+BB83+BC83+BD83+BF83+BJ83+BK83+BL83</f>
        <v>19251.9133054033</v>
      </c>
      <c r="BN83" s="88" t="n">
        <f aca="false">AP83+AU83+BJ83+BK83+BL83</f>
        <v>6544.2781251658</v>
      </c>
      <c r="BO83" s="88" t="n">
        <f aca="false">AQ83+BF83</f>
        <v>1327.6390625829</v>
      </c>
      <c r="BP83" s="88" t="n">
        <f aca="false">AI83*(1+IF(K83=3,INDEX(in_sup_vat_rate,1,C83),0))+AO83*Y83/AB83+AV83*BA83+(BC83+BD83)*AV83/AY83+AZ83*AI83/AL83+BN83*AC83/AF83+BO83*Y83/AB83</f>
        <v>0</v>
      </c>
      <c r="BQ83" s="88" t="n">
        <f aca="false">AJ83*(1+IF(K83=3,INDEX(in_sup_vat_rate,1,C83),0))+AO83*Z83/AB83+AW83*BA83+(BC83+BD83)*AW83/AY83+AZ83*AJ83/AL83+BN83*AD83/AF83+BO83*Z83/AB83</f>
        <v>19251.9133054033</v>
      </c>
      <c r="BR83" s="88" t="n">
        <f aca="false">AK83*(1+IF(K83=3,INDEX(in_sup_vat_rate,1,C83),0))+AO83*AA83/AB83+AX83*BA83+(BC83+BD83)*AX83/AY83+AZ83*AK83/AL83+BN83*AE83/AF83+BO83*AA83/AB83</f>
        <v>0</v>
      </c>
      <c r="BS83" s="89" t="n">
        <f aca="false">BP83+BQ83+BR83-BM83</f>
        <v>0</v>
      </c>
      <c r="BT83" s="85" t="n">
        <f aca="false">Y83*(1-R83)</f>
        <v>0</v>
      </c>
      <c r="BU83" s="85" t="n">
        <f aca="false">Z83*(1-R83)</f>
        <v>65847.25</v>
      </c>
      <c r="BV83" s="85" t="n">
        <f aca="false">AA83*(1-R83)</f>
        <v>0</v>
      </c>
      <c r="BW83" s="85" t="n">
        <f aca="false">BT83+BU83+BV83</f>
        <v>65847.25</v>
      </c>
      <c r="BX83" s="90" t="n">
        <f aca="false">IF(BT83&gt;0,BP83/BT83,0)</f>
        <v>0</v>
      </c>
      <c r="BY83" s="90" t="n">
        <f aca="false">IF(BU83&gt;0,BQ83/BU83,0)</f>
        <v>0.292372320869943</v>
      </c>
      <c r="BZ83" s="90" t="n">
        <f aca="false">IF(BV83&gt;0,BR83/BV83,0)</f>
        <v>0</v>
      </c>
      <c r="CA83" s="90" t="n">
        <f aca="false">INDEX(in_mkt_listing_3464,1,C83)*(1-IF(sku_flute_3464="B",T83,0))*(1-S83)*N83</f>
        <v>0.234</v>
      </c>
      <c r="CB83" s="90" t="n">
        <f aca="false">INDEX(in_mkt_listing_3463,1,C83)*(1-IF(sku_flute_3463="B",T83,0))*(1-S83)*N83</f>
        <v>0.27</v>
      </c>
      <c r="CC83" s="90" t="n">
        <f aca="false">INDEX(in_mkt_listing_3460,1,C83)*(1-IF(sku_flute_3460="B",T83,0))*(1-S83)*N83</f>
        <v>0.225</v>
      </c>
      <c r="CD83" s="88" t="n">
        <f aca="false">BT83*CA83+BU83*CB83+BV83*CC83</f>
        <v>17778.7575</v>
      </c>
      <c r="CE83" s="88" t="n">
        <f aca="false">CD83-BM83</f>
        <v>-1473.15580540334</v>
      </c>
      <c r="CF83" s="87" t="n">
        <f aca="false">IF(CD83&gt;0,CE83/CD83,0)</f>
        <v>-0.0828604476664546</v>
      </c>
      <c r="CG83" s="87" t="n">
        <f aca="false">W83+INDEX(in_sel_processing,1,C83)+INDEX(in_sel_bad_debt,1,C83)</f>
        <v>0.058</v>
      </c>
      <c r="CH83" s="88" t="n">
        <f aca="false">CD83*CG83</f>
        <v>1031.167935</v>
      </c>
      <c r="CI83" s="88" t="n">
        <f aca="false">INDEX(in_sel_testing,1,C83)*X83+INDEX(in_sel_admin,1,C83)</f>
        <v>3000</v>
      </c>
      <c r="CJ83" s="79" t="n">
        <f aca="false">INDEX(in_sup_lead_days,1,C83)</f>
        <v>21</v>
      </c>
      <c r="CK83" s="79" t="n">
        <f aca="false">CJ83+INDEX(in_oce_transit,1,C83)+IF(F83=4,INDEX(in_oce_lcl_extra_days,1,C83),0)</f>
        <v>51</v>
      </c>
      <c r="CL83" s="79" t="n">
        <f aca="false">CK83+2+INDEX(in_cus_dem_days,1,C83)</f>
        <v>53</v>
      </c>
      <c r="CM83" s="79" t="n">
        <f aca="false">CL83+U83</f>
        <v>98</v>
      </c>
      <c r="CN83" s="79" t="n">
        <f aca="false">CJ83+INDEX(in_sup_vat_lag,1,C83)</f>
        <v>81</v>
      </c>
      <c r="CO83" s="91" t="n">
        <f aca="false">INDEX(in_sup_advance,1,C83)</f>
        <v>0.5</v>
      </c>
      <c r="CP83" s="88" t="n">
        <f aca="false">CO83*(AL83+AM83)+AO83+INDEX(in_sel_testing,1,C83)*X83</f>
        <v>8203.9638236431</v>
      </c>
      <c r="CQ83" s="88" t="n">
        <f aca="false">(1-CO83)*(AL83+AM83)+AR83+AU83+AZ83</f>
        <v>11186.8810113918</v>
      </c>
      <c r="CR83" s="88" t="n">
        <f aca="false">BB83+BC83+BD83+BF83+BJ83</f>
        <v>1808.04204108779</v>
      </c>
      <c r="CS83" s="88" t="n">
        <f aca="false">BK83+BL83</f>
        <v>1954</v>
      </c>
      <c r="CT83" s="88" t="n">
        <f aca="false">IF(K83=2,AM83,0)</f>
        <v>1400.97357071936</v>
      </c>
      <c r="CU83" s="85" t="n">
        <f aca="false">IF(K83=2,CO83*AM83*(CN83-0)+(1-CO83)*AM83*(CN83-CJ83),0)</f>
        <v>98768.6367357148</v>
      </c>
      <c r="CV83" s="85" t="n">
        <f aca="false">(CP83-CO83*CT83)*(CM83-0)+(CQ83-(1-CO83)*CT83)*(CM83-CJ83)+CR83*(CM83-CK83)+CS83*(CM83-CL83)</f>
        <v>1715701.08108738</v>
      </c>
      <c r="CW83" s="88" t="n">
        <f aca="false">INDEX(in_sel_fin_rate,1,C83)/365*(CU83+CV83)</f>
        <v>497.114991184408</v>
      </c>
      <c r="CX83" s="85" t="n">
        <f aca="false">CP83-IF(CN83&lt;=0,CT83,0)</f>
        <v>8203.9638236431</v>
      </c>
      <c r="CY83" s="85" t="n">
        <f aca="false">CP83+CQ83-IF(CN83&lt;=CJ83,CT83,0)</f>
        <v>19390.8448350349</v>
      </c>
      <c r="CZ83" s="85" t="n">
        <f aca="false">CP83+CQ83+CR83-IF(CN83&lt;=CK83,CT83,0)</f>
        <v>21198.8868761227</v>
      </c>
      <c r="DA83" s="85" t="n">
        <f aca="false">CP83+CQ83+CR83+CS83-IF(CN83&lt;=CL83,CT83,0)</f>
        <v>23152.8868761227</v>
      </c>
      <c r="DB83" s="88" t="n">
        <f aca="false">MAX(CX83,CY83,CZ83,DA83)</f>
        <v>23152.8868761227</v>
      </c>
      <c r="DC83" s="88" t="n">
        <f aca="false">CP83+CQ83+CR83+CS83</f>
        <v>23152.8868761227</v>
      </c>
      <c r="DD83" s="88" t="n">
        <f aca="false">CE83-CH83-CI83-CW83</f>
        <v>-6001.43873158775</v>
      </c>
      <c r="DE83" s="87" t="n">
        <f aca="false">IF(CD83&gt;0,DD83/CD83,0)</f>
        <v>-0.337562325803012</v>
      </c>
      <c r="DF83" s="86" t="n">
        <f aca="false">IF(CD83&gt;0,(BM83+CI83+CW83)/(CD83*(1-CG83)),0)</f>
        <v>1.35834641804991</v>
      </c>
      <c r="DG83" s="90" t="n">
        <f aca="false">IF(BW83&gt;0,BM83/BW83,0)</f>
        <v>0.292372320869943</v>
      </c>
      <c r="DH83" s="90" t="n">
        <f aca="false">IF(BW83&gt;0,CD83/BW83,0)</f>
        <v>0.27</v>
      </c>
      <c r="DI83" s="90" t="n">
        <f aca="false">IF(AI83&gt;0,(AI83*IF(K83=3,INDEX(in_sup_vat_rate,1,C83),0)+AV83*BA83+(BC83+BD83)*AV83/AY83+AZ83*AI83/AL83)/AI83,0)</f>
        <v>0</v>
      </c>
      <c r="DJ83" s="90" t="n">
        <f aca="false">IF(AJ83&gt;0,(AJ83*IF(K83=3,INDEX(in_sup_vat_rate,1,C83),0)+AW83*BA83+(BC83+BD83)*AW83/AY83+AZ83*AJ83/AL83)/AJ83,0)</f>
        <v>0.137208788066993</v>
      </c>
      <c r="DK83" s="90" t="n">
        <f aca="false">IF(AK83&gt;0,(AK83*IF(K83=3,INDEX(in_sup_vat_rate,1,C83),0)+AX83*BA83+(BC83+BD83)*AX83/AY83+AZ83*AK83/AL83)/AK83,0)</f>
        <v>0</v>
      </c>
      <c r="DL83" s="90" t="n">
        <f aca="false">IF(Y83&gt;0,(BP83-AI83*(1+DI83))/Y83,0)</f>
        <v>0</v>
      </c>
      <c r="DM83" s="90" t="n">
        <f aca="false">IF(Z83&gt;0,(BQ83-AJ83*(1+DJ83))/Z83,0)</f>
        <v>0.117754931753907</v>
      </c>
      <c r="DN83" s="90" t="n">
        <f aca="false">IF(AA83&gt;0,(BR83-AK83*(1+DK83))/AA83,0)</f>
        <v>0</v>
      </c>
      <c r="DO83" s="86" t="str">
        <f aca="false">IF(Y83&gt;0,(CA83*(1-thr_gm_go)*(1-R83)-DL83)/(1+DI83)*I83/((1+AH83)*J83),"")</f>
        <v/>
      </c>
      <c r="DP83" s="86" t="n">
        <f aca="false">IF(Z83&gt;0,(CB83*(1-thr_gm_go)*(1-R83)-DM83)/(1+DJ83)*I83/((1+AH83)*J83),"")</f>
        <v>3.79182839415401</v>
      </c>
      <c r="DQ83" s="86" t="str">
        <f aca="false">IF(AA83&gt;0,(CC83*(1-thr_gm_go)*(1-R83)-DN83)/(1+DK83)*I83/((1+AH83)*J83),"")</f>
        <v/>
      </c>
      <c r="DR83" s="92" t="n">
        <f aca="false">IF(AND(AY83*INDEX(in_cus_mpf_rate,1,C83)&gt;INDEX(in_cus_mpf_min,1,C83),AY83*INDEX(in_cus_mpf_rate,1,C83)&lt;INDEX(in_cus_mpf_max,1,C83)),INDEX(in_cus_mpf_rate,1,C83),0)</f>
        <v>0.003464</v>
      </c>
      <c r="DS83" s="88" t="n">
        <f aca="false">IF(AZ83&gt;INDEX(in_oce_ins_min,1,C83),INDEX(in_oce_ins_rate,1,C83)*(1+INDEX(in_oce_ins_uplift,1,C83))*AL83,0)</f>
        <v>0</v>
      </c>
      <c r="DT83" s="88" t="n">
        <f aca="false">(AL83+AN83)*(1+BA83+INDEX(in_cus_hmf,1,C83)+DR83)+DS83</f>
        <v>11304.9961176546</v>
      </c>
      <c r="DU83" s="86" t="n">
        <f aca="false">IF(DT83&gt;0,(CD83*(1-thr_gm_go)-(BM83-DT83))/DT83,0)</f>
        <v>0.476528331472699</v>
      </c>
      <c r="DV83" s="86" t="n">
        <f aca="false">IF(DT83&gt;0,(CD83-(BM83-DT83))/DT83,0)</f>
        <v>0.869689844200587</v>
      </c>
      <c r="DW83" s="87" t="n">
        <f aca="false">(1+AH83)*J83*DU83-1</f>
        <v>-0.523471668527301</v>
      </c>
      <c r="DX83" s="87" t="n">
        <f aca="false">(1+AH83)*J83*DV83-1</f>
        <v>-0.130310155799413</v>
      </c>
      <c r="DY83" s="85" t="n">
        <f aca="false">IF(G83&gt;0,(CD83*(1-thr_gm_go)-(BM83-AT83))/G83,"")</f>
        <v>-1917.84518040334</v>
      </c>
      <c r="DZ83" s="90" t="n">
        <f aca="false">IF(AB83&gt;0,(AL83+AN83+BB83+BC83+BD83)/AB83,0)</f>
        <v>0.169109889568506</v>
      </c>
      <c r="EA83" s="88" t="n">
        <f aca="false">BM83-DZ83*AB83</f>
        <v>7946.9171877487</v>
      </c>
      <c r="EB83" s="90" t="n">
        <f aca="false">IF(AB83&gt;0,CD83/AB83,0)</f>
        <v>0.26595</v>
      </c>
      <c r="EC83" s="85" t="n">
        <f aca="false">IF(EB83*(1-thr_gm_go)-DZ83&gt;0,EA83/(EB83*(1-thr_gm_go)-DZ83),"n/a")</f>
        <v>261819.892087535</v>
      </c>
      <c r="ED83" s="85" t="n">
        <f aca="false">IF(EB83-DZ83&gt;0,EA83/(EB83-DZ83),"n/a")</f>
        <v>82062.2483012395</v>
      </c>
      <c r="EE83" s="93" t="b">
        <f aca="false">INDEX(cfg_fits,D83,C83)</f>
        <v>1</v>
      </c>
      <c r="EF83" s="87" t="n">
        <f aca="false">IF(F83=4,"",INDEX(cfg_lenutil,D83,C83))</f>
        <v>0.958927074601844</v>
      </c>
      <c r="EG83" s="31" t="str">
        <f aca="false">IF(O83&gt;1,"Check fit (units scaled up)","")</f>
        <v/>
      </c>
    </row>
    <row r="84" customFormat="false" ht="15" hidden="false" customHeight="false" outlineLevel="0" collapsed="false">
      <c r="A84" s="78" t="n">
        <v>2065</v>
      </c>
      <c r="B84" s="9" t="s">
        <v>3232</v>
      </c>
      <c r="C84" s="78" t="n">
        <v>2</v>
      </c>
      <c r="D84" s="78" t="n">
        <v>6</v>
      </c>
      <c r="E84" s="78" t="n">
        <v>5</v>
      </c>
      <c r="F84" s="79" t="n">
        <f aca="false">INDEX(cfg_ct,D84)</f>
        <v>3</v>
      </c>
      <c r="G84" s="79" t="n">
        <f aca="false">INDEX(cfg_n,D84)</f>
        <v>1</v>
      </c>
      <c r="H84" s="79" t="n">
        <f aca="false">INDEX(dest_port,E84)</f>
        <v>4</v>
      </c>
      <c r="I84" s="80" t="n">
        <f aca="false">INDEX(in_fx_cbe,1,C84)*(1-INDEX(in_fx_spread,1,C84))</f>
        <v>52.7748</v>
      </c>
      <c r="J84" s="81" t="n">
        <f aca="false">1</f>
        <v>1</v>
      </c>
      <c r="K84" s="82" t="n">
        <f aca="false">INDEX(in_sup_vat_mode,1,C84)</f>
        <v>2</v>
      </c>
      <c r="L84" s="83" t="n">
        <f aca="false">INDEX(in_cus_s301,1,C84)</f>
        <v>0.125</v>
      </c>
      <c r="M84" s="84" t="n">
        <f aca="false">1</f>
        <v>1</v>
      </c>
      <c r="N84" s="81" t="n">
        <f aca="false">1</f>
        <v>1</v>
      </c>
      <c r="O84" s="81" t="n">
        <f aca="false">1</f>
        <v>1</v>
      </c>
      <c r="P84" s="81" t="n">
        <f aca="false">1</f>
        <v>1</v>
      </c>
      <c r="Q84" s="81" t="n">
        <f aca="false">1</f>
        <v>1</v>
      </c>
      <c r="R84" s="83" t="n">
        <f aca="false">INDEX(in_sel_damage,1,C84)</f>
        <v>0.015</v>
      </c>
      <c r="S84" s="83" t="n">
        <f aca="false">INDEX(in_mkt_dist_margin,1,C84)</f>
        <v>0.25</v>
      </c>
      <c r="T84" s="83" t="n">
        <f aca="false">INDEX(in_mkt_eflute_disc,1,C84)</f>
        <v>0.2</v>
      </c>
      <c r="U84" s="82" t="n">
        <f aca="false">INDEX(in_sel_credit_days,1,C84)</f>
        <v>45</v>
      </c>
      <c r="V84" s="81" t="n">
        <f aca="false">1</f>
        <v>1</v>
      </c>
      <c r="W84" s="83" t="n">
        <f aca="false">INDEX(in_sel_commission,1,C84)</f>
        <v>0.05</v>
      </c>
      <c r="X84" s="82" t="n">
        <f aca="false">1</f>
        <v>1</v>
      </c>
      <c r="Y84" s="85" t="n">
        <f aca="false">INDEX(cfg_u_3464,D84,C84)*O84</f>
        <v>0</v>
      </c>
      <c r="Z84" s="85" t="n">
        <f aca="false">INDEX(cfg_u_3463,D84,C84)*O84</f>
        <v>66850</v>
      </c>
      <c r="AA84" s="85" t="n">
        <f aca="false">INDEX(cfg_u_3460,D84,C84)*O84</f>
        <v>0</v>
      </c>
      <c r="AB84" s="85" t="n">
        <f aca="false">Y84+Z84+AA84</f>
        <v>66850</v>
      </c>
      <c r="AC84" s="86" t="n">
        <f aca="false">Y84*INDEX(lg_vpu_3464,C84)</f>
        <v>0</v>
      </c>
      <c r="AD84" s="86" t="n">
        <f aca="false">Z84*INDEX(lg_vpu_3463,C84)</f>
        <v>58.1776832</v>
      </c>
      <c r="AE84" s="86" t="n">
        <f aca="false">AA84*INDEX(lg_vpu_3460,C84)</f>
        <v>0</v>
      </c>
      <c r="AF84" s="86" t="n">
        <f aca="false">AC84+AD84+AE84</f>
        <v>58.1776832</v>
      </c>
      <c r="AG84" s="85" t="n">
        <f aca="false">Y84*INDEX(lg_kpu_3464,C84)+Z84*INDEX(lg_kpu_3463,C84)+AA84*INDEX(lg_kpu_3460,C84)</f>
        <v>13982.3882492</v>
      </c>
      <c r="AH84" s="87" t="n">
        <f aca="false">INDEX(in_sup_requote,1,C84)</f>
        <v>0</v>
      </c>
      <c r="AI84" s="88" t="n">
        <f aca="false">Y84*q_price_3464*(1+AH84)*J84/I84</f>
        <v>0</v>
      </c>
      <c r="AJ84" s="88" t="n">
        <f aca="false">Z84*q_price_3463*(1+AH84)*J84/I84</f>
        <v>10006.9540765668</v>
      </c>
      <c r="AK84" s="88" t="n">
        <f aca="false">AA84*q_price_3460*(1+AH84)*J84/I84</f>
        <v>0</v>
      </c>
      <c r="AL84" s="88" t="n">
        <f aca="false">AI84+AJ84+AK84</f>
        <v>10006.9540765668</v>
      </c>
      <c r="AM84" s="88" t="n">
        <f aca="false">IF(OR(K84=2,K84=3),AL84*INDEX(in_sup_vat_rate,1,C84),0)</f>
        <v>1400.97357071936</v>
      </c>
      <c r="AN84" s="88" t="n">
        <f aca="false">IF(K84=3,AM84,0)</f>
        <v>0</v>
      </c>
      <c r="AO84" s="88" t="n">
        <f aca="false">INDEX(in_sup_tooling_egp,1,C84)/I84</f>
        <v>0</v>
      </c>
      <c r="AP84" s="88" t="n">
        <f aca="false">IF(F84=4,INDEX(in_ori_lcl_truck,1,C84)*V84/I84+INDEX(in_ori_lcl_cfs_o,1,C84),G84*(IF(F84=1,INDEX(in_ori_truck_20,1,C84),INDEX(in_ori_truck_40,1,C84))*V84/I84+INDEX(in_ori_terminal,1,C84)+IF(F84=1,INDEX(in_ori_othc_20,1,C84),INDEX(in_ori_othc_40,1,C84))*(1-INDEX(in_ori_othc_in_freight,1,C84))+INDEX(in_ori_seal,1,C84)+INDEX(in_ori_inspection,1,C84)+INDEX(in_ori_dd_days,1,C84)*IF(F84=1,INDEX(in_ori_dd_20,1,C84),INDEX(in_ori_dd_40,1,C84))+INDEX(in_ori_loading_egp,1,C84)/I84))</f>
        <v>555.278125165799</v>
      </c>
      <c r="AQ84" s="88" t="n">
        <f aca="false">(INDEX(in_ori_clearance,1,C84)+INDEX(in_ori_coo,1,C84))/I84+INDEX(in_ori_bl_fee,1,C84)+INDEX(in_ori_fwd_fee,1,C84)+INDEX(in_ori_qc,1,C84)+INDEX(in_ori_wires,1,C84)*INDEX(in_ori_wire_fee,1,C84)</f>
        <v>817.639062582899</v>
      </c>
      <c r="AR84" s="88" t="n">
        <f aca="false">AP84+AQ84</f>
        <v>1372.9171877487</v>
      </c>
      <c r="AS84" s="85" t="n">
        <f aca="false">INDEX(tbl_port_diff,H84,C84)</f>
        <v>100</v>
      </c>
      <c r="AT84" s="88" t="n">
        <f aca="false">IF(F84=4,MAX(AF84*INDEX(in_oce_lcl_factor,1,C84),AG84/1000,1)*INDEX(in_oce_lcl_rate,1,C84)*M84,G84*(INDEX(tbl_ocean_rate,MIN(F84,3),C84)+AS84)*M84)</f>
        <v>4100</v>
      </c>
      <c r="AU84" s="88" t="n">
        <f aca="false">AT84+INDEX(in_oce_ams,1,C84)</f>
        <v>4135</v>
      </c>
      <c r="AV84" s="88" t="n">
        <f aca="false">AI84*(1+IF(K84=3,INDEX(in_sup_vat_rate,1,C84),0))+AO84*Y84/AB84</f>
        <v>0</v>
      </c>
      <c r="AW84" s="88" t="n">
        <f aca="false">AJ84*(1+IF(K84=3,INDEX(in_sup_vat_rate,1,C84),0))+AO84*Z84/AB84</f>
        <v>10006.9540765668</v>
      </c>
      <c r="AX84" s="88" t="n">
        <f aca="false">AK84*(1+IF(K84=3,INDEX(in_sup_vat_rate,1,C84),0))+AO84*AA84/AB84</f>
        <v>0</v>
      </c>
      <c r="AY84" s="88" t="n">
        <f aca="false">AV84+AW84+AX84</f>
        <v>10006.9540765668</v>
      </c>
      <c r="AZ84" s="88" t="n">
        <f aca="false">MAX(INDEX(in_oce_ins_min,1,C84),INDEX(in_oce_ins_rate,1,C84)*(1+INDEX(in_oce_ins_uplift,1,C84))*(AL84+AO84+AR84+AU84))*(1-INDEX(in_oce_ins_in_other,1,C84))</f>
        <v>75</v>
      </c>
      <c r="BA84" s="87" t="n">
        <f aca="false">INDEX(in_cus_mfn,1,C84)+L84</f>
        <v>0.125</v>
      </c>
      <c r="BB84" s="88" t="n">
        <f aca="false">AY84*BA84</f>
        <v>1250.86925957086</v>
      </c>
      <c r="BC84" s="88" t="n">
        <f aca="false">MIN(MAX(AY84*INDEX(in_cus_mpf_rate,1,C84),INDEX(in_cus_mpf_min,1,C84)),INDEX(in_cus_mpf_max,1,C84))</f>
        <v>34.6640889212276</v>
      </c>
      <c r="BD84" s="88" t="n">
        <f aca="false">AY84*INDEX(in_cus_hmf,1,C84)</f>
        <v>12.5086925957086</v>
      </c>
      <c r="BE84" s="88" t="n">
        <f aca="false">MAX(INDEX(in_cus_stb_min,1,C84),INDEX(in_cus_stb_rate,1,C84)/1000*(AY84+BB84+BC84+BD84))</f>
        <v>75</v>
      </c>
      <c r="BF84" s="88" t="n">
        <f aca="false">INDEX(in_cus_broker,1,C84)+INDEX(in_cus_isf,1,C84)+INDEX(in_cus_do_fee,1,C84)+BE84+INDEX(in_cus_isf_bond,1,C84)</f>
        <v>510</v>
      </c>
      <c r="BG84" s="88" t="n">
        <f aca="false">IF(H84=1,INDEX(in_cus_cfc,1,C84)*INDEX(ct_teu,F84)*G84*(1-INDEX(in_cus_cfc_in_freight,1,C84)),0)</f>
        <v>0</v>
      </c>
      <c r="BH84" s="88" t="n">
        <f aca="false">IF(F84=4,1,G84)*(INDEX(in_cus_exam,1,C84)+INDEX(in_cus_exam_dray,1,C84))</f>
        <v>0</v>
      </c>
      <c r="BI84" s="88" t="n">
        <f aca="false">IF(F84=4,1,G84)*INDEX(in_cus_dem_days,1,C84)*INDEX(in_cus_dem_rate,1,C84)</f>
        <v>0</v>
      </c>
      <c r="BJ84" s="88" t="n">
        <f aca="false">BG84+BH84+BI84</f>
        <v>0</v>
      </c>
      <c r="BK84" s="88" t="n">
        <f aca="false">IF(F84=4,(INDEX(in_dra_lcl_cfs_d,1,C84)+INDEX(in_dra_lcl_deliv,1,C84))*P84,G84*(INDEX(tbl_dest_line,E84,C84)*P84*(1+INDEX(in_dra_fsc,1,C84))+INDEX(tbl_dest_tolls,E84,C84)+INDEX(in_dra_chassis_days,1,C84)*INDEX(tbl_dest_chassis,E84,C84)*(1-INDEX(in_dra_chassis_in_dray,1,C84))+INDEX(in_dra_wait_hours,1,C84)*INDEX(in_dra_wait_rate,1,C84)+INDEX(in_dra_split,1,C84)+INDEX(in_dra_prepull,1,C84)+INDEX(in_dra_dryrun,1,C84)))</f>
        <v>1970</v>
      </c>
      <c r="BL84" s="88" t="n">
        <f aca="false">IF(F84=4,0,G84*IF(F84=1,INDEX(in_dra_unload_20,1,C84),INDEX(in_dra_unload_40,1,C84))*Q84*(1-INDEX(in_dra_unload_in_dray,1,C84)))</f>
        <v>450</v>
      </c>
      <c r="BM84" s="88" t="n">
        <f aca="false">AL84+AN84+AO84+AR84+AU84+AZ84+BB84+BC84+BD84+BF84+BJ84+BK84+BL84</f>
        <v>19817.9133054033</v>
      </c>
      <c r="BN84" s="88" t="n">
        <f aca="false">AP84+AU84+BJ84+BK84+BL84</f>
        <v>7110.2781251658</v>
      </c>
      <c r="BO84" s="88" t="n">
        <f aca="false">AQ84+BF84</f>
        <v>1327.6390625829</v>
      </c>
      <c r="BP84" s="88" t="n">
        <f aca="false">AI84*(1+IF(K84=3,INDEX(in_sup_vat_rate,1,C84),0))+AO84*Y84/AB84+AV84*BA84+(BC84+BD84)*AV84/AY84+AZ84*AI84/AL84+BN84*AC84/AF84+BO84*Y84/AB84</f>
        <v>0</v>
      </c>
      <c r="BQ84" s="88" t="n">
        <f aca="false">AJ84*(1+IF(K84=3,INDEX(in_sup_vat_rate,1,C84),0))+AO84*Z84/AB84+AW84*BA84+(BC84+BD84)*AW84/AY84+AZ84*AJ84/AL84+BN84*AD84/AF84+BO84*Z84/AB84</f>
        <v>19817.9133054033</v>
      </c>
      <c r="BR84" s="88" t="n">
        <f aca="false">AK84*(1+IF(K84=3,INDEX(in_sup_vat_rate,1,C84),0))+AO84*AA84/AB84+AX84*BA84+(BC84+BD84)*AX84/AY84+AZ84*AK84/AL84+BN84*AE84/AF84+BO84*AA84/AB84</f>
        <v>0</v>
      </c>
      <c r="BS84" s="89" t="n">
        <f aca="false">BP84+BQ84+BR84-BM84</f>
        <v>0</v>
      </c>
      <c r="BT84" s="85" t="n">
        <f aca="false">Y84*(1-R84)</f>
        <v>0</v>
      </c>
      <c r="BU84" s="85" t="n">
        <f aca="false">Z84*(1-R84)</f>
        <v>65847.25</v>
      </c>
      <c r="BV84" s="85" t="n">
        <f aca="false">AA84*(1-R84)</f>
        <v>0</v>
      </c>
      <c r="BW84" s="85" t="n">
        <f aca="false">BT84+BU84+BV84</f>
        <v>65847.25</v>
      </c>
      <c r="BX84" s="90" t="n">
        <f aca="false">IF(BT84&gt;0,BP84/BT84,0)</f>
        <v>0</v>
      </c>
      <c r="BY84" s="90" t="n">
        <f aca="false">IF(BU84&gt;0,BQ84/BU84,0)</f>
        <v>0.300967972168972</v>
      </c>
      <c r="BZ84" s="90" t="n">
        <f aca="false">IF(BV84&gt;0,BR84/BV84,0)</f>
        <v>0</v>
      </c>
      <c r="CA84" s="90" t="n">
        <f aca="false">INDEX(in_mkt_listing_3464,1,C84)*(1-IF(sku_flute_3464="B",T84,0))*(1-S84)*N84</f>
        <v>0.234</v>
      </c>
      <c r="CB84" s="90" t="n">
        <f aca="false">INDEX(in_mkt_listing_3463,1,C84)*(1-IF(sku_flute_3463="B",T84,0))*(1-S84)*N84</f>
        <v>0.27</v>
      </c>
      <c r="CC84" s="90" t="n">
        <f aca="false">INDEX(in_mkt_listing_3460,1,C84)*(1-IF(sku_flute_3460="B",T84,0))*(1-S84)*N84</f>
        <v>0.225</v>
      </c>
      <c r="CD84" s="88" t="n">
        <f aca="false">BT84*CA84+BU84*CB84+BV84*CC84</f>
        <v>17778.7575</v>
      </c>
      <c r="CE84" s="88" t="n">
        <f aca="false">CD84-BM84</f>
        <v>-2039.15580540334</v>
      </c>
      <c r="CF84" s="87" t="n">
        <f aca="false">IF(CD84&gt;0,CE84/CD84,0)</f>
        <v>-0.114696193218415</v>
      </c>
      <c r="CG84" s="87" t="n">
        <f aca="false">W84+INDEX(in_sel_processing,1,C84)+INDEX(in_sel_bad_debt,1,C84)</f>
        <v>0.058</v>
      </c>
      <c r="CH84" s="88" t="n">
        <f aca="false">CD84*CG84</f>
        <v>1031.167935</v>
      </c>
      <c r="CI84" s="88" t="n">
        <f aca="false">INDEX(in_sel_testing,1,C84)*X84+INDEX(in_sel_admin,1,C84)</f>
        <v>3000</v>
      </c>
      <c r="CJ84" s="79" t="n">
        <f aca="false">INDEX(in_sup_lead_days,1,C84)</f>
        <v>21</v>
      </c>
      <c r="CK84" s="79" t="n">
        <f aca="false">CJ84+INDEX(in_oce_transit,1,C84)+IF(F84=4,INDEX(in_oce_lcl_extra_days,1,C84),0)</f>
        <v>51</v>
      </c>
      <c r="CL84" s="79" t="n">
        <f aca="false">CK84+2+INDEX(in_cus_dem_days,1,C84)</f>
        <v>53</v>
      </c>
      <c r="CM84" s="79" t="n">
        <f aca="false">CL84+U84</f>
        <v>98</v>
      </c>
      <c r="CN84" s="79" t="n">
        <f aca="false">CJ84+INDEX(in_sup_vat_lag,1,C84)</f>
        <v>81</v>
      </c>
      <c r="CO84" s="91" t="n">
        <f aca="false">INDEX(in_sup_advance,1,C84)</f>
        <v>0.5</v>
      </c>
      <c r="CP84" s="88" t="n">
        <f aca="false">CO84*(AL84+AM84)+AO84+INDEX(in_sel_testing,1,C84)*X84</f>
        <v>8203.9638236431</v>
      </c>
      <c r="CQ84" s="88" t="n">
        <f aca="false">(1-CO84)*(AL84+AM84)+AR84+AU84+AZ84</f>
        <v>11286.8810113918</v>
      </c>
      <c r="CR84" s="88" t="n">
        <f aca="false">BB84+BC84+BD84+BF84+BJ84</f>
        <v>1808.04204108779</v>
      </c>
      <c r="CS84" s="88" t="n">
        <f aca="false">BK84+BL84</f>
        <v>2420</v>
      </c>
      <c r="CT84" s="88" t="n">
        <f aca="false">IF(K84=2,AM84,0)</f>
        <v>1400.97357071936</v>
      </c>
      <c r="CU84" s="85" t="n">
        <f aca="false">IF(K84=2,CO84*AM84*(CN84-0)+(1-CO84)*AM84*(CN84-CJ84),0)</f>
        <v>98768.6367357148</v>
      </c>
      <c r="CV84" s="85" t="n">
        <f aca="false">(CP84-CO84*CT84)*(CM84-0)+(CQ84-(1-CO84)*CT84)*(CM84-CJ84)+CR84*(CM84-CK84)+CS84*(CM84-CL84)</f>
        <v>1744371.08108738</v>
      </c>
      <c r="CW84" s="88" t="n">
        <f aca="false">INDEX(in_sel_fin_rate,1,C84)/365*(CU84+CV84)</f>
        <v>504.969785704956</v>
      </c>
      <c r="CX84" s="85" t="n">
        <f aca="false">CP84-IF(CN84&lt;=0,CT84,0)</f>
        <v>8203.9638236431</v>
      </c>
      <c r="CY84" s="85" t="n">
        <f aca="false">CP84+CQ84-IF(CN84&lt;=CJ84,CT84,0)</f>
        <v>19490.8448350349</v>
      </c>
      <c r="CZ84" s="85" t="n">
        <f aca="false">CP84+CQ84+CR84-IF(CN84&lt;=CK84,CT84,0)</f>
        <v>21298.8868761227</v>
      </c>
      <c r="DA84" s="85" t="n">
        <f aca="false">CP84+CQ84+CR84+CS84-IF(CN84&lt;=CL84,CT84,0)</f>
        <v>23718.8868761227</v>
      </c>
      <c r="DB84" s="88" t="n">
        <f aca="false">MAX(CX84,CY84,CZ84,DA84)</f>
        <v>23718.8868761227</v>
      </c>
      <c r="DC84" s="88" t="n">
        <f aca="false">CP84+CQ84+CR84+CS84</f>
        <v>23718.8868761227</v>
      </c>
      <c r="DD84" s="88" t="n">
        <f aca="false">CE84-CH84-CI84-CW84</f>
        <v>-6575.29352610829</v>
      </c>
      <c r="DE84" s="87" t="n">
        <f aca="false">IF(CD84&gt;0,DD84/CD84,0)</f>
        <v>-0.369839879198999</v>
      </c>
      <c r="DF84" s="86" t="n">
        <f aca="false">IF(CD84&gt;0,(BM84+CI84+CW84)/(CD84*(1-CG84)),0)</f>
        <v>1.3926113367293</v>
      </c>
      <c r="DG84" s="90" t="n">
        <f aca="false">IF(BW84&gt;0,BM84/BW84,0)</f>
        <v>0.300967972168972</v>
      </c>
      <c r="DH84" s="90" t="n">
        <f aca="false">IF(BW84&gt;0,CD84/BW84,0)</f>
        <v>0.27</v>
      </c>
      <c r="DI84" s="90" t="n">
        <f aca="false">IF(AI84&gt;0,(AI84*IF(K84=3,INDEX(in_sup_vat_rate,1,C84),0)+AV84*BA84+(BC84+BD84)*AV84/AY84+AZ84*AI84/AL84)/AI84,0)</f>
        <v>0</v>
      </c>
      <c r="DJ84" s="90" t="n">
        <f aca="false">IF(AJ84&gt;0,(AJ84*IF(K84=3,INDEX(in_sup_vat_rate,1,C84),0)+AW84*BA84+(BC84+BD84)*AW84/AY84+AZ84*AJ84/AL84)/AJ84,0)</f>
        <v>0.137208788066993</v>
      </c>
      <c r="DK84" s="90" t="n">
        <f aca="false">IF(AK84&gt;0,(AK84*IF(K84=3,INDEX(in_sup_vat_rate,1,C84),0)+AX84*BA84+(BC84+BD84)*AX84/AY84+AZ84*AK84/AL84)/AK84,0)</f>
        <v>0</v>
      </c>
      <c r="DL84" s="90" t="n">
        <f aca="false">IF(Y84&gt;0,(BP84-AI84*(1+DI84))/Y84,0)</f>
        <v>0</v>
      </c>
      <c r="DM84" s="90" t="n">
        <f aca="false">IF(Z84&gt;0,(BQ84-AJ84*(1+DJ84))/Z84,0)</f>
        <v>0.126221648283451</v>
      </c>
      <c r="DN84" s="90" t="n">
        <f aca="false">IF(AA84&gt;0,(BR84-AK84*(1+DK84))/AA84,0)</f>
        <v>0</v>
      </c>
      <c r="DO84" s="86" t="str">
        <f aca="false">IF(Y84&gt;0,(CA84*(1-thr_gm_go)*(1-R84)-DL84)/(1+DI84)*I84/((1+AH84)*J84),"")</f>
        <v/>
      </c>
      <c r="DP84" s="86" t="n">
        <f aca="false">IF(Z84&gt;0,(CB84*(1-thr_gm_go)*(1-R84)-DM84)/(1+DJ84)*I84/((1+AH84)*J84),"")</f>
        <v>3.39891086116266</v>
      </c>
      <c r="DQ84" s="86" t="str">
        <f aca="false">IF(AA84&gt;0,(CC84*(1-thr_gm_go)*(1-R84)-DN84)/(1+DK84)*I84/((1+AH84)*J84),"")</f>
        <v/>
      </c>
      <c r="DR84" s="92" t="n">
        <f aca="false">IF(AND(AY84*INDEX(in_cus_mpf_rate,1,C84)&gt;INDEX(in_cus_mpf_min,1,C84),AY84*INDEX(in_cus_mpf_rate,1,C84)&lt;INDEX(in_cus_mpf_max,1,C84)),INDEX(in_cus_mpf_rate,1,C84),0)</f>
        <v>0.003464</v>
      </c>
      <c r="DS84" s="88" t="n">
        <f aca="false">IF(AZ84&gt;INDEX(in_oce_ins_min,1,C84),INDEX(in_oce_ins_rate,1,C84)*(1+INDEX(in_oce_ins_uplift,1,C84))*AL84,0)</f>
        <v>0</v>
      </c>
      <c r="DT84" s="88" t="n">
        <f aca="false">(AL84+AN84)*(1+BA84+INDEX(in_cus_hmf,1,C84)+DR84)+DS84</f>
        <v>11304.9961176546</v>
      </c>
      <c r="DU84" s="86" t="n">
        <f aca="false">IF(DT84&gt;0,(CD84*(1-thr_gm_go)-(BM84-DT84))/DT84,0)</f>
        <v>0.426461971952584</v>
      </c>
      <c r="DV84" s="86" t="n">
        <f aca="false">IF(DT84&gt;0,(CD84-(BM84-DT84))/DT84,0)</f>
        <v>0.819623484680472</v>
      </c>
      <c r="DW84" s="87" t="n">
        <f aca="false">(1+AH84)*J84*DU84-1</f>
        <v>-0.573538028047416</v>
      </c>
      <c r="DX84" s="87" t="n">
        <f aca="false">(1+AH84)*J84*DV84-1</f>
        <v>-0.180376515319528</v>
      </c>
      <c r="DY84" s="85" t="n">
        <f aca="false">IF(G84&gt;0,(CD84*(1-thr_gm_go)-(BM84-AT84))/G84,"")</f>
        <v>-2383.84518040334</v>
      </c>
      <c r="DZ84" s="90" t="n">
        <f aca="false">IF(AB84&gt;0,(AL84+AN84+BB84+BC84+BD84)/AB84,0)</f>
        <v>0.169109889568506</v>
      </c>
      <c r="EA84" s="88" t="n">
        <f aca="false">BM84-DZ84*AB84</f>
        <v>8512.9171877487</v>
      </c>
      <c r="EB84" s="90" t="n">
        <f aca="false">IF(AB84&gt;0,CD84/AB84,0)</f>
        <v>0.26595</v>
      </c>
      <c r="EC84" s="85" t="n">
        <f aca="false">IF(EB84*(1-thr_gm_go)-DZ84&gt;0,EA84/(EB84*(1-thr_gm_go)-DZ84),"n/a")</f>
        <v>280467.382104167</v>
      </c>
      <c r="ED84" s="85" t="n">
        <f aca="false">IF(EB84-DZ84&gt;0,EA84/(EB84-DZ84),"n/a")</f>
        <v>87906.9339121713</v>
      </c>
      <c r="EE84" s="93" t="b">
        <f aca="false">INDEX(cfg_fits,D84,C84)</f>
        <v>1</v>
      </c>
      <c r="EF84" s="87" t="n">
        <f aca="false">IF(F84=4,"",INDEX(cfg_lenutil,D84,C84))</f>
        <v>0.958927074601844</v>
      </c>
      <c r="EG84" s="31" t="str">
        <f aca="false">IF(O84&gt;1,"Check fit (units scaled up)","")</f>
        <v/>
      </c>
    </row>
    <row r="85" customFormat="false" ht="15" hidden="false" customHeight="false" outlineLevel="0" collapsed="false">
      <c r="A85" s="78" t="n">
        <v>2071</v>
      </c>
      <c r="B85" s="9" t="s">
        <v>3233</v>
      </c>
      <c r="C85" s="78" t="n">
        <v>2</v>
      </c>
      <c r="D85" s="78" t="n">
        <v>7</v>
      </c>
      <c r="E85" s="78" t="n">
        <v>1</v>
      </c>
      <c r="F85" s="79" t="n">
        <f aca="false">INDEX(cfg_ct,D85)</f>
        <v>3</v>
      </c>
      <c r="G85" s="79" t="n">
        <f aca="false">INDEX(cfg_n,D85)</f>
        <v>1</v>
      </c>
      <c r="H85" s="79" t="n">
        <f aca="false">INDEX(dest_port,E85)</f>
        <v>1</v>
      </c>
      <c r="I85" s="80" t="n">
        <f aca="false">INDEX(in_fx_cbe,1,C85)*(1-INDEX(in_fx_spread,1,C85))</f>
        <v>52.7748</v>
      </c>
      <c r="J85" s="81" t="n">
        <f aca="false">1</f>
        <v>1</v>
      </c>
      <c r="K85" s="82" t="n">
        <f aca="false">INDEX(in_sup_vat_mode,1,C85)</f>
        <v>2</v>
      </c>
      <c r="L85" s="83" t="n">
        <f aca="false">INDEX(in_cus_s301,1,C85)</f>
        <v>0.125</v>
      </c>
      <c r="M85" s="84" t="n">
        <f aca="false">1</f>
        <v>1</v>
      </c>
      <c r="N85" s="81" t="n">
        <f aca="false">1</f>
        <v>1</v>
      </c>
      <c r="O85" s="81" t="n">
        <f aca="false">1</f>
        <v>1</v>
      </c>
      <c r="P85" s="81" t="n">
        <f aca="false">1</f>
        <v>1</v>
      </c>
      <c r="Q85" s="81" t="n">
        <f aca="false">1</f>
        <v>1</v>
      </c>
      <c r="R85" s="83" t="n">
        <f aca="false">INDEX(in_sel_damage,1,C85)</f>
        <v>0.015</v>
      </c>
      <c r="S85" s="83" t="n">
        <f aca="false">INDEX(in_mkt_dist_margin,1,C85)</f>
        <v>0.25</v>
      </c>
      <c r="T85" s="83" t="n">
        <f aca="false">INDEX(in_mkt_eflute_disc,1,C85)</f>
        <v>0.2</v>
      </c>
      <c r="U85" s="82" t="n">
        <f aca="false">INDEX(in_sel_credit_days,1,C85)</f>
        <v>45</v>
      </c>
      <c r="V85" s="81" t="n">
        <f aca="false">1</f>
        <v>1</v>
      </c>
      <c r="W85" s="83" t="n">
        <f aca="false">INDEX(in_sel_commission,1,C85)</f>
        <v>0.05</v>
      </c>
      <c r="X85" s="82" t="n">
        <f aca="false">1</f>
        <v>1</v>
      </c>
      <c r="Y85" s="85" t="n">
        <f aca="false">INDEX(cfg_u_3464,D85,C85)*O85</f>
        <v>0</v>
      </c>
      <c r="Z85" s="85" t="n">
        <f aca="false">INDEX(cfg_u_3463,D85,C85)*O85</f>
        <v>0</v>
      </c>
      <c r="AA85" s="85" t="n">
        <f aca="false">INDEX(cfg_u_3460,D85,C85)*O85</f>
        <v>106400</v>
      </c>
      <c r="AB85" s="85" t="n">
        <f aca="false">Y85+Z85+AA85</f>
        <v>106400</v>
      </c>
      <c r="AC85" s="86" t="n">
        <f aca="false">Y85*INDEX(lg_vpu_3464,C85)</f>
        <v>0</v>
      </c>
      <c r="AD85" s="86" t="n">
        <f aca="false">Z85*INDEX(lg_vpu_3463,C85)</f>
        <v>0</v>
      </c>
      <c r="AE85" s="86" t="n">
        <f aca="false">AA85*INDEX(lg_vpu_3460,C85)</f>
        <v>60.4896768</v>
      </c>
      <c r="AF85" s="86" t="n">
        <f aca="false">AC85+AD85+AE85</f>
        <v>60.4896768</v>
      </c>
      <c r="AG85" s="85" t="n">
        <f aca="false">Y85*INDEX(lg_kpu_3464,C85)+Z85*INDEX(lg_kpu_3463,C85)+AA85*INDEX(lg_kpu_3460,C85)</f>
        <v>14562.4564288</v>
      </c>
      <c r="AH85" s="87" t="n">
        <f aca="false">INDEX(in_sup_requote,1,C85)</f>
        <v>0</v>
      </c>
      <c r="AI85" s="88" t="n">
        <f aca="false">Y85*q_price_3464*(1+AH85)*J85/I85</f>
        <v>0</v>
      </c>
      <c r="AJ85" s="88" t="n">
        <f aca="false">Z85*q_price_3463*(1+AH85)*J85/I85</f>
        <v>0</v>
      </c>
      <c r="AK85" s="88" t="n">
        <f aca="false">AA85*q_price_3460*(1+AH85)*J85/I85</f>
        <v>13911.1848836945</v>
      </c>
      <c r="AL85" s="88" t="n">
        <f aca="false">AI85+AJ85+AK85</f>
        <v>13911.1848836945</v>
      </c>
      <c r="AM85" s="88" t="n">
        <f aca="false">IF(OR(K85=2,K85=3),AL85*INDEX(in_sup_vat_rate,1,C85),0)</f>
        <v>1947.56588371723</v>
      </c>
      <c r="AN85" s="88" t="n">
        <f aca="false">IF(K85=3,AM85,0)</f>
        <v>0</v>
      </c>
      <c r="AO85" s="88" t="n">
        <f aca="false">INDEX(in_sup_tooling_egp,1,C85)/I85</f>
        <v>0</v>
      </c>
      <c r="AP85" s="88" t="n">
        <f aca="false">IF(F85=4,INDEX(in_ori_lcl_truck,1,C85)*V85/I85+INDEX(in_ori_lcl_cfs_o,1,C85),G85*(IF(F85=1,INDEX(in_ori_truck_20,1,C85),INDEX(in_ori_truck_40,1,C85))*V85/I85+INDEX(in_ori_terminal,1,C85)+IF(F85=1,INDEX(in_ori_othc_20,1,C85),INDEX(in_ori_othc_40,1,C85))*(1-INDEX(in_ori_othc_in_freight,1,C85))+INDEX(in_ori_seal,1,C85)+INDEX(in_ori_inspection,1,C85)+INDEX(in_ori_dd_days,1,C85)*IF(F85=1,INDEX(in_ori_dd_20,1,C85),INDEX(in_ori_dd_40,1,C85))+INDEX(in_ori_loading_egp,1,C85)/I85))</f>
        <v>555.278125165799</v>
      </c>
      <c r="AQ85" s="88" t="n">
        <f aca="false">(INDEX(in_ori_clearance,1,C85)+INDEX(in_ori_coo,1,C85))/I85+INDEX(in_ori_bl_fee,1,C85)+INDEX(in_ori_fwd_fee,1,C85)+INDEX(in_ori_qc,1,C85)+INDEX(in_ori_wires,1,C85)*INDEX(in_ori_wire_fee,1,C85)</f>
        <v>817.639062582899</v>
      </c>
      <c r="AR85" s="88" t="n">
        <f aca="false">AP85+AQ85</f>
        <v>1372.9171877487</v>
      </c>
      <c r="AS85" s="85" t="n">
        <f aca="false">INDEX(tbl_port_diff,H85,C85)</f>
        <v>0</v>
      </c>
      <c r="AT85" s="88" t="n">
        <f aca="false">IF(F85=4,MAX(AF85*INDEX(in_oce_lcl_factor,1,C85),AG85/1000,1)*INDEX(in_oce_lcl_rate,1,C85)*M85,G85*(INDEX(tbl_ocean_rate,MIN(F85,3),C85)+AS85)*M85)</f>
        <v>4000</v>
      </c>
      <c r="AU85" s="88" t="n">
        <f aca="false">AT85+INDEX(in_oce_ams,1,C85)</f>
        <v>4035</v>
      </c>
      <c r="AV85" s="88" t="n">
        <f aca="false">AI85*(1+IF(K85=3,INDEX(in_sup_vat_rate,1,C85),0))+AO85*Y85/AB85</f>
        <v>0</v>
      </c>
      <c r="AW85" s="88" t="n">
        <f aca="false">AJ85*(1+IF(K85=3,INDEX(in_sup_vat_rate,1,C85),0))+AO85*Z85/AB85</f>
        <v>0</v>
      </c>
      <c r="AX85" s="88" t="n">
        <f aca="false">AK85*(1+IF(K85=3,INDEX(in_sup_vat_rate,1,C85),0))+AO85*AA85/AB85</f>
        <v>13911.1848836945</v>
      </c>
      <c r="AY85" s="88" t="n">
        <f aca="false">AV85+AW85+AX85</f>
        <v>13911.1848836945</v>
      </c>
      <c r="AZ85" s="88" t="n">
        <f aca="false">MAX(INDEX(in_oce_ins_min,1,C85),INDEX(in_oce_ins_rate,1,C85)*(1+INDEX(in_oce_ins_uplift,1,C85))*(AL85+AO85+AR85+AU85))*(1-INDEX(in_oce_ins_in_other,1,C85))</f>
        <v>75</v>
      </c>
      <c r="BA85" s="87" t="n">
        <f aca="false">INDEX(in_cus_mfn,1,C85)+L85</f>
        <v>0.125</v>
      </c>
      <c r="BB85" s="88" t="n">
        <f aca="false">AY85*BA85</f>
        <v>1738.89811046181</v>
      </c>
      <c r="BC85" s="88" t="n">
        <f aca="false">MIN(MAX(AY85*INDEX(in_cus_mpf_rate,1,C85),INDEX(in_cus_mpf_min,1,C85)),INDEX(in_cus_mpf_max,1,C85))</f>
        <v>48.1883444371177</v>
      </c>
      <c r="BD85" s="88" t="n">
        <f aca="false">AY85*INDEX(in_cus_hmf,1,C85)</f>
        <v>17.3889811046181</v>
      </c>
      <c r="BE85" s="88" t="n">
        <f aca="false">MAX(INDEX(in_cus_stb_min,1,C85),INDEX(in_cus_stb_rate,1,C85)/1000*(AY85+BB85+BC85+BD85))</f>
        <v>94.2939619181882</v>
      </c>
      <c r="BF85" s="88" t="n">
        <f aca="false">INDEX(in_cus_broker,1,C85)+INDEX(in_cus_isf,1,C85)+INDEX(in_cus_do_fee,1,C85)+BE85+INDEX(in_cus_isf_bond,1,C85)</f>
        <v>529.293961918188</v>
      </c>
      <c r="BG85" s="88" t="n">
        <f aca="false">IF(H85=1,INDEX(in_cus_cfc,1,C85)*INDEX(ct_teu,F85)*G85*(1-INDEX(in_cus_cfc_in_freight,1,C85)),0)</f>
        <v>29.6</v>
      </c>
      <c r="BH85" s="88" t="n">
        <f aca="false">IF(F85=4,1,G85)*(INDEX(in_cus_exam,1,C85)+INDEX(in_cus_exam_dray,1,C85))</f>
        <v>0</v>
      </c>
      <c r="BI85" s="88" t="n">
        <f aca="false">IF(F85=4,1,G85)*INDEX(in_cus_dem_days,1,C85)*INDEX(in_cus_dem_rate,1,C85)</f>
        <v>0</v>
      </c>
      <c r="BJ85" s="88" t="n">
        <f aca="false">BG85+BH85+BI85</f>
        <v>29.6</v>
      </c>
      <c r="BK85" s="88" t="n">
        <f aca="false">IF(F85=4,(INDEX(in_dra_lcl_cfs_d,1,C85)+INDEX(in_dra_lcl_deliv,1,C85))*P85,G85*(INDEX(tbl_dest_line,E85,C85)*P85*(1+INDEX(in_dra_fsc,1,C85))+INDEX(tbl_dest_tolls,E85,C85)+INDEX(in_dra_chassis_days,1,C85)*INDEX(tbl_dest_chassis,E85,C85)*(1-INDEX(in_dra_chassis_in_dray,1,C85))+INDEX(in_dra_wait_hours,1,C85)*INDEX(in_dra_wait_rate,1,C85)+INDEX(in_dra_split,1,C85)+INDEX(in_dra_prepull,1,C85)+INDEX(in_dra_dryrun,1,C85)))</f>
        <v>1060</v>
      </c>
      <c r="BL85" s="88" t="n">
        <f aca="false">IF(F85=4,0,G85*IF(F85=1,INDEX(in_dra_unload_20,1,C85),INDEX(in_dra_unload_40,1,C85))*Q85*(1-INDEX(in_dra_unload_in_dray,1,C85)))</f>
        <v>450</v>
      </c>
      <c r="BM85" s="88" t="n">
        <f aca="false">AL85+AN85+AO85+AR85+AU85+AZ85+BB85+BC85+BD85+BF85+BJ85+BK85+BL85</f>
        <v>23267.4714693649</v>
      </c>
      <c r="BN85" s="88" t="n">
        <f aca="false">AP85+AU85+BJ85+BK85+BL85</f>
        <v>6129.8781251658</v>
      </c>
      <c r="BO85" s="88" t="n">
        <f aca="false">AQ85+BF85</f>
        <v>1346.93302450109</v>
      </c>
      <c r="BP85" s="88" t="n">
        <f aca="false">AI85*(1+IF(K85=3,INDEX(in_sup_vat_rate,1,C85),0))+AO85*Y85/AB85+AV85*BA85+(BC85+BD85)*AV85/AY85+AZ85*AI85/AL85+BN85*AC85/AF85+BO85*Y85/AB85</f>
        <v>0</v>
      </c>
      <c r="BQ85" s="88" t="n">
        <f aca="false">AJ85*(1+IF(K85=3,INDEX(in_sup_vat_rate,1,C85),0))+AO85*Z85/AB85+AW85*BA85+(BC85+BD85)*AW85/AY85+AZ85*AJ85/AL85+BN85*AD85/AF85+BO85*Z85/AB85</f>
        <v>0</v>
      </c>
      <c r="BR85" s="88" t="n">
        <f aca="false">AK85*(1+IF(K85=3,INDEX(in_sup_vat_rate,1,C85),0))+AO85*AA85/AB85+AX85*BA85+(BC85+BD85)*AX85/AY85+AZ85*AK85/AL85+BN85*AE85/AF85+BO85*AA85/AB85</f>
        <v>23267.4714693649</v>
      </c>
      <c r="BS85" s="89" t="n">
        <f aca="false">BP85+BQ85+BR85-BM85</f>
        <v>0</v>
      </c>
      <c r="BT85" s="85" t="n">
        <f aca="false">Y85*(1-R85)</f>
        <v>0</v>
      </c>
      <c r="BU85" s="85" t="n">
        <f aca="false">Z85*(1-R85)</f>
        <v>0</v>
      </c>
      <c r="BV85" s="85" t="n">
        <f aca="false">AA85*(1-R85)</f>
        <v>104804</v>
      </c>
      <c r="BW85" s="85" t="n">
        <f aca="false">BT85+BU85+BV85</f>
        <v>104804</v>
      </c>
      <c r="BX85" s="90" t="n">
        <f aca="false">IF(BT85&gt;0,BP85/BT85,0)</f>
        <v>0</v>
      </c>
      <c r="BY85" s="90" t="n">
        <f aca="false">IF(BU85&gt;0,BQ85/BU85,0)</f>
        <v>0</v>
      </c>
      <c r="BZ85" s="90" t="n">
        <f aca="false">IF(BV85&gt;0,BR85/BV85,0)</f>
        <v>0.222009383891502</v>
      </c>
      <c r="CA85" s="90" t="n">
        <f aca="false">INDEX(in_mkt_listing_3464,1,C85)*(1-IF(sku_flute_3464="B",T85,0))*(1-S85)*N85</f>
        <v>0.234</v>
      </c>
      <c r="CB85" s="90" t="n">
        <f aca="false">INDEX(in_mkt_listing_3463,1,C85)*(1-IF(sku_flute_3463="B",T85,0))*(1-S85)*N85</f>
        <v>0.27</v>
      </c>
      <c r="CC85" s="90" t="n">
        <f aca="false">INDEX(in_mkt_listing_3460,1,C85)*(1-IF(sku_flute_3460="B",T85,0))*(1-S85)*N85</f>
        <v>0.225</v>
      </c>
      <c r="CD85" s="88" t="n">
        <f aca="false">BT85*CA85+BU85*CB85+BV85*CC85</f>
        <v>23580.9</v>
      </c>
      <c r="CE85" s="88" t="n">
        <f aca="false">CD85-BM85</f>
        <v>313.428530635079</v>
      </c>
      <c r="CF85" s="87" t="n">
        <f aca="false">IF(CD85&gt;0,CE85/CD85,0)</f>
        <v>0.0132916271488823</v>
      </c>
      <c r="CG85" s="87" t="n">
        <f aca="false">W85+INDEX(in_sel_processing,1,C85)+INDEX(in_sel_bad_debt,1,C85)</f>
        <v>0.058</v>
      </c>
      <c r="CH85" s="88" t="n">
        <f aca="false">CD85*CG85</f>
        <v>1367.6922</v>
      </c>
      <c r="CI85" s="88" t="n">
        <f aca="false">INDEX(in_sel_testing,1,C85)*X85+INDEX(in_sel_admin,1,C85)</f>
        <v>3000</v>
      </c>
      <c r="CJ85" s="79" t="n">
        <f aca="false">INDEX(in_sup_lead_days,1,C85)</f>
        <v>21</v>
      </c>
      <c r="CK85" s="79" t="n">
        <f aca="false">CJ85+INDEX(in_oce_transit,1,C85)+IF(F85=4,INDEX(in_oce_lcl_extra_days,1,C85),0)</f>
        <v>51</v>
      </c>
      <c r="CL85" s="79" t="n">
        <f aca="false">CK85+2+INDEX(in_cus_dem_days,1,C85)</f>
        <v>53</v>
      </c>
      <c r="CM85" s="79" t="n">
        <f aca="false">CL85+U85</f>
        <v>98</v>
      </c>
      <c r="CN85" s="79" t="n">
        <f aca="false">CJ85+INDEX(in_sup_vat_lag,1,C85)</f>
        <v>81</v>
      </c>
      <c r="CO85" s="91" t="n">
        <f aca="false">INDEX(in_sup_advance,1,C85)</f>
        <v>0.5</v>
      </c>
      <c r="CP85" s="88" t="n">
        <f aca="false">CO85*(AL85+AM85)+AO85+INDEX(in_sel_testing,1,C85)*X85</f>
        <v>10429.3753837059</v>
      </c>
      <c r="CQ85" s="88" t="n">
        <f aca="false">(1-CO85)*(AL85+AM85)+AR85+AU85+AZ85</f>
        <v>13412.2925714546</v>
      </c>
      <c r="CR85" s="88" t="n">
        <f aca="false">BB85+BC85+BD85+BF85+BJ85</f>
        <v>2363.36939792174</v>
      </c>
      <c r="CS85" s="88" t="n">
        <f aca="false">BK85+BL85</f>
        <v>1510</v>
      </c>
      <c r="CT85" s="88" t="n">
        <f aca="false">IF(K85=2,AM85,0)</f>
        <v>1947.56588371723</v>
      </c>
      <c r="CU85" s="85" t="n">
        <f aca="false">IF(K85=2,CO85*AM85*(CN85-0)+(1-CO85)*AM85*(CN85-CJ85),0)</f>
        <v>137303.394802065</v>
      </c>
      <c r="CV85" s="85" t="n">
        <f aca="false">(CP85-CO85*CT85)*(CM85-0)+(CQ85-(1-CO85)*CT85)*(CM85-CJ85)+CR85*(CM85-CK85)+CS85*(CM85-CL85)</f>
        <v>2063441.66248224</v>
      </c>
      <c r="CW85" s="88" t="n">
        <f aca="false">INDEX(in_sel_fin_rate,1,C85)/365*(CU85+CV85)</f>
        <v>602.943851310768</v>
      </c>
      <c r="CX85" s="85" t="n">
        <f aca="false">CP85-IF(CN85&lt;=0,CT85,0)</f>
        <v>10429.3753837059</v>
      </c>
      <c r="CY85" s="85" t="n">
        <f aca="false">CP85+CQ85-IF(CN85&lt;=CJ85,CT85,0)</f>
        <v>23841.6679551604</v>
      </c>
      <c r="CZ85" s="85" t="n">
        <f aca="false">CP85+CQ85+CR85-IF(CN85&lt;=CK85,CT85,0)</f>
        <v>26205.0373530822</v>
      </c>
      <c r="DA85" s="85" t="n">
        <f aca="false">CP85+CQ85+CR85+CS85-IF(CN85&lt;=CL85,CT85,0)</f>
        <v>27715.0373530822</v>
      </c>
      <c r="DB85" s="88" t="n">
        <f aca="false">MAX(CX85,CY85,CZ85,DA85)</f>
        <v>27715.0373530822</v>
      </c>
      <c r="DC85" s="88" t="n">
        <f aca="false">CP85+CQ85+CR85+CS85</f>
        <v>27715.0373530822</v>
      </c>
      <c r="DD85" s="88" t="n">
        <f aca="false">CE85-CH85-CI85-CW85</f>
        <v>-4657.20752067569</v>
      </c>
      <c r="DE85" s="87" t="n">
        <f aca="false">IF(CD85&gt;0,DD85/CD85,0)</f>
        <v>-0.197499142130949</v>
      </c>
      <c r="DF85" s="86" t="n">
        <f aca="false">IF(CD85&gt;0,(BM85+CI85+CW85)/(CD85*(1-CG85)),0)</f>
        <v>1.2096593865509</v>
      </c>
      <c r="DG85" s="90" t="n">
        <f aca="false">IF(BW85&gt;0,BM85/BW85,0)</f>
        <v>0.222009383891501</v>
      </c>
      <c r="DH85" s="90" t="n">
        <f aca="false">IF(BW85&gt;0,CD85/BW85,0)</f>
        <v>0.225</v>
      </c>
      <c r="DI85" s="90" t="n">
        <f aca="false">IF(AI85&gt;0,(AI85*IF(K85=3,INDEX(in_sup_vat_rate,1,C85),0)+AV85*BA85+(BC85+BD85)*AV85/AY85+AZ85*AI85/AL85)/AI85,0)</f>
        <v>0</v>
      </c>
      <c r="DJ85" s="90" t="n">
        <f aca="false">IF(AJ85&gt;0,(AJ85*IF(K85=3,INDEX(in_sup_vat_rate,1,C85),0)+AW85*BA85+(BC85+BD85)*AW85/AY85+AZ85*AJ85/AL85)/AJ85,0)</f>
        <v>0</v>
      </c>
      <c r="DK85" s="90" t="n">
        <f aca="false">IF(AK85&gt;0,(AK85*IF(K85=3,INDEX(in_sup_vat_rate,1,C85),0)+AX85*BA85+(BC85+BD85)*AX85/AY85+AZ85*AK85/AL85)/AK85,0)</f>
        <v>0.135105345210853</v>
      </c>
      <c r="DL85" s="90" t="n">
        <f aca="false">IF(Y85&gt;0,(BP85-AI85*(1+DI85))/Y85,0)</f>
        <v>0</v>
      </c>
      <c r="DM85" s="90" t="n">
        <f aca="false">IF(Z85&gt;0,(BQ85-AJ85*(1+DJ85))/Z85,0)</f>
        <v>0</v>
      </c>
      <c r="DN85" s="90" t="n">
        <f aca="false">IF(AA85&gt;0,(BR85-AK85*(1+DK85))/AA85,0)</f>
        <v>0.0702707814818316</v>
      </c>
      <c r="DO85" s="86" t="str">
        <f aca="false">IF(Y85&gt;0,(CA85*(1-thr_gm_go)*(1-R85)-DL85)/(1+DI85)*I85/((1+AH85)*J85),"")</f>
        <v/>
      </c>
      <c r="DP85" s="86" t="str">
        <f aca="false">IF(Z85&gt;0,(CB85*(1-thr_gm_go)*(1-R85)-DM85)/(1+DJ85)*I85/((1+AH85)*J85),"")</f>
        <v/>
      </c>
      <c r="DQ85" s="86" t="n">
        <f aca="false">IF(AA85&gt;0,(CC85*(1-thr_gm_go)*(1-R85)-DN85)/(1+DK85)*I85/((1+AH85)*J85),"")</f>
        <v>4.46093824711223</v>
      </c>
      <c r="DR85" s="92" t="n">
        <f aca="false">IF(AND(AY85*INDEX(in_cus_mpf_rate,1,C85)&gt;INDEX(in_cus_mpf_min,1,C85),AY85*INDEX(in_cus_mpf_rate,1,C85)&lt;INDEX(in_cus_mpf_max,1,C85)),INDEX(in_cus_mpf_rate,1,C85),0)</f>
        <v>0.003464</v>
      </c>
      <c r="DS85" s="88" t="n">
        <f aca="false">IF(AZ85&gt;INDEX(in_oce_ins_min,1,C85),INDEX(in_oce_ins_rate,1,C85)*(1+INDEX(in_oce_ins_uplift,1,C85))*AL85,0)</f>
        <v>0</v>
      </c>
      <c r="DT85" s="88" t="n">
        <f aca="false">(AL85+AN85)*(1+BA85+INDEX(in_cus_hmf,1,C85)+DR85)+DS85</f>
        <v>15715.660319698</v>
      </c>
      <c r="DU85" s="86" t="n">
        <f aca="false">IF(DT85&gt;0,(CD85*(1-thr_gm_go)-(BM85-DT85))/DT85,0)</f>
        <v>0.644825838951947</v>
      </c>
      <c r="DV85" s="86" t="n">
        <f aca="false">IF(DT85&gt;0,(CD85-(BM85-DT85))/DT85,0)</f>
        <v>1.0199437073759</v>
      </c>
      <c r="DW85" s="87" t="n">
        <f aca="false">(1+AH85)*J85*DU85-1</f>
        <v>-0.355174161048053</v>
      </c>
      <c r="DX85" s="87" t="n">
        <f aca="false">(1+AH85)*J85*DV85-1</f>
        <v>0.0199437073758986</v>
      </c>
      <c r="DY85" s="85" t="n">
        <f aca="false">IF(G85&gt;0,(CD85*(1-thr_gm_go)-(BM85-AT85))/G85,"")</f>
        <v>-1581.79646936492</v>
      </c>
      <c r="DZ85" s="90" t="n">
        <f aca="false">IF(AB85&gt;0,(AL85+AN85+BB85+BC85+BD85)/AB85,0)</f>
        <v>0.147703574433252</v>
      </c>
      <c r="EA85" s="88" t="n">
        <f aca="false">BM85-DZ85*AB85</f>
        <v>7551.81114966688</v>
      </c>
      <c r="EB85" s="90" t="n">
        <f aca="false">IF(AB85&gt;0,CD85/AB85,0)</f>
        <v>0.221625</v>
      </c>
      <c r="EC85" s="85" t="n">
        <f aca="false">IF(EB85*(1-thr_gm_go)-DZ85&gt;0,EA85/(EB85*(1-thr_gm_go)-DZ85),"n/a")</f>
        <v>407871.430786188</v>
      </c>
      <c r="ED85" s="85" t="n">
        <f aca="false">IF(EB85-DZ85&gt;0,EA85/(EB85-DZ85),"n/a")</f>
        <v>102159.977188859</v>
      </c>
      <c r="EE85" s="93" t="b">
        <f aca="false">INDEX(cfg_fits,D85,C85)</f>
        <v>1</v>
      </c>
      <c r="EF85" s="87" t="n">
        <f aca="false">IF(F85=4,"",INDEX(cfg_lenutil,D85,C85))</f>
        <v>0.985750209555742</v>
      </c>
      <c r="EG85" s="31" t="str">
        <f aca="false">IF(O85&gt;1,"Check fit (units scaled up)","")</f>
        <v/>
      </c>
    </row>
    <row r="86" customFormat="false" ht="15" hidden="false" customHeight="false" outlineLevel="0" collapsed="false">
      <c r="A86" s="78" t="n">
        <v>2072</v>
      </c>
      <c r="B86" s="9" t="s">
        <v>3234</v>
      </c>
      <c r="C86" s="78" t="n">
        <v>2</v>
      </c>
      <c r="D86" s="78" t="n">
        <v>7</v>
      </c>
      <c r="E86" s="78" t="n">
        <v>2</v>
      </c>
      <c r="F86" s="79" t="n">
        <f aca="false">INDEX(cfg_ct,D86)</f>
        <v>3</v>
      </c>
      <c r="G86" s="79" t="n">
        <f aca="false">INDEX(cfg_n,D86)</f>
        <v>1</v>
      </c>
      <c r="H86" s="79" t="n">
        <f aca="false">INDEX(dest_port,E86)</f>
        <v>1</v>
      </c>
      <c r="I86" s="80" t="n">
        <f aca="false">INDEX(in_fx_cbe,1,C86)*(1-INDEX(in_fx_spread,1,C86))</f>
        <v>52.7748</v>
      </c>
      <c r="J86" s="81" t="n">
        <f aca="false">1</f>
        <v>1</v>
      </c>
      <c r="K86" s="82" t="n">
        <f aca="false">INDEX(in_sup_vat_mode,1,C86)</f>
        <v>2</v>
      </c>
      <c r="L86" s="83" t="n">
        <f aca="false">INDEX(in_cus_s301,1,C86)</f>
        <v>0.125</v>
      </c>
      <c r="M86" s="84" t="n">
        <f aca="false">1</f>
        <v>1</v>
      </c>
      <c r="N86" s="81" t="n">
        <f aca="false">1</f>
        <v>1</v>
      </c>
      <c r="O86" s="81" t="n">
        <f aca="false">1</f>
        <v>1</v>
      </c>
      <c r="P86" s="81" t="n">
        <f aca="false">1</f>
        <v>1</v>
      </c>
      <c r="Q86" s="81" t="n">
        <f aca="false">1</f>
        <v>1</v>
      </c>
      <c r="R86" s="83" t="n">
        <f aca="false">INDEX(in_sel_damage,1,C86)</f>
        <v>0.015</v>
      </c>
      <c r="S86" s="83" t="n">
        <f aca="false">INDEX(in_mkt_dist_margin,1,C86)</f>
        <v>0.25</v>
      </c>
      <c r="T86" s="83" t="n">
        <f aca="false">INDEX(in_mkt_eflute_disc,1,C86)</f>
        <v>0.2</v>
      </c>
      <c r="U86" s="82" t="n">
        <f aca="false">INDEX(in_sel_credit_days,1,C86)</f>
        <v>45</v>
      </c>
      <c r="V86" s="81" t="n">
        <f aca="false">1</f>
        <v>1</v>
      </c>
      <c r="W86" s="83" t="n">
        <f aca="false">INDEX(in_sel_commission,1,C86)</f>
        <v>0.05</v>
      </c>
      <c r="X86" s="82" t="n">
        <f aca="false">1</f>
        <v>1</v>
      </c>
      <c r="Y86" s="85" t="n">
        <f aca="false">INDEX(cfg_u_3464,D86,C86)*O86</f>
        <v>0</v>
      </c>
      <c r="Z86" s="85" t="n">
        <f aca="false">INDEX(cfg_u_3463,D86,C86)*O86</f>
        <v>0</v>
      </c>
      <c r="AA86" s="85" t="n">
        <f aca="false">INDEX(cfg_u_3460,D86,C86)*O86</f>
        <v>106400</v>
      </c>
      <c r="AB86" s="85" t="n">
        <f aca="false">Y86+Z86+AA86</f>
        <v>106400</v>
      </c>
      <c r="AC86" s="86" t="n">
        <f aca="false">Y86*INDEX(lg_vpu_3464,C86)</f>
        <v>0</v>
      </c>
      <c r="AD86" s="86" t="n">
        <f aca="false">Z86*INDEX(lg_vpu_3463,C86)</f>
        <v>0</v>
      </c>
      <c r="AE86" s="86" t="n">
        <f aca="false">AA86*INDEX(lg_vpu_3460,C86)</f>
        <v>60.4896768</v>
      </c>
      <c r="AF86" s="86" t="n">
        <f aca="false">AC86+AD86+AE86</f>
        <v>60.4896768</v>
      </c>
      <c r="AG86" s="85" t="n">
        <f aca="false">Y86*INDEX(lg_kpu_3464,C86)+Z86*INDEX(lg_kpu_3463,C86)+AA86*INDEX(lg_kpu_3460,C86)</f>
        <v>14562.4564288</v>
      </c>
      <c r="AH86" s="87" t="n">
        <f aca="false">INDEX(in_sup_requote,1,C86)</f>
        <v>0</v>
      </c>
      <c r="AI86" s="88" t="n">
        <f aca="false">Y86*q_price_3464*(1+AH86)*J86/I86</f>
        <v>0</v>
      </c>
      <c r="AJ86" s="88" t="n">
        <f aca="false">Z86*q_price_3463*(1+AH86)*J86/I86</f>
        <v>0</v>
      </c>
      <c r="AK86" s="88" t="n">
        <f aca="false">AA86*q_price_3460*(1+AH86)*J86/I86</f>
        <v>13911.1848836945</v>
      </c>
      <c r="AL86" s="88" t="n">
        <f aca="false">AI86+AJ86+AK86</f>
        <v>13911.1848836945</v>
      </c>
      <c r="AM86" s="88" t="n">
        <f aca="false">IF(OR(K86=2,K86=3),AL86*INDEX(in_sup_vat_rate,1,C86),0)</f>
        <v>1947.56588371723</v>
      </c>
      <c r="AN86" s="88" t="n">
        <f aca="false">IF(K86=3,AM86,0)</f>
        <v>0</v>
      </c>
      <c r="AO86" s="88" t="n">
        <f aca="false">INDEX(in_sup_tooling_egp,1,C86)/I86</f>
        <v>0</v>
      </c>
      <c r="AP86" s="88" t="n">
        <f aca="false">IF(F86=4,INDEX(in_ori_lcl_truck,1,C86)*V86/I86+INDEX(in_ori_lcl_cfs_o,1,C86),G86*(IF(F86=1,INDEX(in_ori_truck_20,1,C86),INDEX(in_ori_truck_40,1,C86))*V86/I86+INDEX(in_ori_terminal,1,C86)+IF(F86=1,INDEX(in_ori_othc_20,1,C86),INDEX(in_ori_othc_40,1,C86))*(1-INDEX(in_ori_othc_in_freight,1,C86))+INDEX(in_ori_seal,1,C86)+INDEX(in_ori_inspection,1,C86)+INDEX(in_ori_dd_days,1,C86)*IF(F86=1,INDEX(in_ori_dd_20,1,C86),INDEX(in_ori_dd_40,1,C86))+INDEX(in_ori_loading_egp,1,C86)/I86))</f>
        <v>555.278125165799</v>
      </c>
      <c r="AQ86" s="88" t="n">
        <f aca="false">(INDEX(in_ori_clearance,1,C86)+INDEX(in_ori_coo,1,C86))/I86+INDEX(in_ori_bl_fee,1,C86)+INDEX(in_ori_fwd_fee,1,C86)+INDEX(in_ori_qc,1,C86)+INDEX(in_ori_wires,1,C86)*INDEX(in_ori_wire_fee,1,C86)</f>
        <v>817.639062582899</v>
      </c>
      <c r="AR86" s="88" t="n">
        <f aca="false">AP86+AQ86</f>
        <v>1372.9171877487</v>
      </c>
      <c r="AS86" s="85" t="n">
        <f aca="false">INDEX(tbl_port_diff,H86,C86)</f>
        <v>0</v>
      </c>
      <c r="AT86" s="88" t="n">
        <f aca="false">IF(F86=4,MAX(AF86*INDEX(in_oce_lcl_factor,1,C86),AG86/1000,1)*INDEX(in_oce_lcl_rate,1,C86)*M86,G86*(INDEX(tbl_ocean_rate,MIN(F86,3),C86)+AS86)*M86)</f>
        <v>4000</v>
      </c>
      <c r="AU86" s="88" t="n">
        <f aca="false">AT86+INDEX(in_oce_ams,1,C86)</f>
        <v>4035</v>
      </c>
      <c r="AV86" s="88" t="n">
        <f aca="false">AI86*(1+IF(K86=3,INDEX(in_sup_vat_rate,1,C86),0))+AO86*Y86/AB86</f>
        <v>0</v>
      </c>
      <c r="AW86" s="88" t="n">
        <f aca="false">AJ86*(1+IF(K86=3,INDEX(in_sup_vat_rate,1,C86),0))+AO86*Z86/AB86</f>
        <v>0</v>
      </c>
      <c r="AX86" s="88" t="n">
        <f aca="false">AK86*(1+IF(K86=3,INDEX(in_sup_vat_rate,1,C86),0))+AO86*AA86/AB86</f>
        <v>13911.1848836945</v>
      </c>
      <c r="AY86" s="88" t="n">
        <f aca="false">AV86+AW86+AX86</f>
        <v>13911.1848836945</v>
      </c>
      <c r="AZ86" s="88" t="n">
        <f aca="false">MAX(INDEX(in_oce_ins_min,1,C86),INDEX(in_oce_ins_rate,1,C86)*(1+INDEX(in_oce_ins_uplift,1,C86))*(AL86+AO86+AR86+AU86))*(1-INDEX(in_oce_ins_in_other,1,C86))</f>
        <v>75</v>
      </c>
      <c r="BA86" s="87" t="n">
        <f aca="false">INDEX(in_cus_mfn,1,C86)+L86</f>
        <v>0.125</v>
      </c>
      <c r="BB86" s="88" t="n">
        <f aca="false">AY86*BA86</f>
        <v>1738.89811046181</v>
      </c>
      <c r="BC86" s="88" t="n">
        <f aca="false">MIN(MAX(AY86*INDEX(in_cus_mpf_rate,1,C86),INDEX(in_cus_mpf_min,1,C86)),INDEX(in_cus_mpf_max,1,C86))</f>
        <v>48.1883444371177</v>
      </c>
      <c r="BD86" s="88" t="n">
        <f aca="false">AY86*INDEX(in_cus_hmf,1,C86)</f>
        <v>17.3889811046181</v>
      </c>
      <c r="BE86" s="88" t="n">
        <f aca="false">MAX(INDEX(in_cus_stb_min,1,C86),INDEX(in_cus_stb_rate,1,C86)/1000*(AY86+BB86+BC86+BD86))</f>
        <v>94.2939619181882</v>
      </c>
      <c r="BF86" s="88" t="n">
        <f aca="false">INDEX(in_cus_broker,1,C86)+INDEX(in_cus_isf,1,C86)+INDEX(in_cus_do_fee,1,C86)+BE86+INDEX(in_cus_isf_bond,1,C86)</f>
        <v>529.293961918188</v>
      </c>
      <c r="BG86" s="88" t="n">
        <f aca="false">IF(H86=1,INDEX(in_cus_cfc,1,C86)*INDEX(ct_teu,F86)*G86*(1-INDEX(in_cus_cfc_in_freight,1,C86)),0)</f>
        <v>29.6</v>
      </c>
      <c r="BH86" s="88" t="n">
        <f aca="false">IF(F86=4,1,G86)*(INDEX(in_cus_exam,1,C86)+INDEX(in_cus_exam_dray,1,C86))</f>
        <v>0</v>
      </c>
      <c r="BI86" s="88" t="n">
        <f aca="false">IF(F86=4,1,G86)*INDEX(in_cus_dem_days,1,C86)*INDEX(in_cus_dem_rate,1,C86)</f>
        <v>0</v>
      </c>
      <c r="BJ86" s="88" t="n">
        <f aca="false">BG86+BH86+BI86</f>
        <v>29.6</v>
      </c>
      <c r="BK86" s="88" t="n">
        <f aca="false">IF(F86=4,(INDEX(in_dra_lcl_cfs_d,1,C86)+INDEX(in_dra_lcl_deliv,1,C86))*P86,G86*(INDEX(tbl_dest_line,E86,C86)*P86*(1+INDEX(in_dra_fsc,1,C86))+INDEX(tbl_dest_tolls,E86,C86)+INDEX(in_dra_chassis_days,1,C86)*INDEX(tbl_dest_chassis,E86,C86)*(1-INDEX(in_dra_chassis_in_dray,1,C86))+INDEX(in_dra_wait_hours,1,C86)*INDEX(in_dra_wait_rate,1,C86)+INDEX(in_dra_split,1,C86)+INDEX(in_dra_prepull,1,C86)+INDEX(in_dra_dryrun,1,C86)))</f>
        <v>1350</v>
      </c>
      <c r="BL86" s="88" t="n">
        <f aca="false">IF(F86=4,0,G86*IF(F86=1,INDEX(in_dra_unload_20,1,C86),INDEX(in_dra_unload_40,1,C86))*Q86*(1-INDEX(in_dra_unload_in_dray,1,C86)))</f>
        <v>450</v>
      </c>
      <c r="BM86" s="88" t="n">
        <f aca="false">AL86+AN86+AO86+AR86+AU86+AZ86+BB86+BC86+BD86+BF86+BJ86+BK86+BL86</f>
        <v>23557.4714693649</v>
      </c>
      <c r="BN86" s="88" t="n">
        <f aca="false">AP86+AU86+BJ86+BK86+BL86</f>
        <v>6419.8781251658</v>
      </c>
      <c r="BO86" s="88" t="n">
        <f aca="false">AQ86+BF86</f>
        <v>1346.93302450109</v>
      </c>
      <c r="BP86" s="88" t="n">
        <f aca="false">AI86*(1+IF(K86=3,INDEX(in_sup_vat_rate,1,C86),0))+AO86*Y86/AB86+AV86*BA86+(BC86+BD86)*AV86/AY86+AZ86*AI86/AL86+BN86*AC86/AF86+BO86*Y86/AB86</f>
        <v>0</v>
      </c>
      <c r="BQ86" s="88" t="n">
        <f aca="false">AJ86*(1+IF(K86=3,INDEX(in_sup_vat_rate,1,C86),0))+AO86*Z86/AB86+AW86*BA86+(BC86+BD86)*AW86/AY86+AZ86*AJ86/AL86+BN86*AD86/AF86+BO86*Z86/AB86</f>
        <v>0</v>
      </c>
      <c r="BR86" s="88" t="n">
        <f aca="false">AK86*(1+IF(K86=3,INDEX(in_sup_vat_rate,1,C86),0))+AO86*AA86/AB86+AX86*BA86+(BC86+BD86)*AX86/AY86+AZ86*AK86/AL86+BN86*AE86/AF86+BO86*AA86/AB86</f>
        <v>23557.4714693649</v>
      </c>
      <c r="BS86" s="89" t="n">
        <f aca="false">BP86+BQ86+BR86-BM86</f>
        <v>0</v>
      </c>
      <c r="BT86" s="85" t="n">
        <f aca="false">Y86*(1-R86)</f>
        <v>0</v>
      </c>
      <c r="BU86" s="85" t="n">
        <f aca="false">Z86*(1-R86)</f>
        <v>0</v>
      </c>
      <c r="BV86" s="85" t="n">
        <f aca="false">AA86*(1-R86)</f>
        <v>104804</v>
      </c>
      <c r="BW86" s="85" t="n">
        <f aca="false">BT86+BU86+BV86</f>
        <v>104804</v>
      </c>
      <c r="BX86" s="90" t="n">
        <f aca="false">IF(BT86&gt;0,BP86/BT86,0)</f>
        <v>0</v>
      </c>
      <c r="BY86" s="90" t="n">
        <f aca="false">IF(BU86&gt;0,BQ86/BU86,0)</f>
        <v>0</v>
      </c>
      <c r="BZ86" s="90" t="n">
        <f aca="false">IF(BV86&gt;0,BR86/BV86,0)</f>
        <v>0.224776453850663</v>
      </c>
      <c r="CA86" s="90" t="n">
        <f aca="false">INDEX(in_mkt_listing_3464,1,C86)*(1-IF(sku_flute_3464="B",T86,0))*(1-S86)*N86</f>
        <v>0.234</v>
      </c>
      <c r="CB86" s="90" t="n">
        <f aca="false">INDEX(in_mkt_listing_3463,1,C86)*(1-IF(sku_flute_3463="B",T86,0))*(1-S86)*N86</f>
        <v>0.27</v>
      </c>
      <c r="CC86" s="90" t="n">
        <f aca="false">INDEX(in_mkt_listing_3460,1,C86)*(1-IF(sku_flute_3460="B",T86,0))*(1-S86)*N86</f>
        <v>0.225</v>
      </c>
      <c r="CD86" s="88" t="n">
        <f aca="false">BT86*CA86+BU86*CB86+BV86*CC86</f>
        <v>23580.9</v>
      </c>
      <c r="CE86" s="88" t="n">
        <f aca="false">CD86-BM86</f>
        <v>23.4285306350794</v>
      </c>
      <c r="CF86" s="87" t="n">
        <f aca="false">IF(CD86&gt;0,CE86/CD86,0)</f>
        <v>0.000993538441496269</v>
      </c>
      <c r="CG86" s="87" t="n">
        <f aca="false">W86+INDEX(in_sel_processing,1,C86)+INDEX(in_sel_bad_debt,1,C86)</f>
        <v>0.058</v>
      </c>
      <c r="CH86" s="88" t="n">
        <f aca="false">CD86*CG86</f>
        <v>1367.6922</v>
      </c>
      <c r="CI86" s="88" t="n">
        <f aca="false">INDEX(in_sel_testing,1,C86)*X86+INDEX(in_sel_admin,1,C86)</f>
        <v>3000</v>
      </c>
      <c r="CJ86" s="79" t="n">
        <f aca="false">INDEX(in_sup_lead_days,1,C86)</f>
        <v>21</v>
      </c>
      <c r="CK86" s="79" t="n">
        <f aca="false">CJ86+INDEX(in_oce_transit,1,C86)+IF(F86=4,INDEX(in_oce_lcl_extra_days,1,C86),0)</f>
        <v>51</v>
      </c>
      <c r="CL86" s="79" t="n">
        <f aca="false">CK86+2+INDEX(in_cus_dem_days,1,C86)</f>
        <v>53</v>
      </c>
      <c r="CM86" s="79" t="n">
        <f aca="false">CL86+U86</f>
        <v>98</v>
      </c>
      <c r="CN86" s="79" t="n">
        <f aca="false">CJ86+INDEX(in_sup_vat_lag,1,C86)</f>
        <v>81</v>
      </c>
      <c r="CO86" s="91" t="n">
        <f aca="false">INDEX(in_sup_advance,1,C86)</f>
        <v>0.5</v>
      </c>
      <c r="CP86" s="88" t="n">
        <f aca="false">CO86*(AL86+AM86)+AO86+INDEX(in_sel_testing,1,C86)*X86</f>
        <v>10429.3753837059</v>
      </c>
      <c r="CQ86" s="88" t="n">
        <f aca="false">(1-CO86)*(AL86+AM86)+AR86+AU86+AZ86</f>
        <v>13412.2925714546</v>
      </c>
      <c r="CR86" s="88" t="n">
        <f aca="false">BB86+BC86+BD86+BF86+BJ86</f>
        <v>2363.36939792174</v>
      </c>
      <c r="CS86" s="88" t="n">
        <f aca="false">BK86+BL86</f>
        <v>1800</v>
      </c>
      <c r="CT86" s="88" t="n">
        <f aca="false">IF(K86=2,AM86,0)</f>
        <v>1947.56588371723</v>
      </c>
      <c r="CU86" s="85" t="n">
        <f aca="false">IF(K86=2,CO86*AM86*(CN86-0)+(1-CO86)*AM86*(CN86-CJ86),0)</f>
        <v>137303.394802065</v>
      </c>
      <c r="CV86" s="85" t="n">
        <f aca="false">(CP86-CO86*CT86)*(CM86-0)+(CQ86-(1-CO86)*CT86)*(CM86-CJ86)+CR86*(CM86-CK86)+CS86*(CM86-CL86)</f>
        <v>2076491.66248224</v>
      </c>
      <c r="CW86" s="88" t="n">
        <f aca="false">INDEX(in_sel_fin_rate,1,C86)/365*(CU86+CV86)</f>
        <v>606.519193776522</v>
      </c>
      <c r="CX86" s="85" t="n">
        <f aca="false">CP86-IF(CN86&lt;=0,CT86,0)</f>
        <v>10429.3753837059</v>
      </c>
      <c r="CY86" s="85" t="n">
        <f aca="false">CP86+CQ86-IF(CN86&lt;=CJ86,CT86,0)</f>
        <v>23841.6679551604</v>
      </c>
      <c r="CZ86" s="85" t="n">
        <f aca="false">CP86+CQ86+CR86-IF(CN86&lt;=CK86,CT86,0)</f>
        <v>26205.0373530822</v>
      </c>
      <c r="DA86" s="85" t="n">
        <f aca="false">CP86+CQ86+CR86+CS86-IF(CN86&lt;=CL86,CT86,0)</f>
        <v>28005.0373530822</v>
      </c>
      <c r="DB86" s="88" t="n">
        <f aca="false">MAX(CX86,CY86,CZ86,DA86)</f>
        <v>28005.0373530822</v>
      </c>
      <c r="DC86" s="88" t="n">
        <f aca="false">CP86+CQ86+CR86+CS86</f>
        <v>28005.0373530822</v>
      </c>
      <c r="DD86" s="88" t="n">
        <f aca="false">CE86-CH86-CI86-CW86</f>
        <v>-4950.78286314144</v>
      </c>
      <c r="DE86" s="87" t="n">
        <f aca="false">IF(CD86&gt;0,DD86/CD86,0)</f>
        <v>-0.20994885111007</v>
      </c>
      <c r="DF86" s="86" t="n">
        <f aca="false">IF(CD86&gt;0,(BM86+CI86+CW86)/(CD86*(1-CG86)),0)</f>
        <v>1.22287563812109</v>
      </c>
      <c r="DG86" s="90" t="n">
        <f aca="false">IF(BW86&gt;0,BM86/BW86,0)</f>
        <v>0.224776453850663</v>
      </c>
      <c r="DH86" s="90" t="n">
        <f aca="false">IF(BW86&gt;0,CD86/BW86,0)</f>
        <v>0.225</v>
      </c>
      <c r="DI86" s="90" t="n">
        <f aca="false">IF(AI86&gt;0,(AI86*IF(K86=3,INDEX(in_sup_vat_rate,1,C86),0)+AV86*BA86+(BC86+BD86)*AV86/AY86+AZ86*AI86/AL86)/AI86,0)</f>
        <v>0</v>
      </c>
      <c r="DJ86" s="90" t="n">
        <f aca="false">IF(AJ86&gt;0,(AJ86*IF(K86=3,INDEX(in_sup_vat_rate,1,C86),0)+AW86*BA86+(BC86+BD86)*AW86/AY86+AZ86*AJ86/AL86)/AJ86,0)</f>
        <v>0</v>
      </c>
      <c r="DK86" s="90" t="n">
        <f aca="false">IF(AK86&gt;0,(AK86*IF(K86=3,INDEX(in_sup_vat_rate,1,C86),0)+AX86*BA86+(BC86+BD86)*AX86/AY86+AZ86*AK86/AL86)/AK86,0)</f>
        <v>0.135105345210853</v>
      </c>
      <c r="DL86" s="90" t="n">
        <f aca="false">IF(Y86&gt;0,(BP86-AI86*(1+DI86))/Y86,0)</f>
        <v>0</v>
      </c>
      <c r="DM86" s="90" t="n">
        <f aca="false">IF(Z86&gt;0,(BQ86-AJ86*(1+DJ86))/Z86,0)</f>
        <v>0</v>
      </c>
      <c r="DN86" s="90" t="n">
        <f aca="false">IF(AA86&gt;0,(BR86-AK86*(1+DK86))/AA86,0)</f>
        <v>0.0729963453916061</v>
      </c>
      <c r="DO86" s="86" t="str">
        <f aca="false">IF(Y86&gt;0,(CA86*(1-thr_gm_go)*(1-R86)-DL86)/(1+DI86)*I86/((1+AH86)*J86),"")</f>
        <v/>
      </c>
      <c r="DP86" s="86" t="str">
        <f aca="false">IF(Z86&gt;0,(CB86*(1-thr_gm_go)*(1-R86)-DM86)/(1+DJ86)*I86/((1+AH86)*J86),"")</f>
        <v/>
      </c>
      <c r="DQ86" s="86" t="n">
        <f aca="false">IF(AA86&gt;0,(CC86*(1-thr_gm_go)*(1-R86)-DN86)/(1+DK86)*I86/((1+AH86)*J86),"")</f>
        <v>4.33421777060981</v>
      </c>
      <c r="DR86" s="92" t="n">
        <f aca="false">IF(AND(AY86*INDEX(in_cus_mpf_rate,1,C86)&gt;INDEX(in_cus_mpf_min,1,C86),AY86*INDEX(in_cus_mpf_rate,1,C86)&lt;INDEX(in_cus_mpf_max,1,C86)),INDEX(in_cus_mpf_rate,1,C86),0)</f>
        <v>0.003464</v>
      </c>
      <c r="DS86" s="88" t="n">
        <f aca="false">IF(AZ86&gt;INDEX(in_oce_ins_min,1,C86),INDEX(in_oce_ins_rate,1,C86)*(1+INDEX(in_oce_ins_uplift,1,C86))*AL86,0)</f>
        <v>0</v>
      </c>
      <c r="DT86" s="88" t="n">
        <f aca="false">(AL86+AN86)*(1+BA86+INDEX(in_cus_hmf,1,C86)+DR86)+DS86</f>
        <v>15715.660319698</v>
      </c>
      <c r="DU86" s="86" t="n">
        <f aca="false">IF(DT86&gt;0,(CD86*(1-thr_gm_go)-(BM86-DT86))/DT86,0)</f>
        <v>0.626372907665534</v>
      </c>
      <c r="DV86" s="86" t="n">
        <f aca="false">IF(DT86&gt;0,(CD86-(BM86-DT86))/DT86,0)</f>
        <v>1.00149077608949</v>
      </c>
      <c r="DW86" s="87" t="n">
        <f aca="false">(1+AH86)*J86*DU86-1</f>
        <v>-0.373627092334466</v>
      </c>
      <c r="DX86" s="87" t="n">
        <f aca="false">(1+AH86)*J86*DV86-1</f>
        <v>0.00149077608948534</v>
      </c>
      <c r="DY86" s="85" t="n">
        <f aca="false">IF(G86&gt;0,(CD86*(1-thr_gm_go)-(BM86-AT86))/G86,"")</f>
        <v>-1871.79646936492</v>
      </c>
      <c r="DZ86" s="90" t="n">
        <f aca="false">IF(AB86&gt;0,(AL86+AN86+BB86+BC86+BD86)/AB86,0)</f>
        <v>0.147703574433252</v>
      </c>
      <c r="EA86" s="88" t="n">
        <f aca="false">BM86-DZ86*AB86</f>
        <v>7841.81114966688</v>
      </c>
      <c r="EB86" s="90" t="n">
        <f aca="false">IF(AB86&gt;0,CD86/AB86,0)</f>
        <v>0.221625</v>
      </c>
      <c r="EC86" s="85" t="n">
        <f aca="false">IF(EB86*(1-thr_gm_go)-DZ86&gt;0,EA86/(EB86*(1-thr_gm_go)-DZ86),"n/a")</f>
        <v>423534.258230332</v>
      </c>
      <c r="ED86" s="85" t="n">
        <f aca="false">IF(EB86-DZ86&gt;0,EA86/(EB86-DZ86),"n/a")</f>
        <v>106083.061704297</v>
      </c>
      <c r="EE86" s="93" t="b">
        <f aca="false">INDEX(cfg_fits,D86,C86)</f>
        <v>1</v>
      </c>
      <c r="EF86" s="87" t="n">
        <f aca="false">IF(F86=4,"",INDEX(cfg_lenutil,D86,C86))</f>
        <v>0.985750209555742</v>
      </c>
      <c r="EG86" s="31" t="str">
        <f aca="false">IF(O86&gt;1,"Check fit (units scaled up)","")</f>
        <v/>
      </c>
    </row>
    <row r="87" customFormat="false" ht="15" hidden="false" customHeight="false" outlineLevel="0" collapsed="false">
      <c r="A87" s="78" t="n">
        <v>2073</v>
      </c>
      <c r="B87" s="9" t="s">
        <v>3235</v>
      </c>
      <c r="C87" s="78" t="n">
        <v>2</v>
      </c>
      <c r="D87" s="78" t="n">
        <v>7</v>
      </c>
      <c r="E87" s="78" t="n">
        <v>3</v>
      </c>
      <c r="F87" s="79" t="n">
        <f aca="false">INDEX(cfg_ct,D87)</f>
        <v>3</v>
      </c>
      <c r="G87" s="79" t="n">
        <f aca="false">INDEX(cfg_n,D87)</f>
        <v>1</v>
      </c>
      <c r="H87" s="79" t="n">
        <f aca="false">INDEX(dest_port,E87)</f>
        <v>2</v>
      </c>
      <c r="I87" s="80" t="n">
        <f aca="false">INDEX(in_fx_cbe,1,C87)*(1-INDEX(in_fx_spread,1,C87))</f>
        <v>52.7748</v>
      </c>
      <c r="J87" s="81" t="n">
        <f aca="false">1</f>
        <v>1</v>
      </c>
      <c r="K87" s="82" t="n">
        <f aca="false">INDEX(in_sup_vat_mode,1,C87)</f>
        <v>2</v>
      </c>
      <c r="L87" s="83" t="n">
        <f aca="false">INDEX(in_cus_s301,1,C87)</f>
        <v>0.125</v>
      </c>
      <c r="M87" s="84" t="n">
        <f aca="false">1</f>
        <v>1</v>
      </c>
      <c r="N87" s="81" t="n">
        <f aca="false">1</f>
        <v>1</v>
      </c>
      <c r="O87" s="81" t="n">
        <f aca="false">1</f>
        <v>1</v>
      </c>
      <c r="P87" s="81" t="n">
        <f aca="false">1</f>
        <v>1</v>
      </c>
      <c r="Q87" s="81" t="n">
        <f aca="false">1</f>
        <v>1</v>
      </c>
      <c r="R87" s="83" t="n">
        <f aca="false">INDEX(in_sel_damage,1,C87)</f>
        <v>0.015</v>
      </c>
      <c r="S87" s="83" t="n">
        <f aca="false">INDEX(in_mkt_dist_margin,1,C87)</f>
        <v>0.25</v>
      </c>
      <c r="T87" s="83" t="n">
        <f aca="false">INDEX(in_mkt_eflute_disc,1,C87)</f>
        <v>0.2</v>
      </c>
      <c r="U87" s="82" t="n">
        <f aca="false">INDEX(in_sel_credit_days,1,C87)</f>
        <v>45</v>
      </c>
      <c r="V87" s="81" t="n">
        <f aca="false">1</f>
        <v>1</v>
      </c>
      <c r="W87" s="83" t="n">
        <f aca="false">INDEX(in_sel_commission,1,C87)</f>
        <v>0.05</v>
      </c>
      <c r="X87" s="82" t="n">
        <f aca="false">1</f>
        <v>1</v>
      </c>
      <c r="Y87" s="85" t="n">
        <f aca="false">INDEX(cfg_u_3464,D87,C87)*O87</f>
        <v>0</v>
      </c>
      <c r="Z87" s="85" t="n">
        <f aca="false">INDEX(cfg_u_3463,D87,C87)*O87</f>
        <v>0</v>
      </c>
      <c r="AA87" s="85" t="n">
        <f aca="false">INDEX(cfg_u_3460,D87,C87)*O87</f>
        <v>106400</v>
      </c>
      <c r="AB87" s="85" t="n">
        <f aca="false">Y87+Z87+AA87</f>
        <v>106400</v>
      </c>
      <c r="AC87" s="86" t="n">
        <f aca="false">Y87*INDEX(lg_vpu_3464,C87)</f>
        <v>0</v>
      </c>
      <c r="AD87" s="86" t="n">
        <f aca="false">Z87*INDEX(lg_vpu_3463,C87)</f>
        <v>0</v>
      </c>
      <c r="AE87" s="86" t="n">
        <f aca="false">AA87*INDEX(lg_vpu_3460,C87)</f>
        <v>60.4896768</v>
      </c>
      <c r="AF87" s="86" t="n">
        <f aca="false">AC87+AD87+AE87</f>
        <v>60.4896768</v>
      </c>
      <c r="AG87" s="85" t="n">
        <f aca="false">Y87*INDEX(lg_kpu_3464,C87)+Z87*INDEX(lg_kpu_3463,C87)+AA87*INDEX(lg_kpu_3460,C87)</f>
        <v>14562.4564288</v>
      </c>
      <c r="AH87" s="87" t="n">
        <f aca="false">INDEX(in_sup_requote,1,C87)</f>
        <v>0</v>
      </c>
      <c r="AI87" s="88" t="n">
        <f aca="false">Y87*q_price_3464*(1+AH87)*J87/I87</f>
        <v>0</v>
      </c>
      <c r="AJ87" s="88" t="n">
        <f aca="false">Z87*q_price_3463*(1+AH87)*J87/I87</f>
        <v>0</v>
      </c>
      <c r="AK87" s="88" t="n">
        <f aca="false">AA87*q_price_3460*(1+AH87)*J87/I87</f>
        <v>13911.1848836945</v>
      </c>
      <c r="AL87" s="88" t="n">
        <f aca="false">AI87+AJ87+AK87</f>
        <v>13911.1848836945</v>
      </c>
      <c r="AM87" s="88" t="n">
        <f aca="false">IF(OR(K87=2,K87=3),AL87*INDEX(in_sup_vat_rate,1,C87),0)</f>
        <v>1947.56588371723</v>
      </c>
      <c r="AN87" s="88" t="n">
        <f aca="false">IF(K87=3,AM87,0)</f>
        <v>0</v>
      </c>
      <c r="AO87" s="88" t="n">
        <f aca="false">INDEX(in_sup_tooling_egp,1,C87)/I87</f>
        <v>0</v>
      </c>
      <c r="AP87" s="88" t="n">
        <f aca="false">IF(F87=4,INDEX(in_ori_lcl_truck,1,C87)*V87/I87+INDEX(in_ori_lcl_cfs_o,1,C87),G87*(IF(F87=1,INDEX(in_ori_truck_20,1,C87),INDEX(in_ori_truck_40,1,C87))*V87/I87+INDEX(in_ori_terminal,1,C87)+IF(F87=1,INDEX(in_ori_othc_20,1,C87),INDEX(in_ori_othc_40,1,C87))*(1-INDEX(in_ori_othc_in_freight,1,C87))+INDEX(in_ori_seal,1,C87)+INDEX(in_ori_inspection,1,C87)+INDEX(in_ori_dd_days,1,C87)*IF(F87=1,INDEX(in_ori_dd_20,1,C87),INDEX(in_ori_dd_40,1,C87))+INDEX(in_ori_loading_egp,1,C87)/I87))</f>
        <v>555.278125165799</v>
      </c>
      <c r="AQ87" s="88" t="n">
        <f aca="false">(INDEX(in_ori_clearance,1,C87)+INDEX(in_ori_coo,1,C87))/I87+INDEX(in_ori_bl_fee,1,C87)+INDEX(in_ori_fwd_fee,1,C87)+INDEX(in_ori_qc,1,C87)+INDEX(in_ori_wires,1,C87)*INDEX(in_ori_wire_fee,1,C87)</f>
        <v>817.639062582899</v>
      </c>
      <c r="AR87" s="88" t="n">
        <f aca="false">AP87+AQ87</f>
        <v>1372.9171877487</v>
      </c>
      <c r="AS87" s="85" t="n">
        <f aca="false">INDEX(tbl_port_diff,H87,C87)</f>
        <v>150</v>
      </c>
      <c r="AT87" s="88" t="n">
        <f aca="false">IF(F87=4,MAX(AF87*INDEX(in_oce_lcl_factor,1,C87),AG87/1000,1)*INDEX(in_oce_lcl_rate,1,C87)*M87,G87*(INDEX(tbl_ocean_rate,MIN(F87,3),C87)+AS87)*M87)</f>
        <v>4150</v>
      </c>
      <c r="AU87" s="88" t="n">
        <f aca="false">AT87+INDEX(in_oce_ams,1,C87)</f>
        <v>4185</v>
      </c>
      <c r="AV87" s="88" t="n">
        <f aca="false">AI87*(1+IF(K87=3,INDEX(in_sup_vat_rate,1,C87),0))+AO87*Y87/AB87</f>
        <v>0</v>
      </c>
      <c r="AW87" s="88" t="n">
        <f aca="false">AJ87*(1+IF(K87=3,INDEX(in_sup_vat_rate,1,C87),0))+AO87*Z87/AB87</f>
        <v>0</v>
      </c>
      <c r="AX87" s="88" t="n">
        <f aca="false">AK87*(1+IF(K87=3,INDEX(in_sup_vat_rate,1,C87),0))+AO87*AA87/AB87</f>
        <v>13911.1848836945</v>
      </c>
      <c r="AY87" s="88" t="n">
        <f aca="false">AV87+AW87+AX87</f>
        <v>13911.1848836945</v>
      </c>
      <c r="AZ87" s="88" t="n">
        <f aca="false">MAX(INDEX(in_oce_ins_min,1,C87),INDEX(in_oce_ins_rate,1,C87)*(1+INDEX(in_oce_ins_uplift,1,C87))*(AL87+AO87+AR87+AU87))*(1-INDEX(in_oce_ins_in_other,1,C87))</f>
        <v>75</v>
      </c>
      <c r="BA87" s="87" t="n">
        <f aca="false">INDEX(in_cus_mfn,1,C87)+L87</f>
        <v>0.125</v>
      </c>
      <c r="BB87" s="88" t="n">
        <f aca="false">AY87*BA87</f>
        <v>1738.89811046181</v>
      </c>
      <c r="BC87" s="88" t="n">
        <f aca="false">MIN(MAX(AY87*INDEX(in_cus_mpf_rate,1,C87),INDEX(in_cus_mpf_min,1,C87)),INDEX(in_cus_mpf_max,1,C87))</f>
        <v>48.1883444371177</v>
      </c>
      <c r="BD87" s="88" t="n">
        <f aca="false">AY87*INDEX(in_cus_hmf,1,C87)</f>
        <v>17.3889811046181</v>
      </c>
      <c r="BE87" s="88" t="n">
        <f aca="false">MAX(INDEX(in_cus_stb_min,1,C87),INDEX(in_cus_stb_rate,1,C87)/1000*(AY87+BB87+BC87+BD87))</f>
        <v>94.2939619181882</v>
      </c>
      <c r="BF87" s="88" t="n">
        <f aca="false">INDEX(in_cus_broker,1,C87)+INDEX(in_cus_isf,1,C87)+INDEX(in_cus_do_fee,1,C87)+BE87+INDEX(in_cus_isf_bond,1,C87)</f>
        <v>529.293961918188</v>
      </c>
      <c r="BG87" s="88" t="n">
        <f aca="false">IF(H87=1,INDEX(in_cus_cfc,1,C87)*INDEX(ct_teu,F87)*G87*(1-INDEX(in_cus_cfc_in_freight,1,C87)),0)</f>
        <v>0</v>
      </c>
      <c r="BH87" s="88" t="n">
        <f aca="false">IF(F87=4,1,G87)*(INDEX(in_cus_exam,1,C87)+INDEX(in_cus_exam_dray,1,C87))</f>
        <v>0</v>
      </c>
      <c r="BI87" s="88" t="n">
        <f aca="false">IF(F87=4,1,G87)*INDEX(in_cus_dem_days,1,C87)*INDEX(in_cus_dem_rate,1,C87)</f>
        <v>0</v>
      </c>
      <c r="BJ87" s="88" t="n">
        <f aca="false">BG87+BH87+BI87</f>
        <v>0</v>
      </c>
      <c r="BK87" s="88" t="n">
        <f aca="false">IF(F87=4,(INDEX(in_dra_lcl_cfs_d,1,C87)+INDEX(in_dra_lcl_deliv,1,C87))*P87,G87*(INDEX(tbl_dest_line,E87,C87)*P87*(1+INDEX(in_dra_fsc,1,C87))+INDEX(tbl_dest_tolls,E87,C87)+INDEX(in_dra_chassis_days,1,C87)*INDEX(tbl_dest_chassis,E87,C87)*(1-INDEX(in_dra_chassis_in_dray,1,C87))+INDEX(in_dra_wait_hours,1,C87)*INDEX(in_dra_wait_rate,1,C87)+INDEX(in_dra_split,1,C87)+INDEX(in_dra_prepull,1,C87)+INDEX(in_dra_dryrun,1,C87)))</f>
        <v>904</v>
      </c>
      <c r="BL87" s="88" t="n">
        <f aca="false">IF(F87=4,0,G87*IF(F87=1,INDEX(in_dra_unload_20,1,C87),INDEX(in_dra_unload_40,1,C87))*Q87*(1-INDEX(in_dra_unload_in_dray,1,C87)))</f>
        <v>450</v>
      </c>
      <c r="BM87" s="88" t="n">
        <f aca="false">AL87+AN87+AO87+AR87+AU87+AZ87+BB87+BC87+BD87+BF87+BJ87+BK87+BL87</f>
        <v>23231.8714693649</v>
      </c>
      <c r="BN87" s="88" t="n">
        <f aca="false">AP87+AU87+BJ87+BK87+BL87</f>
        <v>6094.2781251658</v>
      </c>
      <c r="BO87" s="88" t="n">
        <f aca="false">AQ87+BF87</f>
        <v>1346.93302450109</v>
      </c>
      <c r="BP87" s="88" t="n">
        <f aca="false">AI87*(1+IF(K87=3,INDEX(in_sup_vat_rate,1,C87),0))+AO87*Y87/AB87+AV87*BA87+(BC87+BD87)*AV87/AY87+AZ87*AI87/AL87+BN87*AC87/AF87+BO87*Y87/AB87</f>
        <v>0</v>
      </c>
      <c r="BQ87" s="88" t="n">
        <f aca="false">AJ87*(1+IF(K87=3,INDEX(in_sup_vat_rate,1,C87),0))+AO87*Z87/AB87+AW87*BA87+(BC87+BD87)*AW87/AY87+AZ87*AJ87/AL87+BN87*AD87/AF87+BO87*Z87/AB87</f>
        <v>0</v>
      </c>
      <c r="BR87" s="88" t="n">
        <f aca="false">AK87*(1+IF(K87=3,INDEX(in_sup_vat_rate,1,C87),0))+AO87*AA87/AB87+AX87*BA87+(BC87+BD87)*AX87/AY87+AZ87*AK87/AL87+BN87*AE87/AF87+BO87*AA87/AB87</f>
        <v>23231.8714693649</v>
      </c>
      <c r="BS87" s="89" t="n">
        <f aca="false">BP87+BQ87+BR87-BM87</f>
        <v>0</v>
      </c>
      <c r="BT87" s="85" t="n">
        <f aca="false">Y87*(1-R87)</f>
        <v>0</v>
      </c>
      <c r="BU87" s="85" t="n">
        <f aca="false">Z87*(1-R87)</f>
        <v>0</v>
      </c>
      <c r="BV87" s="85" t="n">
        <f aca="false">AA87*(1-R87)</f>
        <v>104804</v>
      </c>
      <c r="BW87" s="85" t="n">
        <f aca="false">BT87+BU87+BV87</f>
        <v>104804</v>
      </c>
      <c r="BX87" s="90" t="n">
        <f aca="false">IF(BT87&gt;0,BP87/BT87,0)</f>
        <v>0</v>
      </c>
      <c r="BY87" s="90" t="n">
        <f aca="false">IF(BU87&gt;0,BQ87/BU87,0)</f>
        <v>0</v>
      </c>
      <c r="BZ87" s="90" t="n">
        <f aca="false">IF(BV87&gt;0,BR87/BV87,0)</f>
        <v>0.221669702199963</v>
      </c>
      <c r="CA87" s="90" t="n">
        <f aca="false">INDEX(in_mkt_listing_3464,1,C87)*(1-IF(sku_flute_3464="B",T87,0))*(1-S87)*N87</f>
        <v>0.234</v>
      </c>
      <c r="CB87" s="90" t="n">
        <f aca="false">INDEX(in_mkt_listing_3463,1,C87)*(1-IF(sku_flute_3463="B",T87,0))*(1-S87)*N87</f>
        <v>0.27</v>
      </c>
      <c r="CC87" s="90" t="n">
        <f aca="false">INDEX(in_mkt_listing_3460,1,C87)*(1-IF(sku_flute_3460="B",T87,0))*(1-S87)*N87</f>
        <v>0.225</v>
      </c>
      <c r="CD87" s="88" t="n">
        <f aca="false">BT87*CA87+BU87*CB87+BV87*CC87</f>
        <v>23580.9</v>
      </c>
      <c r="CE87" s="88" t="n">
        <f aca="false">CD87-BM87</f>
        <v>349.028530635078</v>
      </c>
      <c r="CF87" s="87" t="n">
        <f aca="false">IF(CD87&gt;0,CE87/CD87,0)</f>
        <v>0.01480132355572</v>
      </c>
      <c r="CG87" s="87" t="n">
        <f aca="false">W87+INDEX(in_sel_processing,1,C87)+INDEX(in_sel_bad_debt,1,C87)</f>
        <v>0.058</v>
      </c>
      <c r="CH87" s="88" t="n">
        <f aca="false">CD87*CG87</f>
        <v>1367.6922</v>
      </c>
      <c r="CI87" s="88" t="n">
        <f aca="false">INDEX(in_sel_testing,1,C87)*X87+INDEX(in_sel_admin,1,C87)</f>
        <v>3000</v>
      </c>
      <c r="CJ87" s="79" t="n">
        <f aca="false">INDEX(in_sup_lead_days,1,C87)</f>
        <v>21</v>
      </c>
      <c r="CK87" s="79" t="n">
        <f aca="false">CJ87+INDEX(in_oce_transit,1,C87)+IF(F87=4,INDEX(in_oce_lcl_extra_days,1,C87),0)</f>
        <v>51</v>
      </c>
      <c r="CL87" s="79" t="n">
        <f aca="false">CK87+2+INDEX(in_cus_dem_days,1,C87)</f>
        <v>53</v>
      </c>
      <c r="CM87" s="79" t="n">
        <f aca="false">CL87+U87</f>
        <v>98</v>
      </c>
      <c r="CN87" s="79" t="n">
        <f aca="false">CJ87+INDEX(in_sup_vat_lag,1,C87)</f>
        <v>81</v>
      </c>
      <c r="CO87" s="91" t="n">
        <f aca="false">INDEX(in_sup_advance,1,C87)</f>
        <v>0.5</v>
      </c>
      <c r="CP87" s="88" t="n">
        <f aca="false">CO87*(AL87+AM87)+AO87+INDEX(in_sel_testing,1,C87)*X87</f>
        <v>10429.3753837059</v>
      </c>
      <c r="CQ87" s="88" t="n">
        <f aca="false">(1-CO87)*(AL87+AM87)+AR87+AU87+AZ87</f>
        <v>13562.2925714546</v>
      </c>
      <c r="CR87" s="88" t="n">
        <f aca="false">BB87+BC87+BD87+BF87+BJ87</f>
        <v>2333.76939792174</v>
      </c>
      <c r="CS87" s="88" t="n">
        <f aca="false">BK87+BL87</f>
        <v>1354</v>
      </c>
      <c r="CT87" s="88" t="n">
        <f aca="false">IF(K87=2,AM87,0)</f>
        <v>1947.56588371723</v>
      </c>
      <c r="CU87" s="85" t="n">
        <f aca="false">IF(K87=2,CO87*AM87*(CN87-0)+(1-CO87)*AM87*(CN87-CJ87),0)</f>
        <v>137303.394802065</v>
      </c>
      <c r="CV87" s="85" t="n">
        <f aca="false">(CP87-CO87*CT87)*(CM87-0)+(CQ87-(1-CO87)*CT87)*(CM87-CJ87)+CR87*(CM87-CK87)+CS87*(CM87-CL87)</f>
        <v>2066580.46248224</v>
      </c>
      <c r="CW87" s="88" t="n">
        <f aca="false">INDEX(in_sel_fin_rate,1,C87)/365*(CU87+CV87)</f>
        <v>603.803796516248</v>
      </c>
      <c r="CX87" s="85" t="n">
        <f aca="false">CP87-IF(CN87&lt;=0,CT87,0)</f>
        <v>10429.3753837059</v>
      </c>
      <c r="CY87" s="85" t="n">
        <f aca="false">CP87+CQ87-IF(CN87&lt;=CJ87,CT87,0)</f>
        <v>23991.6679551604</v>
      </c>
      <c r="CZ87" s="85" t="n">
        <f aca="false">CP87+CQ87+CR87-IF(CN87&lt;=CK87,CT87,0)</f>
        <v>26325.4373530822</v>
      </c>
      <c r="DA87" s="85" t="n">
        <f aca="false">CP87+CQ87+CR87+CS87-IF(CN87&lt;=CL87,CT87,0)</f>
        <v>27679.4373530822</v>
      </c>
      <c r="DB87" s="88" t="n">
        <f aca="false">MAX(CX87,CY87,CZ87,DA87)</f>
        <v>27679.4373530822</v>
      </c>
      <c r="DC87" s="88" t="n">
        <f aca="false">CP87+CQ87+CR87+CS87</f>
        <v>27679.4373530822</v>
      </c>
      <c r="DD87" s="88" t="n">
        <f aca="false">CE87-CH87-CI87-CW87</f>
        <v>-4622.46746588117</v>
      </c>
      <c r="DE87" s="87" t="n">
        <f aca="false">IF(CD87&gt;0,DD87/CD87,0)</f>
        <v>-0.196025913594527</v>
      </c>
      <c r="DF87" s="86" t="n">
        <f aca="false">IF(CD87&gt;0,(BM87+CI87+CW87)/(CD87*(1-CG87)),0)</f>
        <v>1.20809544967572</v>
      </c>
      <c r="DG87" s="90" t="n">
        <f aca="false">IF(BW87&gt;0,BM87/BW87,0)</f>
        <v>0.221669702199963</v>
      </c>
      <c r="DH87" s="90" t="n">
        <f aca="false">IF(BW87&gt;0,CD87/BW87,0)</f>
        <v>0.225</v>
      </c>
      <c r="DI87" s="90" t="n">
        <f aca="false">IF(AI87&gt;0,(AI87*IF(K87=3,INDEX(in_sup_vat_rate,1,C87),0)+AV87*BA87+(BC87+BD87)*AV87/AY87+AZ87*AI87/AL87)/AI87,0)</f>
        <v>0</v>
      </c>
      <c r="DJ87" s="90" t="n">
        <f aca="false">IF(AJ87&gt;0,(AJ87*IF(K87=3,INDEX(in_sup_vat_rate,1,C87),0)+AW87*BA87+(BC87+BD87)*AW87/AY87+AZ87*AJ87/AL87)/AJ87,0)</f>
        <v>0</v>
      </c>
      <c r="DK87" s="90" t="n">
        <f aca="false">IF(AK87&gt;0,(AK87*IF(K87=3,INDEX(in_sup_vat_rate,1,C87),0)+AX87*BA87+(BC87+BD87)*AX87/AY87+AZ87*AK87/AL87)/AK87,0)</f>
        <v>0.135105345210853</v>
      </c>
      <c r="DL87" s="90" t="n">
        <f aca="false">IF(Y87&gt;0,(BP87-AI87*(1+DI87))/Y87,0)</f>
        <v>0</v>
      </c>
      <c r="DM87" s="90" t="n">
        <f aca="false">IF(Z87&gt;0,(BQ87-AJ87*(1+DJ87))/Z87,0)</f>
        <v>0</v>
      </c>
      <c r="DN87" s="90" t="n">
        <f aca="false">IF(AA87&gt;0,(BR87-AK87*(1+DK87))/AA87,0)</f>
        <v>0.0699361950156662</v>
      </c>
      <c r="DO87" s="86" t="str">
        <f aca="false">IF(Y87&gt;0,(CA87*(1-thr_gm_go)*(1-R87)-DL87)/(1+DI87)*I87/((1+AH87)*J87),"")</f>
        <v/>
      </c>
      <c r="DP87" s="86" t="str">
        <f aca="false">IF(Z87&gt;0,(CB87*(1-thr_gm_go)*(1-R87)-DM87)/(1+DJ87)*I87/((1+AH87)*J87),"")</f>
        <v/>
      </c>
      <c r="DQ87" s="86" t="n">
        <f aca="false">IF(AA87&gt;0,(CC87*(1-thr_gm_go)*(1-R87)-DN87)/(1+DK87)*I87/((1+AH87)*J87),"")</f>
        <v>4.47649427802081</v>
      </c>
      <c r="DR87" s="92" t="n">
        <f aca="false">IF(AND(AY87*INDEX(in_cus_mpf_rate,1,C87)&gt;INDEX(in_cus_mpf_min,1,C87),AY87*INDEX(in_cus_mpf_rate,1,C87)&lt;INDEX(in_cus_mpf_max,1,C87)),INDEX(in_cus_mpf_rate,1,C87),0)</f>
        <v>0.003464</v>
      </c>
      <c r="DS87" s="88" t="n">
        <f aca="false">IF(AZ87&gt;INDEX(in_oce_ins_min,1,C87),INDEX(in_oce_ins_rate,1,C87)*(1+INDEX(in_oce_ins_uplift,1,C87))*AL87,0)</f>
        <v>0</v>
      </c>
      <c r="DT87" s="88" t="n">
        <f aca="false">(AL87+AN87)*(1+BA87+INDEX(in_cus_hmf,1,C87)+DR87)+DS87</f>
        <v>15715.660319698</v>
      </c>
      <c r="DU87" s="86" t="n">
        <f aca="false">IF(DT87&gt;0,(CD87*(1-thr_gm_go)-(BM87-DT87))/DT87,0)</f>
        <v>0.647091095344348</v>
      </c>
      <c r="DV87" s="86" t="n">
        <f aca="false">IF(DT87&gt;0,(CD87-(BM87-DT87))/DT87,0)</f>
        <v>1.0222089637683</v>
      </c>
      <c r="DW87" s="87" t="n">
        <f aca="false">(1+AH87)*J87*DU87-1</f>
        <v>-0.352908904655652</v>
      </c>
      <c r="DX87" s="87" t="n">
        <f aca="false">(1+AH87)*J87*DV87-1</f>
        <v>0.0222089637682996</v>
      </c>
      <c r="DY87" s="85" t="n">
        <f aca="false">IF(G87&gt;0,(CD87*(1-thr_gm_go)-(BM87-AT87))/G87,"")</f>
        <v>-1396.19646936492</v>
      </c>
      <c r="DZ87" s="90" t="n">
        <f aca="false">IF(AB87&gt;0,(AL87+AN87+BB87+BC87+BD87)/AB87,0)</f>
        <v>0.147703574433252</v>
      </c>
      <c r="EA87" s="88" t="n">
        <f aca="false">BM87-DZ87*AB87</f>
        <v>7516.21114966688</v>
      </c>
      <c r="EB87" s="90" t="n">
        <f aca="false">IF(AB87&gt;0,CD87/AB87,0)</f>
        <v>0.221625</v>
      </c>
      <c r="EC87" s="85" t="n">
        <f aca="false">IF(EB87*(1-thr_gm_go)-DZ87&gt;0,EA87/(EB87*(1-thr_gm_go)-DZ87),"n/a")</f>
        <v>405948.683693045</v>
      </c>
      <c r="ED87" s="85" t="n">
        <f aca="false">IF(EB87-DZ87&gt;0,EA87/(EB87-DZ87),"n/a")</f>
        <v>101678.384744895</v>
      </c>
      <c r="EE87" s="93" t="b">
        <f aca="false">INDEX(cfg_fits,D87,C87)</f>
        <v>1</v>
      </c>
      <c r="EF87" s="87" t="n">
        <f aca="false">IF(F87=4,"",INDEX(cfg_lenutil,D87,C87))</f>
        <v>0.985750209555742</v>
      </c>
      <c r="EG87" s="31" t="str">
        <f aca="false">IF(O87&gt;1,"Check fit (units scaled up)","")</f>
        <v/>
      </c>
    </row>
    <row r="88" customFormat="false" ht="15" hidden="false" customHeight="false" outlineLevel="0" collapsed="false">
      <c r="A88" s="78" t="n">
        <v>2074</v>
      </c>
      <c r="B88" s="9" t="s">
        <v>3236</v>
      </c>
      <c r="C88" s="78" t="n">
        <v>2</v>
      </c>
      <c r="D88" s="78" t="n">
        <v>7</v>
      </c>
      <c r="E88" s="78" t="n">
        <v>4</v>
      </c>
      <c r="F88" s="79" t="n">
        <f aca="false">INDEX(cfg_ct,D88)</f>
        <v>3</v>
      </c>
      <c r="G88" s="79" t="n">
        <f aca="false">INDEX(cfg_n,D88)</f>
        <v>1</v>
      </c>
      <c r="H88" s="79" t="n">
        <f aca="false">INDEX(dest_port,E88)</f>
        <v>3</v>
      </c>
      <c r="I88" s="80" t="n">
        <f aca="false">INDEX(in_fx_cbe,1,C88)*(1-INDEX(in_fx_spread,1,C88))</f>
        <v>52.7748</v>
      </c>
      <c r="J88" s="81" t="n">
        <f aca="false">1</f>
        <v>1</v>
      </c>
      <c r="K88" s="82" t="n">
        <f aca="false">INDEX(in_sup_vat_mode,1,C88)</f>
        <v>2</v>
      </c>
      <c r="L88" s="83" t="n">
        <f aca="false">INDEX(in_cus_s301,1,C88)</f>
        <v>0.125</v>
      </c>
      <c r="M88" s="84" t="n">
        <f aca="false">1</f>
        <v>1</v>
      </c>
      <c r="N88" s="81" t="n">
        <f aca="false">1</f>
        <v>1</v>
      </c>
      <c r="O88" s="81" t="n">
        <f aca="false">1</f>
        <v>1</v>
      </c>
      <c r="P88" s="81" t="n">
        <f aca="false">1</f>
        <v>1</v>
      </c>
      <c r="Q88" s="81" t="n">
        <f aca="false">1</f>
        <v>1</v>
      </c>
      <c r="R88" s="83" t="n">
        <f aca="false">INDEX(in_sel_damage,1,C88)</f>
        <v>0.015</v>
      </c>
      <c r="S88" s="83" t="n">
        <f aca="false">INDEX(in_mkt_dist_margin,1,C88)</f>
        <v>0.25</v>
      </c>
      <c r="T88" s="83" t="n">
        <f aca="false">INDEX(in_mkt_eflute_disc,1,C88)</f>
        <v>0.2</v>
      </c>
      <c r="U88" s="82" t="n">
        <f aca="false">INDEX(in_sel_credit_days,1,C88)</f>
        <v>45</v>
      </c>
      <c r="V88" s="81" t="n">
        <f aca="false">1</f>
        <v>1</v>
      </c>
      <c r="W88" s="83" t="n">
        <f aca="false">INDEX(in_sel_commission,1,C88)</f>
        <v>0.05</v>
      </c>
      <c r="X88" s="82" t="n">
        <f aca="false">1</f>
        <v>1</v>
      </c>
      <c r="Y88" s="85" t="n">
        <f aca="false">INDEX(cfg_u_3464,D88,C88)*O88</f>
        <v>0</v>
      </c>
      <c r="Z88" s="85" t="n">
        <f aca="false">INDEX(cfg_u_3463,D88,C88)*O88</f>
        <v>0</v>
      </c>
      <c r="AA88" s="85" t="n">
        <f aca="false">INDEX(cfg_u_3460,D88,C88)*O88</f>
        <v>106400</v>
      </c>
      <c r="AB88" s="85" t="n">
        <f aca="false">Y88+Z88+AA88</f>
        <v>106400</v>
      </c>
      <c r="AC88" s="86" t="n">
        <f aca="false">Y88*INDEX(lg_vpu_3464,C88)</f>
        <v>0</v>
      </c>
      <c r="AD88" s="86" t="n">
        <f aca="false">Z88*INDEX(lg_vpu_3463,C88)</f>
        <v>0</v>
      </c>
      <c r="AE88" s="86" t="n">
        <f aca="false">AA88*INDEX(lg_vpu_3460,C88)</f>
        <v>60.4896768</v>
      </c>
      <c r="AF88" s="86" t="n">
        <f aca="false">AC88+AD88+AE88</f>
        <v>60.4896768</v>
      </c>
      <c r="AG88" s="85" t="n">
        <f aca="false">Y88*INDEX(lg_kpu_3464,C88)+Z88*INDEX(lg_kpu_3463,C88)+AA88*INDEX(lg_kpu_3460,C88)</f>
        <v>14562.4564288</v>
      </c>
      <c r="AH88" s="87" t="n">
        <f aca="false">INDEX(in_sup_requote,1,C88)</f>
        <v>0</v>
      </c>
      <c r="AI88" s="88" t="n">
        <f aca="false">Y88*q_price_3464*(1+AH88)*J88/I88</f>
        <v>0</v>
      </c>
      <c r="AJ88" s="88" t="n">
        <f aca="false">Z88*q_price_3463*(1+AH88)*J88/I88</f>
        <v>0</v>
      </c>
      <c r="AK88" s="88" t="n">
        <f aca="false">AA88*q_price_3460*(1+AH88)*J88/I88</f>
        <v>13911.1848836945</v>
      </c>
      <c r="AL88" s="88" t="n">
        <f aca="false">AI88+AJ88+AK88</f>
        <v>13911.1848836945</v>
      </c>
      <c r="AM88" s="88" t="n">
        <f aca="false">IF(OR(K88=2,K88=3),AL88*INDEX(in_sup_vat_rate,1,C88),0)</f>
        <v>1947.56588371723</v>
      </c>
      <c r="AN88" s="88" t="n">
        <f aca="false">IF(K88=3,AM88,0)</f>
        <v>0</v>
      </c>
      <c r="AO88" s="88" t="n">
        <f aca="false">INDEX(in_sup_tooling_egp,1,C88)/I88</f>
        <v>0</v>
      </c>
      <c r="AP88" s="88" t="n">
        <f aca="false">IF(F88=4,INDEX(in_ori_lcl_truck,1,C88)*V88/I88+INDEX(in_ori_lcl_cfs_o,1,C88),G88*(IF(F88=1,INDEX(in_ori_truck_20,1,C88),INDEX(in_ori_truck_40,1,C88))*V88/I88+INDEX(in_ori_terminal,1,C88)+IF(F88=1,INDEX(in_ori_othc_20,1,C88),INDEX(in_ori_othc_40,1,C88))*(1-INDEX(in_ori_othc_in_freight,1,C88))+INDEX(in_ori_seal,1,C88)+INDEX(in_ori_inspection,1,C88)+INDEX(in_ori_dd_days,1,C88)*IF(F88=1,INDEX(in_ori_dd_20,1,C88),INDEX(in_ori_dd_40,1,C88))+INDEX(in_ori_loading_egp,1,C88)/I88))</f>
        <v>555.278125165799</v>
      </c>
      <c r="AQ88" s="88" t="n">
        <f aca="false">(INDEX(in_ori_clearance,1,C88)+INDEX(in_ori_coo,1,C88))/I88+INDEX(in_ori_bl_fee,1,C88)+INDEX(in_ori_fwd_fee,1,C88)+INDEX(in_ori_qc,1,C88)+INDEX(in_ori_wires,1,C88)*INDEX(in_ori_wire_fee,1,C88)</f>
        <v>817.639062582899</v>
      </c>
      <c r="AR88" s="88" t="n">
        <f aca="false">AP88+AQ88</f>
        <v>1372.9171877487</v>
      </c>
      <c r="AS88" s="85" t="n">
        <f aca="false">INDEX(tbl_port_diff,H88,C88)</f>
        <v>0</v>
      </c>
      <c r="AT88" s="88" t="n">
        <f aca="false">IF(F88=4,MAX(AF88*INDEX(in_oce_lcl_factor,1,C88),AG88/1000,1)*INDEX(in_oce_lcl_rate,1,C88)*M88,G88*(INDEX(tbl_ocean_rate,MIN(F88,3),C88)+AS88)*M88)</f>
        <v>4000</v>
      </c>
      <c r="AU88" s="88" t="n">
        <f aca="false">AT88+INDEX(in_oce_ams,1,C88)</f>
        <v>4035</v>
      </c>
      <c r="AV88" s="88" t="n">
        <f aca="false">AI88*(1+IF(K88=3,INDEX(in_sup_vat_rate,1,C88),0))+AO88*Y88/AB88</f>
        <v>0</v>
      </c>
      <c r="AW88" s="88" t="n">
        <f aca="false">AJ88*(1+IF(K88=3,INDEX(in_sup_vat_rate,1,C88),0))+AO88*Z88/AB88</f>
        <v>0</v>
      </c>
      <c r="AX88" s="88" t="n">
        <f aca="false">AK88*(1+IF(K88=3,INDEX(in_sup_vat_rate,1,C88),0))+AO88*AA88/AB88</f>
        <v>13911.1848836945</v>
      </c>
      <c r="AY88" s="88" t="n">
        <f aca="false">AV88+AW88+AX88</f>
        <v>13911.1848836945</v>
      </c>
      <c r="AZ88" s="88" t="n">
        <f aca="false">MAX(INDEX(in_oce_ins_min,1,C88),INDEX(in_oce_ins_rate,1,C88)*(1+INDEX(in_oce_ins_uplift,1,C88))*(AL88+AO88+AR88+AU88))*(1-INDEX(in_oce_ins_in_other,1,C88))</f>
        <v>75</v>
      </c>
      <c r="BA88" s="87" t="n">
        <f aca="false">INDEX(in_cus_mfn,1,C88)+L88</f>
        <v>0.125</v>
      </c>
      <c r="BB88" s="88" t="n">
        <f aca="false">AY88*BA88</f>
        <v>1738.89811046181</v>
      </c>
      <c r="BC88" s="88" t="n">
        <f aca="false">MIN(MAX(AY88*INDEX(in_cus_mpf_rate,1,C88),INDEX(in_cus_mpf_min,1,C88)),INDEX(in_cus_mpf_max,1,C88))</f>
        <v>48.1883444371177</v>
      </c>
      <c r="BD88" s="88" t="n">
        <f aca="false">AY88*INDEX(in_cus_hmf,1,C88)</f>
        <v>17.3889811046181</v>
      </c>
      <c r="BE88" s="88" t="n">
        <f aca="false">MAX(INDEX(in_cus_stb_min,1,C88),INDEX(in_cus_stb_rate,1,C88)/1000*(AY88+BB88+BC88+BD88))</f>
        <v>94.2939619181882</v>
      </c>
      <c r="BF88" s="88" t="n">
        <f aca="false">INDEX(in_cus_broker,1,C88)+INDEX(in_cus_isf,1,C88)+INDEX(in_cus_do_fee,1,C88)+BE88+INDEX(in_cus_isf_bond,1,C88)</f>
        <v>529.293961918188</v>
      </c>
      <c r="BG88" s="88" t="n">
        <f aca="false">IF(H88=1,INDEX(in_cus_cfc,1,C88)*INDEX(ct_teu,F88)*G88*(1-INDEX(in_cus_cfc_in_freight,1,C88)),0)</f>
        <v>0</v>
      </c>
      <c r="BH88" s="88" t="n">
        <f aca="false">IF(F88=4,1,G88)*(INDEX(in_cus_exam,1,C88)+INDEX(in_cus_exam_dray,1,C88))</f>
        <v>0</v>
      </c>
      <c r="BI88" s="88" t="n">
        <f aca="false">IF(F88=4,1,G88)*INDEX(in_cus_dem_days,1,C88)*INDEX(in_cus_dem_rate,1,C88)</f>
        <v>0</v>
      </c>
      <c r="BJ88" s="88" t="n">
        <f aca="false">BG88+BH88+BI88</f>
        <v>0</v>
      </c>
      <c r="BK88" s="88" t="n">
        <f aca="false">IF(F88=4,(INDEX(in_dra_lcl_cfs_d,1,C88)+INDEX(in_dra_lcl_deliv,1,C88))*P88,G88*(INDEX(tbl_dest_line,E88,C88)*P88*(1+INDEX(in_dra_fsc,1,C88))+INDEX(tbl_dest_tolls,E88,C88)+INDEX(in_dra_chassis_days,1,C88)*INDEX(tbl_dest_chassis,E88,C88)*(1-INDEX(in_dra_chassis_in_dray,1,C88))+INDEX(in_dra_wait_hours,1,C88)*INDEX(in_dra_wait_rate,1,C88)+INDEX(in_dra_split,1,C88)+INDEX(in_dra_prepull,1,C88)+INDEX(in_dra_dryrun,1,C88)))</f>
        <v>1504</v>
      </c>
      <c r="BL88" s="88" t="n">
        <f aca="false">IF(F88=4,0,G88*IF(F88=1,INDEX(in_dra_unload_20,1,C88),INDEX(in_dra_unload_40,1,C88))*Q88*(1-INDEX(in_dra_unload_in_dray,1,C88)))</f>
        <v>450</v>
      </c>
      <c r="BM88" s="88" t="n">
        <f aca="false">AL88+AN88+AO88+AR88+AU88+AZ88+BB88+BC88+BD88+BF88+BJ88+BK88+BL88</f>
        <v>23681.8714693649</v>
      </c>
      <c r="BN88" s="88" t="n">
        <f aca="false">AP88+AU88+BJ88+BK88+BL88</f>
        <v>6544.2781251658</v>
      </c>
      <c r="BO88" s="88" t="n">
        <f aca="false">AQ88+BF88</f>
        <v>1346.93302450109</v>
      </c>
      <c r="BP88" s="88" t="n">
        <f aca="false">AI88*(1+IF(K88=3,INDEX(in_sup_vat_rate,1,C88),0))+AO88*Y88/AB88+AV88*BA88+(BC88+BD88)*AV88/AY88+AZ88*AI88/AL88+BN88*AC88/AF88+BO88*Y88/AB88</f>
        <v>0</v>
      </c>
      <c r="BQ88" s="88" t="n">
        <f aca="false">AJ88*(1+IF(K88=3,INDEX(in_sup_vat_rate,1,C88),0))+AO88*Z88/AB88+AW88*BA88+(BC88+BD88)*AW88/AY88+AZ88*AJ88/AL88+BN88*AD88/AF88+BO88*Z88/AB88</f>
        <v>0</v>
      </c>
      <c r="BR88" s="88" t="n">
        <f aca="false">AK88*(1+IF(K88=3,INDEX(in_sup_vat_rate,1,C88),0))+AO88*AA88/AB88+AX88*BA88+(BC88+BD88)*AX88/AY88+AZ88*AK88/AL88+BN88*AE88/AF88+BO88*AA88/AB88</f>
        <v>23681.8714693649</v>
      </c>
      <c r="BS88" s="89" t="n">
        <f aca="false">BP88+BQ88+BR88-BM88</f>
        <v>0</v>
      </c>
      <c r="BT88" s="85" t="n">
        <f aca="false">Y88*(1-R88)</f>
        <v>0</v>
      </c>
      <c r="BU88" s="85" t="n">
        <f aca="false">Z88*(1-R88)</f>
        <v>0</v>
      </c>
      <c r="BV88" s="85" t="n">
        <f aca="false">AA88*(1-R88)</f>
        <v>104804</v>
      </c>
      <c r="BW88" s="85" t="n">
        <f aca="false">BT88+BU88+BV88</f>
        <v>104804</v>
      </c>
      <c r="BX88" s="90" t="n">
        <f aca="false">IF(BT88&gt;0,BP88/BT88,0)</f>
        <v>0</v>
      </c>
      <c r="BY88" s="90" t="n">
        <f aca="false">IF(BU88&gt;0,BQ88/BU88,0)</f>
        <v>0</v>
      </c>
      <c r="BZ88" s="90" t="n">
        <f aca="false">IF(BV88&gt;0,BR88/BV88,0)</f>
        <v>0.225963431446938</v>
      </c>
      <c r="CA88" s="90" t="n">
        <f aca="false">INDEX(in_mkt_listing_3464,1,C88)*(1-IF(sku_flute_3464="B",T88,0))*(1-S88)*N88</f>
        <v>0.234</v>
      </c>
      <c r="CB88" s="90" t="n">
        <f aca="false">INDEX(in_mkt_listing_3463,1,C88)*(1-IF(sku_flute_3463="B",T88,0))*(1-S88)*N88</f>
        <v>0.27</v>
      </c>
      <c r="CC88" s="90" t="n">
        <f aca="false">INDEX(in_mkt_listing_3460,1,C88)*(1-IF(sku_flute_3460="B",T88,0))*(1-S88)*N88</f>
        <v>0.225</v>
      </c>
      <c r="CD88" s="88" t="n">
        <f aca="false">BT88*CA88+BU88*CB88+BV88*CC88</f>
        <v>23580.9</v>
      </c>
      <c r="CE88" s="88" t="n">
        <f aca="false">CD88-BM88</f>
        <v>-100.971469364922</v>
      </c>
      <c r="CF88" s="87" t="n">
        <f aca="false">IF(CD88&gt;0,CE88/CD88,0)</f>
        <v>-0.00428191754194802</v>
      </c>
      <c r="CG88" s="87" t="n">
        <f aca="false">W88+INDEX(in_sel_processing,1,C88)+INDEX(in_sel_bad_debt,1,C88)</f>
        <v>0.058</v>
      </c>
      <c r="CH88" s="88" t="n">
        <f aca="false">CD88*CG88</f>
        <v>1367.6922</v>
      </c>
      <c r="CI88" s="88" t="n">
        <f aca="false">INDEX(in_sel_testing,1,C88)*X88+INDEX(in_sel_admin,1,C88)</f>
        <v>3000</v>
      </c>
      <c r="CJ88" s="79" t="n">
        <f aca="false">INDEX(in_sup_lead_days,1,C88)</f>
        <v>21</v>
      </c>
      <c r="CK88" s="79" t="n">
        <f aca="false">CJ88+INDEX(in_oce_transit,1,C88)+IF(F88=4,INDEX(in_oce_lcl_extra_days,1,C88),0)</f>
        <v>51</v>
      </c>
      <c r="CL88" s="79" t="n">
        <f aca="false">CK88+2+INDEX(in_cus_dem_days,1,C88)</f>
        <v>53</v>
      </c>
      <c r="CM88" s="79" t="n">
        <f aca="false">CL88+U88</f>
        <v>98</v>
      </c>
      <c r="CN88" s="79" t="n">
        <f aca="false">CJ88+INDEX(in_sup_vat_lag,1,C88)</f>
        <v>81</v>
      </c>
      <c r="CO88" s="91" t="n">
        <f aca="false">INDEX(in_sup_advance,1,C88)</f>
        <v>0.5</v>
      </c>
      <c r="CP88" s="88" t="n">
        <f aca="false">CO88*(AL88+AM88)+AO88+INDEX(in_sel_testing,1,C88)*X88</f>
        <v>10429.3753837059</v>
      </c>
      <c r="CQ88" s="88" t="n">
        <f aca="false">(1-CO88)*(AL88+AM88)+AR88+AU88+AZ88</f>
        <v>13412.2925714546</v>
      </c>
      <c r="CR88" s="88" t="n">
        <f aca="false">BB88+BC88+BD88+BF88+BJ88</f>
        <v>2333.76939792174</v>
      </c>
      <c r="CS88" s="88" t="n">
        <f aca="false">BK88+BL88</f>
        <v>1954</v>
      </c>
      <c r="CT88" s="88" t="n">
        <f aca="false">IF(K88=2,AM88,0)</f>
        <v>1947.56588371723</v>
      </c>
      <c r="CU88" s="85" t="n">
        <f aca="false">IF(K88=2,CO88*AM88*(CN88-0)+(1-CO88)*AM88*(CN88-CJ88),0)</f>
        <v>137303.394802065</v>
      </c>
      <c r="CV88" s="85" t="n">
        <f aca="false">(CP88-CO88*CT88)*(CM88-0)+(CQ88-(1-CO88)*CT88)*(CM88-CJ88)+CR88*(CM88-CK88)+CS88*(CM88-CL88)</f>
        <v>2082030.46248224</v>
      </c>
      <c r="CW88" s="88" t="n">
        <f aca="false">INDEX(in_sel_fin_rate,1,C88)/365*(CU88+CV88)</f>
        <v>608.036673228576</v>
      </c>
      <c r="CX88" s="85" t="n">
        <f aca="false">CP88-IF(CN88&lt;=0,CT88,0)</f>
        <v>10429.3753837059</v>
      </c>
      <c r="CY88" s="85" t="n">
        <f aca="false">CP88+CQ88-IF(CN88&lt;=CJ88,CT88,0)</f>
        <v>23841.6679551604</v>
      </c>
      <c r="CZ88" s="85" t="n">
        <f aca="false">CP88+CQ88+CR88-IF(CN88&lt;=CK88,CT88,0)</f>
        <v>26175.4373530822</v>
      </c>
      <c r="DA88" s="85" t="n">
        <f aca="false">CP88+CQ88+CR88+CS88-IF(CN88&lt;=CL88,CT88,0)</f>
        <v>28129.4373530822</v>
      </c>
      <c r="DB88" s="88" t="n">
        <f aca="false">MAX(CX88,CY88,CZ88,DA88)</f>
        <v>28129.4373530822</v>
      </c>
      <c r="DC88" s="88" t="n">
        <f aca="false">CP88+CQ88+CR88+CS88</f>
        <v>28129.4373530822</v>
      </c>
      <c r="DD88" s="88" t="n">
        <f aca="false">CE88-CH88-CI88-CW88</f>
        <v>-5076.7003425935</v>
      </c>
      <c r="DE88" s="87" t="n">
        <f aca="false">IF(CD88&gt;0,DD88/CD88,0)</f>
        <v>-0.215288659151835</v>
      </c>
      <c r="DF88" s="86" t="n">
        <f aca="false">IF(CD88&gt;0,(BM88+CI88+CW88)/(CD88*(1-CG88)),0)</f>
        <v>1.22854422415269</v>
      </c>
      <c r="DG88" s="90" t="n">
        <f aca="false">IF(BW88&gt;0,BM88/BW88,0)</f>
        <v>0.225963431446938</v>
      </c>
      <c r="DH88" s="90" t="n">
        <f aca="false">IF(BW88&gt;0,CD88/BW88,0)</f>
        <v>0.225</v>
      </c>
      <c r="DI88" s="90" t="n">
        <f aca="false">IF(AI88&gt;0,(AI88*IF(K88=3,INDEX(in_sup_vat_rate,1,C88),0)+AV88*BA88+(BC88+BD88)*AV88/AY88+AZ88*AI88/AL88)/AI88,0)</f>
        <v>0</v>
      </c>
      <c r="DJ88" s="90" t="n">
        <f aca="false">IF(AJ88&gt;0,(AJ88*IF(K88=3,INDEX(in_sup_vat_rate,1,C88),0)+AW88*BA88+(BC88+BD88)*AW88/AY88+AZ88*AJ88/AL88)/AJ88,0)</f>
        <v>0</v>
      </c>
      <c r="DK88" s="90" t="n">
        <f aca="false">IF(AK88&gt;0,(AK88*IF(K88=3,INDEX(in_sup_vat_rate,1,C88),0)+AX88*BA88+(BC88+BD88)*AX88/AY88+AZ88*AK88/AL88)/AK88,0)</f>
        <v>0.135105345210853</v>
      </c>
      <c r="DL88" s="90" t="n">
        <f aca="false">IF(Y88&gt;0,(BP88-AI88*(1+DI88))/Y88,0)</f>
        <v>0</v>
      </c>
      <c r="DM88" s="90" t="n">
        <f aca="false">IF(Z88&gt;0,(BQ88-AJ88*(1+DJ88))/Z88,0)</f>
        <v>0</v>
      </c>
      <c r="DN88" s="90" t="n">
        <f aca="false">IF(AA88&gt;0,(BR88-AK88*(1+DK88))/AA88,0)</f>
        <v>0.0741655183239369</v>
      </c>
      <c r="DO88" s="86" t="str">
        <f aca="false">IF(Y88&gt;0,(CA88*(1-thr_gm_go)*(1-R88)-DL88)/(1+DI88)*I88/((1+AH88)*J88),"")</f>
        <v/>
      </c>
      <c r="DP88" s="86" t="str">
        <f aca="false">IF(Z88&gt;0,(CB88*(1-thr_gm_go)*(1-R88)-DM88)/(1+DJ88)*I88/((1+AH88)*J88),"")</f>
        <v/>
      </c>
      <c r="DQ88" s="86" t="n">
        <f aca="false">IF(AA88&gt;0,(CC88*(1-thr_gm_go)*(1-R88)-DN88)/(1+DK88)*I88/((1+AH88)*J88),"")</f>
        <v>4.27985905586188</v>
      </c>
      <c r="DR88" s="92" t="n">
        <f aca="false">IF(AND(AY88*INDEX(in_cus_mpf_rate,1,C88)&gt;INDEX(in_cus_mpf_min,1,C88),AY88*INDEX(in_cus_mpf_rate,1,C88)&lt;INDEX(in_cus_mpf_max,1,C88)),INDEX(in_cus_mpf_rate,1,C88),0)</f>
        <v>0.003464</v>
      </c>
      <c r="DS88" s="88" t="n">
        <f aca="false">IF(AZ88&gt;INDEX(in_oce_ins_min,1,C88),INDEX(in_oce_ins_rate,1,C88)*(1+INDEX(in_oce_ins_uplift,1,C88))*AL88,0)</f>
        <v>0</v>
      </c>
      <c r="DT88" s="88" t="n">
        <f aca="false">(AL88+AN88)*(1+BA88+INDEX(in_cus_hmf,1,C88)+DR88)+DS88</f>
        <v>15715.660319698</v>
      </c>
      <c r="DU88" s="86" t="n">
        <f aca="false">IF(DT88&gt;0,(CD88*(1-thr_gm_go)-(BM88-DT88))/DT88,0)</f>
        <v>0.618457236451638</v>
      </c>
      <c r="DV88" s="86" t="n">
        <f aca="false">IF(DT88&gt;0,(CD88-(BM88-DT88))/DT88,0)</f>
        <v>0.993575104875589</v>
      </c>
      <c r="DW88" s="87" t="n">
        <f aca="false">(1+AH88)*J88*DU88-1</f>
        <v>-0.381542763548362</v>
      </c>
      <c r="DX88" s="87" t="n">
        <f aca="false">(1+AH88)*J88*DV88-1</f>
        <v>-0.00642489512441069</v>
      </c>
      <c r="DY88" s="85" t="n">
        <f aca="false">IF(G88&gt;0,(CD88*(1-thr_gm_go)-(BM88-AT88))/G88,"")</f>
        <v>-1996.19646936492</v>
      </c>
      <c r="DZ88" s="90" t="n">
        <f aca="false">IF(AB88&gt;0,(AL88+AN88+BB88+BC88+BD88)/AB88,0)</f>
        <v>0.147703574433252</v>
      </c>
      <c r="EA88" s="88" t="n">
        <f aca="false">BM88-DZ88*AB88</f>
        <v>7966.21114966688</v>
      </c>
      <c r="EB88" s="90" t="n">
        <f aca="false">IF(AB88&gt;0,CD88/AB88,0)</f>
        <v>0.221625</v>
      </c>
      <c r="EC88" s="85" t="n">
        <f aca="false">IF(EB88*(1-thr_gm_go)-DZ88&gt;0,EA88/(EB88*(1-thr_gm_go)-DZ88),"n/a")</f>
        <v>430253.071106371</v>
      </c>
      <c r="ED88" s="85" t="n">
        <f aca="false">IF(EB88-DZ88&gt;0,EA88/(EB88-DZ88),"n/a")</f>
        <v>107765.929682643</v>
      </c>
      <c r="EE88" s="93" t="b">
        <f aca="false">INDEX(cfg_fits,D88,C88)</f>
        <v>1</v>
      </c>
      <c r="EF88" s="87" t="n">
        <f aca="false">IF(F88=4,"",INDEX(cfg_lenutil,D88,C88))</f>
        <v>0.985750209555742</v>
      </c>
      <c r="EG88" s="31" t="str">
        <f aca="false">IF(O88&gt;1,"Check fit (units scaled up)","")</f>
        <v/>
      </c>
    </row>
    <row r="89" customFormat="false" ht="15" hidden="false" customHeight="false" outlineLevel="0" collapsed="false">
      <c r="A89" s="78" t="n">
        <v>2075</v>
      </c>
      <c r="B89" s="9" t="s">
        <v>3237</v>
      </c>
      <c r="C89" s="78" t="n">
        <v>2</v>
      </c>
      <c r="D89" s="78" t="n">
        <v>7</v>
      </c>
      <c r="E89" s="78" t="n">
        <v>5</v>
      </c>
      <c r="F89" s="79" t="n">
        <f aca="false">INDEX(cfg_ct,D89)</f>
        <v>3</v>
      </c>
      <c r="G89" s="79" t="n">
        <f aca="false">INDEX(cfg_n,D89)</f>
        <v>1</v>
      </c>
      <c r="H89" s="79" t="n">
        <f aca="false">INDEX(dest_port,E89)</f>
        <v>4</v>
      </c>
      <c r="I89" s="80" t="n">
        <f aca="false">INDEX(in_fx_cbe,1,C89)*(1-INDEX(in_fx_spread,1,C89))</f>
        <v>52.7748</v>
      </c>
      <c r="J89" s="81" t="n">
        <f aca="false">1</f>
        <v>1</v>
      </c>
      <c r="K89" s="82" t="n">
        <f aca="false">INDEX(in_sup_vat_mode,1,C89)</f>
        <v>2</v>
      </c>
      <c r="L89" s="83" t="n">
        <f aca="false">INDEX(in_cus_s301,1,C89)</f>
        <v>0.125</v>
      </c>
      <c r="M89" s="84" t="n">
        <f aca="false">1</f>
        <v>1</v>
      </c>
      <c r="N89" s="81" t="n">
        <f aca="false">1</f>
        <v>1</v>
      </c>
      <c r="O89" s="81" t="n">
        <f aca="false">1</f>
        <v>1</v>
      </c>
      <c r="P89" s="81" t="n">
        <f aca="false">1</f>
        <v>1</v>
      </c>
      <c r="Q89" s="81" t="n">
        <f aca="false">1</f>
        <v>1</v>
      </c>
      <c r="R89" s="83" t="n">
        <f aca="false">INDEX(in_sel_damage,1,C89)</f>
        <v>0.015</v>
      </c>
      <c r="S89" s="83" t="n">
        <f aca="false">INDEX(in_mkt_dist_margin,1,C89)</f>
        <v>0.25</v>
      </c>
      <c r="T89" s="83" t="n">
        <f aca="false">INDEX(in_mkt_eflute_disc,1,C89)</f>
        <v>0.2</v>
      </c>
      <c r="U89" s="82" t="n">
        <f aca="false">INDEX(in_sel_credit_days,1,C89)</f>
        <v>45</v>
      </c>
      <c r="V89" s="81" t="n">
        <f aca="false">1</f>
        <v>1</v>
      </c>
      <c r="W89" s="83" t="n">
        <f aca="false">INDEX(in_sel_commission,1,C89)</f>
        <v>0.05</v>
      </c>
      <c r="X89" s="82" t="n">
        <f aca="false">1</f>
        <v>1</v>
      </c>
      <c r="Y89" s="85" t="n">
        <f aca="false">INDEX(cfg_u_3464,D89,C89)*O89</f>
        <v>0</v>
      </c>
      <c r="Z89" s="85" t="n">
        <f aca="false">INDEX(cfg_u_3463,D89,C89)*O89</f>
        <v>0</v>
      </c>
      <c r="AA89" s="85" t="n">
        <f aca="false">INDEX(cfg_u_3460,D89,C89)*O89</f>
        <v>106400</v>
      </c>
      <c r="AB89" s="85" t="n">
        <f aca="false">Y89+Z89+AA89</f>
        <v>106400</v>
      </c>
      <c r="AC89" s="86" t="n">
        <f aca="false">Y89*INDEX(lg_vpu_3464,C89)</f>
        <v>0</v>
      </c>
      <c r="AD89" s="86" t="n">
        <f aca="false">Z89*INDEX(lg_vpu_3463,C89)</f>
        <v>0</v>
      </c>
      <c r="AE89" s="86" t="n">
        <f aca="false">AA89*INDEX(lg_vpu_3460,C89)</f>
        <v>60.4896768</v>
      </c>
      <c r="AF89" s="86" t="n">
        <f aca="false">AC89+AD89+AE89</f>
        <v>60.4896768</v>
      </c>
      <c r="AG89" s="85" t="n">
        <f aca="false">Y89*INDEX(lg_kpu_3464,C89)+Z89*INDEX(lg_kpu_3463,C89)+AA89*INDEX(lg_kpu_3460,C89)</f>
        <v>14562.4564288</v>
      </c>
      <c r="AH89" s="87" t="n">
        <f aca="false">INDEX(in_sup_requote,1,C89)</f>
        <v>0</v>
      </c>
      <c r="AI89" s="88" t="n">
        <f aca="false">Y89*q_price_3464*(1+AH89)*J89/I89</f>
        <v>0</v>
      </c>
      <c r="AJ89" s="88" t="n">
        <f aca="false">Z89*q_price_3463*(1+AH89)*J89/I89</f>
        <v>0</v>
      </c>
      <c r="AK89" s="88" t="n">
        <f aca="false">AA89*q_price_3460*(1+AH89)*J89/I89</f>
        <v>13911.1848836945</v>
      </c>
      <c r="AL89" s="88" t="n">
        <f aca="false">AI89+AJ89+AK89</f>
        <v>13911.1848836945</v>
      </c>
      <c r="AM89" s="88" t="n">
        <f aca="false">IF(OR(K89=2,K89=3),AL89*INDEX(in_sup_vat_rate,1,C89),0)</f>
        <v>1947.56588371723</v>
      </c>
      <c r="AN89" s="88" t="n">
        <f aca="false">IF(K89=3,AM89,0)</f>
        <v>0</v>
      </c>
      <c r="AO89" s="88" t="n">
        <f aca="false">INDEX(in_sup_tooling_egp,1,C89)/I89</f>
        <v>0</v>
      </c>
      <c r="AP89" s="88" t="n">
        <f aca="false">IF(F89=4,INDEX(in_ori_lcl_truck,1,C89)*V89/I89+INDEX(in_ori_lcl_cfs_o,1,C89),G89*(IF(F89=1,INDEX(in_ori_truck_20,1,C89),INDEX(in_ori_truck_40,1,C89))*V89/I89+INDEX(in_ori_terminal,1,C89)+IF(F89=1,INDEX(in_ori_othc_20,1,C89),INDEX(in_ori_othc_40,1,C89))*(1-INDEX(in_ori_othc_in_freight,1,C89))+INDEX(in_ori_seal,1,C89)+INDEX(in_ori_inspection,1,C89)+INDEX(in_ori_dd_days,1,C89)*IF(F89=1,INDEX(in_ori_dd_20,1,C89),INDEX(in_ori_dd_40,1,C89))+INDEX(in_ori_loading_egp,1,C89)/I89))</f>
        <v>555.278125165799</v>
      </c>
      <c r="AQ89" s="88" t="n">
        <f aca="false">(INDEX(in_ori_clearance,1,C89)+INDEX(in_ori_coo,1,C89))/I89+INDEX(in_ori_bl_fee,1,C89)+INDEX(in_ori_fwd_fee,1,C89)+INDEX(in_ori_qc,1,C89)+INDEX(in_ori_wires,1,C89)*INDEX(in_ori_wire_fee,1,C89)</f>
        <v>817.639062582899</v>
      </c>
      <c r="AR89" s="88" t="n">
        <f aca="false">AP89+AQ89</f>
        <v>1372.9171877487</v>
      </c>
      <c r="AS89" s="85" t="n">
        <f aca="false">INDEX(tbl_port_diff,H89,C89)</f>
        <v>100</v>
      </c>
      <c r="AT89" s="88" t="n">
        <f aca="false">IF(F89=4,MAX(AF89*INDEX(in_oce_lcl_factor,1,C89),AG89/1000,1)*INDEX(in_oce_lcl_rate,1,C89)*M89,G89*(INDEX(tbl_ocean_rate,MIN(F89,3),C89)+AS89)*M89)</f>
        <v>4100</v>
      </c>
      <c r="AU89" s="88" t="n">
        <f aca="false">AT89+INDEX(in_oce_ams,1,C89)</f>
        <v>4135</v>
      </c>
      <c r="AV89" s="88" t="n">
        <f aca="false">AI89*(1+IF(K89=3,INDEX(in_sup_vat_rate,1,C89),0))+AO89*Y89/AB89</f>
        <v>0</v>
      </c>
      <c r="AW89" s="88" t="n">
        <f aca="false">AJ89*(1+IF(K89=3,INDEX(in_sup_vat_rate,1,C89),0))+AO89*Z89/AB89</f>
        <v>0</v>
      </c>
      <c r="AX89" s="88" t="n">
        <f aca="false">AK89*(1+IF(K89=3,INDEX(in_sup_vat_rate,1,C89),0))+AO89*AA89/AB89</f>
        <v>13911.1848836945</v>
      </c>
      <c r="AY89" s="88" t="n">
        <f aca="false">AV89+AW89+AX89</f>
        <v>13911.1848836945</v>
      </c>
      <c r="AZ89" s="88" t="n">
        <f aca="false">MAX(INDEX(in_oce_ins_min,1,C89),INDEX(in_oce_ins_rate,1,C89)*(1+INDEX(in_oce_ins_uplift,1,C89))*(AL89+AO89+AR89+AU89))*(1-INDEX(in_oce_ins_in_other,1,C89))</f>
        <v>75</v>
      </c>
      <c r="BA89" s="87" t="n">
        <f aca="false">INDEX(in_cus_mfn,1,C89)+L89</f>
        <v>0.125</v>
      </c>
      <c r="BB89" s="88" t="n">
        <f aca="false">AY89*BA89</f>
        <v>1738.89811046181</v>
      </c>
      <c r="BC89" s="88" t="n">
        <f aca="false">MIN(MAX(AY89*INDEX(in_cus_mpf_rate,1,C89),INDEX(in_cus_mpf_min,1,C89)),INDEX(in_cus_mpf_max,1,C89))</f>
        <v>48.1883444371177</v>
      </c>
      <c r="BD89" s="88" t="n">
        <f aca="false">AY89*INDEX(in_cus_hmf,1,C89)</f>
        <v>17.3889811046181</v>
      </c>
      <c r="BE89" s="88" t="n">
        <f aca="false">MAX(INDEX(in_cus_stb_min,1,C89),INDEX(in_cus_stb_rate,1,C89)/1000*(AY89+BB89+BC89+BD89))</f>
        <v>94.2939619181882</v>
      </c>
      <c r="BF89" s="88" t="n">
        <f aca="false">INDEX(in_cus_broker,1,C89)+INDEX(in_cus_isf,1,C89)+INDEX(in_cus_do_fee,1,C89)+BE89+INDEX(in_cus_isf_bond,1,C89)</f>
        <v>529.293961918188</v>
      </c>
      <c r="BG89" s="88" t="n">
        <f aca="false">IF(H89=1,INDEX(in_cus_cfc,1,C89)*INDEX(ct_teu,F89)*G89*(1-INDEX(in_cus_cfc_in_freight,1,C89)),0)</f>
        <v>0</v>
      </c>
      <c r="BH89" s="88" t="n">
        <f aca="false">IF(F89=4,1,G89)*(INDEX(in_cus_exam,1,C89)+INDEX(in_cus_exam_dray,1,C89))</f>
        <v>0</v>
      </c>
      <c r="BI89" s="88" t="n">
        <f aca="false">IF(F89=4,1,G89)*INDEX(in_cus_dem_days,1,C89)*INDEX(in_cus_dem_rate,1,C89)</f>
        <v>0</v>
      </c>
      <c r="BJ89" s="88" t="n">
        <f aca="false">BG89+BH89+BI89</f>
        <v>0</v>
      </c>
      <c r="BK89" s="88" t="n">
        <f aca="false">IF(F89=4,(INDEX(in_dra_lcl_cfs_d,1,C89)+INDEX(in_dra_lcl_deliv,1,C89))*P89,G89*(INDEX(tbl_dest_line,E89,C89)*P89*(1+INDEX(in_dra_fsc,1,C89))+INDEX(tbl_dest_tolls,E89,C89)+INDEX(in_dra_chassis_days,1,C89)*INDEX(tbl_dest_chassis,E89,C89)*(1-INDEX(in_dra_chassis_in_dray,1,C89))+INDEX(in_dra_wait_hours,1,C89)*INDEX(in_dra_wait_rate,1,C89)+INDEX(in_dra_split,1,C89)+INDEX(in_dra_prepull,1,C89)+INDEX(in_dra_dryrun,1,C89)))</f>
        <v>1970</v>
      </c>
      <c r="BL89" s="88" t="n">
        <f aca="false">IF(F89=4,0,G89*IF(F89=1,INDEX(in_dra_unload_20,1,C89),INDEX(in_dra_unload_40,1,C89))*Q89*(1-INDEX(in_dra_unload_in_dray,1,C89)))</f>
        <v>450</v>
      </c>
      <c r="BM89" s="88" t="n">
        <f aca="false">AL89+AN89+AO89+AR89+AU89+AZ89+BB89+BC89+BD89+BF89+BJ89+BK89+BL89</f>
        <v>24247.8714693649</v>
      </c>
      <c r="BN89" s="88" t="n">
        <f aca="false">AP89+AU89+BJ89+BK89+BL89</f>
        <v>7110.2781251658</v>
      </c>
      <c r="BO89" s="88" t="n">
        <f aca="false">AQ89+BF89</f>
        <v>1346.93302450109</v>
      </c>
      <c r="BP89" s="88" t="n">
        <f aca="false">AI89*(1+IF(K89=3,INDEX(in_sup_vat_rate,1,C89),0))+AO89*Y89/AB89+AV89*BA89+(BC89+BD89)*AV89/AY89+AZ89*AI89/AL89+BN89*AC89/AF89+BO89*Y89/AB89</f>
        <v>0</v>
      </c>
      <c r="BQ89" s="88" t="n">
        <f aca="false">AJ89*(1+IF(K89=3,INDEX(in_sup_vat_rate,1,C89),0))+AO89*Z89/AB89+AW89*BA89+(BC89+BD89)*AW89/AY89+AZ89*AJ89/AL89+BN89*AD89/AF89+BO89*Z89/AB89</f>
        <v>0</v>
      </c>
      <c r="BR89" s="88" t="n">
        <f aca="false">AK89*(1+IF(K89=3,INDEX(in_sup_vat_rate,1,C89),0))+AO89*AA89/AB89+AX89*BA89+(BC89+BD89)*AX89/AY89+AZ89*AK89/AL89+BN89*AE89/AF89+BO89*AA89/AB89</f>
        <v>24247.8714693649</v>
      </c>
      <c r="BS89" s="89" t="n">
        <f aca="false">BP89+BQ89+BR89-BM89</f>
        <v>0</v>
      </c>
      <c r="BT89" s="85" t="n">
        <f aca="false">Y89*(1-R89)</f>
        <v>0</v>
      </c>
      <c r="BU89" s="85" t="n">
        <f aca="false">Z89*(1-R89)</f>
        <v>0</v>
      </c>
      <c r="BV89" s="85" t="n">
        <f aca="false">AA89*(1-R89)</f>
        <v>104804</v>
      </c>
      <c r="BW89" s="85" t="n">
        <f aca="false">BT89+BU89+BV89</f>
        <v>104804</v>
      </c>
      <c r="BX89" s="90" t="n">
        <f aca="false">IF(BT89&gt;0,BP89/BT89,0)</f>
        <v>0</v>
      </c>
      <c r="BY89" s="90" t="n">
        <f aca="false">IF(BU89&gt;0,BQ89/BU89,0)</f>
        <v>0</v>
      </c>
      <c r="BZ89" s="90" t="n">
        <f aca="false">IF(BV89&gt;0,BR89/BV89,0)</f>
        <v>0.231363988677578</v>
      </c>
      <c r="CA89" s="90" t="n">
        <f aca="false">INDEX(in_mkt_listing_3464,1,C89)*(1-IF(sku_flute_3464="B",T89,0))*(1-S89)*N89</f>
        <v>0.234</v>
      </c>
      <c r="CB89" s="90" t="n">
        <f aca="false">INDEX(in_mkt_listing_3463,1,C89)*(1-IF(sku_flute_3463="B",T89,0))*(1-S89)*N89</f>
        <v>0.27</v>
      </c>
      <c r="CC89" s="90" t="n">
        <f aca="false">INDEX(in_mkt_listing_3460,1,C89)*(1-IF(sku_flute_3460="B",T89,0))*(1-S89)*N89</f>
        <v>0.225</v>
      </c>
      <c r="CD89" s="88" t="n">
        <f aca="false">BT89*CA89+BU89*CB89+BV89*CC89</f>
        <v>23580.9</v>
      </c>
      <c r="CE89" s="88" t="n">
        <f aca="false">CD89-BM89</f>
        <v>-666.971469364922</v>
      </c>
      <c r="CF89" s="87" t="n">
        <f aca="false">IF(CD89&gt;0,CE89/CD89,0)</f>
        <v>-0.0282843941225705</v>
      </c>
      <c r="CG89" s="87" t="n">
        <f aca="false">W89+INDEX(in_sel_processing,1,C89)+INDEX(in_sel_bad_debt,1,C89)</f>
        <v>0.058</v>
      </c>
      <c r="CH89" s="88" t="n">
        <f aca="false">CD89*CG89</f>
        <v>1367.6922</v>
      </c>
      <c r="CI89" s="88" t="n">
        <f aca="false">INDEX(in_sel_testing,1,C89)*X89+INDEX(in_sel_admin,1,C89)</f>
        <v>3000</v>
      </c>
      <c r="CJ89" s="79" t="n">
        <f aca="false">INDEX(in_sup_lead_days,1,C89)</f>
        <v>21</v>
      </c>
      <c r="CK89" s="79" t="n">
        <f aca="false">CJ89+INDEX(in_oce_transit,1,C89)+IF(F89=4,INDEX(in_oce_lcl_extra_days,1,C89),0)</f>
        <v>51</v>
      </c>
      <c r="CL89" s="79" t="n">
        <f aca="false">CK89+2+INDEX(in_cus_dem_days,1,C89)</f>
        <v>53</v>
      </c>
      <c r="CM89" s="79" t="n">
        <f aca="false">CL89+U89</f>
        <v>98</v>
      </c>
      <c r="CN89" s="79" t="n">
        <f aca="false">CJ89+INDEX(in_sup_vat_lag,1,C89)</f>
        <v>81</v>
      </c>
      <c r="CO89" s="91" t="n">
        <f aca="false">INDEX(in_sup_advance,1,C89)</f>
        <v>0.5</v>
      </c>
      <c r="CP89" s="88" t="n">
        <f aca="false">CO89*(AL89+AM89)+AO89+INDEX(in_sel_testing,1,C89)*X89</f>
        <v>10429.3753837059</v>
      </c>
      <c r="CQ89" s="88" t="n">
        <f aca="false">(1-CO89)*(AL89+AM89)+AR89+AU89+AZ89</f>
        <v>13512.2925714546</v>
      </c>
      <c r="CR89" s="88" t="n">
        <f aca="false">BB89+BC89+BD89+BF89+BJ89</f>
        <v>2333.76939792174</v>
      </c>
      <c r="CS89" s="88" t="n">
        <f aca="false">BK89+BL89</f>
        <v>2420</v>
      </c>
      <c r="CT89" s="88" t="n">
        <f aca="false">IF(K89=2,AM89,0)</f>
        <v>1947.56588371723</v>
      </c>
      <c r="CU89" s="85" t="n">
        <f aca="false">IF(K89=2,CO89*AM89*(CN89-0)+(1-CO89)*AM89*(CN89-CJ89),0)</f>
        <v>137303.394802065</v>
      </c>
      <c r="CV89" s="85" t="n">
        <f aca="false">(CP89-CO89*CT89)*(CM89-0)+(CQ89-(1-CO89)*CT89)*(CM89-CJ89)+CR89*(CM89-CK89)+CS89*(CM89-CL89)</f>
        <v>2110700.46248224</v>
      </c>
      <c r="CW89" s="88" t="n">
        <f aca="false">INDEX(in_sel_fin_rate,1,C89)/365*(CU89+CV89)</f>
        <v>615.891467749124</v>
      </c>
      <c r="CX89" s="85" t="n">
        <f aca="false">CP89-IF(CN89&lt;=0,CT89,0)</f>
        <v>10429.3753837059</v>
      </c>
      <c r="CY89" s="85" t="n">
        <f aca="false">CP89+CQ89-IF(CN89&lt;=CJ89,CT89,0)</f>
        <v>23941.6679551604</v>
      </c>
      <c r="CZ89" s="85" t="n">
        <f aca="false">CP89+CQ89+CR89-IF(CN89&lt;=CK89,CT89,0)</f>
        <v>26275.4373530822</v>
      </c>
      <c r="DA89" s="85" t="n">
        <f aca="false">CP89+CQ89+CR89+CS89-IF(CN89&lt;=CL89,CT89,0)</f>
        <v>28695.4373530822</v>
      </c>
      <c r="DB89" s="88" t="n">
        <f aca="false">MAX(CX89,CY89,CZ89,DA89)</f>
        <v>28695.4373530822</v>
      </c>
      <c r="DC89" s="88" t="n">
        <f aca="false">CP89+CQ89+CR89+CS89</f>
        <v>28695.4373530822</v>
      </c>
      <c r="DD89" s="88" t="n">
        <f aca="false">CE89-CH89-CI89-CW89</f>
        <v>-5650.55513711405</v>
      </c>
      <c r="DE89" s="87" t="n">
        <f aca="false">IF(CD89&gt;0,DD89/CD89,0)</f>
        <v>-0.239624235593809</v>
      </c>
      <c r="DF89" s="86" t="n">
        <f aca="false">IF(CD89&gt;0,(BM89+CI89+CW89)/(CD89*(1-CG89)),0)</f>
        <v>1.25437816942018</v>
      </c>
      <c r="DG89" s="90" t="n">
        <f aca="false">IF(BW89&gt;0,BM89/BW89,0)</f>
        <v>0.231363988677578</v>
      </c>
      <c r="DH89" s="90" t="n">
        <f aca="false">IF(BW89&gt;0,CD89/BW89,0)</f>
        <v>0.225</v>
      </c>
      <c r="DI89" s="90" t="n">
        <f aca="false">IF(AI89&gt;0,(AI89*IF(K89=3,INDEX(in_sup_vat_rate,1,C89),0)+AV89*BA89+(BC89+BD89)*AV89/AY89+AZ89*AI89/AL89)/AI89,0)</f>
        <v>0</v>
      </c>
      <c r="DJ89" s="90" t="n">
        <f aca="false">IF(AJ89&gt;0,(AJ89*IF(K89=3,INDEX(in_sup_vat_rate,1,C89),0)+AW89*BA89+(BC89+BD89)*AW89/AY89+AZ89*AJ89/AL89)/AJ89,0)</f>
        <v>0</v>
      </c>
      <c r="DK89" s="90" t="n">
        <f aca="false">IF(AK89&gt;0,(AK89*IF(K89=3,INDEX(in_sup_vat_rate,1,C89),0)+AX89*BA89+(BC89+BD89)*AX89/AY89+AZ89*AK89/AL89)/AK89,0)</f>
        <v>0.135105345210853</v>
      </c>
      <c r="DL89" s="90" t="n">
        <f aca="false">IF(Y89&gt;0,(BP89-AI89*(1+DI89))/Y89,0)</f>
        <v>0</v>
      </c>
      <c r="DM89" s="90" t="n">
        <f aca="false">IF(Z89&gt;0,(BQ89-AJ89*(1+DJ89))/Z89,0)</f>
        <v>0</v>
      </c>
      <c r="DN89" s="90" t="n">
        <f aca="false">IF(AA89&gt;0,(BR89-AK89*(1+DK89))/AA89,0)</f>
        <v>0.0794850671961173</v>
      </c>
      <c r="DO89" s="86" t="str">
        <f aca="false">IF(Y89&gt;0,(CA89*(1-thr_gm_go)*(1-R89)-DL89)/(1+DI89)*I89/((1+AH89)*J89),"")</f>
        <v/>
      </c>
      <c r="DP89" s="86" t="str">
        <f aca="false">IF(Z89&gt;0,(CB89*(1-thr_gm_go)*(1-R89)-DM89)/(1+DJ89)*I89/((1+AH89)*J89),"")</f>
        <v/>
      </c>
      <c r="DQ89" s="86" t="n">
        <f aca="false">IF(AA89&gt;0,(CC89*(1-thr_gm_go)*(1-R89)-DN89)/(1+DK89)*I89/((1+AH89)*J89),"")</f>
        <v>4.03253564310198</v>
      </c>
      <c r="DR89" s="92" t="n">
        <f aca="false">IF(AND(AY89*INDEX(in_cus_mpf_rate,1,C89)&gt;INDEX(in_cus_mpf_min,1,C89),AY89*INDEX(in_cus_mpf_rate,1,C89)&lt;INDEX(in_cus_mpf_max,1,C89)),INDEX(in_cus_mpf_rate,1,C89),0)</f>
        <v>0.003464</v>
      </c>
      <c r="DS89" s="88" t="n">
        <f aca="false">IF(AZ89&gt;INDEX(in_oce_ins_min,1,C89),INDEX(in_oce_ins_rate,1,C89)*(1+INDEX(in_oce_ins_uplift,1,C89))*AL89,0)</f>
        <v>0</v>
      </c>
      <c r="DT89" s="88" t="n">
        <f aca="false">(AL89+AN89)*(1+BA89+INDEX(in_cus_hmf,1,C89)+DR89)+DS89</f>
        <v>15715.660319698</v>
      </c>
      <c r="DU89" s="86" t="n">
        <f aca="false">IF(DT89&gt;0,(CD89*(1-thr_gm_go)-(BM89-DT89))/DT89,0)</f>
        <v>0.582442205044363</v>
      </c>
      <c r="DV89" s="86" t="n">
        <f aca="false">IF(DT89&gt;0,(CD89-(BM89-DT89))/DT89,0)</f>
        <v>0.957560073468314</v>
      </c>
      <c r="DW89" s="87" t="n">
        <f aca="false">(1+AH89)*J89*DU89-1</f>
        <v>-0.417557794955638</v>
      </c>
      <c r="DX89" s="87" t="n">
        <f aca="false">(1+AH89)*J89*DV89-1</f>
        <v>-0.0424399265316863</v>
      </c>
      <c r="DY89" s="85" t="n">
        <f aca="false">IF(G89&gt;0,(CD89*(1-thr_gm_go)-(BM89-AT89))/G89,"")</f>
        <v>-2462.19646936492</v>
      </c>
      <c r="DZ89" s="90" t="n">
        <f aca="false">IF(AB89&gt;0,(AL89+AN89+BB89+BC89+BD89)/AB89,0)</f>
        <v>0.147703574433252</v>
      </c>
      <c r="EA89" s="88" t="n">
        <f aca="false">BM89-DZ89*AB89</f>
        <v>8532.21114966688</v>
      </c>
      <c r="EB89" s="90" t="n">
        <f aca="false">IF(AB89&gt;0,CD89/AB89,0)</f>
        <v>0.221625</v>
      </c>
      <c r="EC89" s="85" t="n">
        <f aca="false">IF(EB89*(1-thr_gm_go)-DZ89&gt;0,EA89/(EB89*(1-thr_gm_go)-DZ89),"n/a")</f>
        <v>460822.589497356</v>
      </c>
      <c r="ED89" s="85" t="n">
        <f aca="false">IF(EB89-DZ89&gt;0,EA89/(EB89-DZ89),"n/a")</f>
        <v>115422.708426567</v>
      </c>
      <c r="EE89" s="93" t="b">
        <f aca="false">INDEX(cfg_fits,D89,C89)</f>
        <v>1</v>
      </c>
      <c r="EF89" s="87" t="n">
        <f aca="false">IF(F89=4,"",INDEX(cfg_lenutil,D89,C89))</f>
        <v>0.985750209555742</v>
      </c>
      <c r="EG89" s="31" t="str">
        <f aca="false">IF(O89&gt;1,"Check fit (units scaled up)","")</f>
        <v/>
      </c>
    </row>
    <row r="90" customFormat="false" ht="15" hidden="false" customHeight="false" outlineLevel="0" collapsed="false">
      <c r="A90" s="78" t="n">
        <v>2081</v>
      </c>
      <c r="B90" s="9" t="s">
        <v>3238</v>
      </c>
      <c r="C90" s="78" t="n">
        <v>2</v>
      </c>
      <c r="D90" s="78" t="n">
        <v>8</v>
      </c>
      <c r="E90" s="78" t="n">
        <v>1</v>
      </c>
      <c r="F90" s="79" t="n">
        <f aca="false">INDEX(cfg_ct,D90)</f>
        <v>2</v>
      </c>
      <c r="G90" s="79" t="n">
        <f aca="false">INDEX(cfg_n,D90)</f>
        <v>1</v>
      </c>
      <c r="H90" s="79" t="n">
        <f aca="false">INDEX(dest_port,E90)</f>
        <v>1</v>
      </c>
      <c r="I90" s="80" t="n">
        <f aca="false">INDEX(in_fx_cbe,1,C90)*(1-INDEX(in_fx_spread,1,C90))</f>
        <v>52.7748</v>
      </c>
      <c r="J90" s="81" t="n">
        <f aca="false">1</f>
        <v>1</v>
      </c>
      <c r="K90" s="82" t="n">
        <f aca="false">INDEX(in_sup_vat_mode,1,C90)</f>
        <v>2</v>
      </c>
      <c r="L90" s="83" t="n">
        <f aca="false">INDEX(in_cus_s301,1,C90)</f>
        <v>0.125</v>
      </c>
      <c r="M90" s="84" t="n">
        <f aca="false">1</f>
        <v>1</v>
      </c>
      <c r="N90" s="81" t="n">
        <f aca="false">1</f>
        <v>1</v>
      </c>
      <c r="O90" s="81" t="n">
        <f aca="false">1</f>
        <v>1</v>
      </c>
      <c r="P90" s="81" t="n">
        <f aca="false">1</f>
        <v>1</v>
      </c>
      <c r="Q90" s="81" t="n">
        <f aca="false">1</f>
        <v>1</v>
      </c>
      <c r="R90" s="83" t="n">
        <f aca="false">INDEX(in_sel_damage,1,C90)</f>
        <v>0.015</v>
      </c>
      <c r="S90" s="83" t="n">
        <f aca="false">INDEX(in_mkt_dist_margin,1,C90)</f>
        <v>0.25</v>
      </c>
      <c r="T90" s="83" t="n">
        <f aca="false">INDEX(in_mkt_eflute_disc,1,C90)</f>
        <v>0.2</v>
      </c>
      <c r="U90" s="82" t="n">
        <f aca="false">INDEX(in_sel_credit_days,1,C90)</f>
        <v>45</v>
      </c>
      <c r="V90" s="81" t="n">
        <f aca="false">1</f>
        <v>1</v>
      </c>
      <c r="W90" s="83" t="n">
        <f aca="false">INDEX(in_sel_commission,1,C90)</f>
        <v>0.05</v>
      </c>
      <c r="X90" s="82" t="n">
        <f aca="false">1</f>
        <v>1</v>
      </c>
      <c r="Y90" s="85" t="n">
        <f aca="false">INDEX(cfg_u_3464,D90,C90)*O90</f>
        <v>22600</v>
      </c>
      <c r="Z90" s="85" t="n">
        <f aca="false">INDEX(cfg_u_3463,D90,C90)*O90</f>
        <v>22600</v>
      </c>
      <c r="AA90" s="85" t="n">
        <f aca="false">INDEX(cfg_u_3460,D90,C90)*O90</f>
        <v>22600</v>
      </c>
      <c r="AB90" s="85" t="n">
        <f aca="false">Y90+Z90+AA90</f>
        <v>67800</v>
      </c>
      <c r="AC90" s="86" t="n">
        <f aca="false">Y90*INDEX(lg_vpu_3464,C90)</f>
        <v>16.0774592</v>
      </c>
      <c r="AD90" s="86" t="n">
        <f aca="false">Z90*INDEX(lg_vpu_3463,C90)</f>
        <v>19.6681472</v>
      </c>
      <c r="AE90" s="86" t="n">
        <f aca="false">AA90*INDEX(lg_vpu_3460,C90)</f>
        <v>12.8483712</v>
      </c>
      <c r="AF90" s="86" t="n">
        <f aca="false">AC90+AD90+AE90</f>
        <v>48.5939776</v>
      </c>
      <c r="AG90" s="85" t="n">
        <f aca="false">Y90*INDEX(lg_kpu_3464,C90)+Z90*INDEX(lg_kpu_3463,C90)+AA90*INDEX(lg_kpu_3460,C90)</f>
        <v>11686.6122336</v>
      </c>
      <c r="AH90" s="87" t="n">
        <f aca="false">INDEX(in_sup_requote,1,C90)</f>
        <v>0</v>
      </c>
      <c r="AI90" s="88" t="n">
        <f aca="false">Y90*q_price_3464*(1+AH90)*J90/I90</f>
        <v>3582.18316317636</v>
      </c>
      <c r="AJ90" s="88" t="n">
        <f aca="false">Z90*q_price_3463*(1+AH90)*J90/I90</f>
        <v>3383.05403336441</v>
      </c>
      <c r="AK90" s="88" t="n">
        <f aca="false">AA90*q_price_3460*(1+AH90)*J90/I90</f>
        <v>2954.81934559676</v>
      </c>
      <c r="AL90" s="88" t="n">
        <f aca="false">AI90+AJ90+AK90</f>
        <v>9920.05654213754</v>
      </c>
      <c r="AM90" s="88" t="n">
        <f aca="false">IF(OR(K90=2,K90=3),AL90*INDEX(in_sup_vat_rate,1,C90),0)</f>
        <v>1388.80791589926</v>
      </c>
      <c r="AN90" s="88" t="n">
        <f aca="false">IF(K90=3,AM90,0)</f>
        <v>0</v>
      </c>
      <c r="AO90" s="88" t="n">
        <f aca="false">INDEX(in_sup_tooling_egp,1,C90)/I90</f>
        <v>0</v>
      </c>
      <c r="AP90" s="88" t="n">
        <f aca="false">IF(F90=4,INDEX(in_ori_lcl_truck,1,C90)*V90/I90+INDEX(in_ori_lcl_cfs_o,1,C90),G90*(IF(F90=1,INDEX(in_ori_truck_20,1,C90),INDEX(in_ori_truck_40,1,C90))*V90/I90+INDEX(in_ori_terminal,1,C90)+IF(F90=1,INDEX(in_ori_othc_20,1,C90),INDEX(in_ori_othc_40,1,C90))*(1-INDEX(in_ori_othc_in_freight,1,C90))+INDEX(in_ori_seal,1,C90)+INDEX(in_ori_inspection,1,C90)+INDEX(in_ori_dd_days,1,C90)*IF(F90=1,INDEX(in_ori_dd_20,1,C90),INDEX(in_ori_dd_40,1,C90))+INDEX(in_ori_loading_egp,1,C90)/I90))</f>
        <v>555.278125165799</v>
      </c>
      <c r="AQ90" s="88" t="n">
        <f aca="false">(INDEX(in_ori_clearance,1,C90)+INDEX(in_ori_coo,1,C90))/I90+INDEX(in_ori_bl_fee,1,C90)+INDEX(in_ori_fwd_fee,1,C90)+INDEX(in_ori_qc,1,C90)+INDEX(in_ori_wires,1,C90)*INDEX(in_ori_wire_fee,1,C90)</f>
        <v>817.639062582899</v>
      </c>
      <c r="AR90" s="88" t="n">
        <f aca="false">AP90+AQ90</f>
        <v>1372.9171877487</v>
      </c>
      <c r="AS90" s="85" t="n">
        <f aca="false">INDEX(tbl_port_diff,H90,C90)</f>
        <v>0</v>
      </c>
      <c r="AT90" s="88" t="n">
        <f aca="false">IF(F90=4,MAX(AF90*INDEX(in_oce_lcl_factor,1,C90),AG90/1000,1)*INDEX(in_oce_lcl_rate,1,C90)*M90,G90*(INDEX(tbl_ocean_rate,MIN(F90,3),C90)+AS90)*M90)</f>
        <v>3900</v>
      </c>
      <c r="AU90" s="88" t="n">
        <f aca="false">AT90+INDEX(in_oce_ams,1,C90)</f>
        <v>3935</v>
      </c>
      <c r="AV90" s="88" t="n">
        <f aca="false">AI90*(1+IF(K90=3,INDEX(in_sup_vat_rate,1,C90),0))+AO90*Y90/AB90</f>
        <v>3582.18316317636</v>
      </c>
      <c r="AW90" s="88" t="n">
        <f aca="false">AJ90*(1+IF(K90=3,INDEX(in_sup_vat_rate,1,C90),0))+AO90*Z90/AB90</f>
        <v>3383.05403336441</v>
      </c>
      <c r="AX90" s="88" t="n">
        <f aca="false">AK90*(1+IF(K90=3,INDEX(in_sup_vat_rate,1,C90),0))+AO90*AA90/AB90</f>
        <v>2954.81934559676</v>
      </c>
      <c r="AY90" s="88" t="n">
        <f aca="false">AV90+AW90+AX90</f>
        <v>9920.05654213754</v>
      </c>
      <c r="AZ90" s="88" t="n">
        <f aca="false">MAX(INDEX(in_oce_ins_min,1,C90),INDEX(in_oce_ins_rate,1,C90)*(1+INDEX(in_oce_ins_uplift,1,C90))*(AL90+AO90+AR90+AU90))*(1-INDEX(in_oce_ins_in_other,1,C90))</f>
        <v>75</v>
      </c>
      <c r="BA90" s="87" t="n">
        <f aca="false">INDEX(in_cus_mfn,1,C90)+L90</f>
        <v>0.125</v>
      </c>
      <c r="BB90" s="88" t="n">
        <f aca="false">AY90*BA90</f>
        <v>1240.00706776719</v>
      </c>
      <c r="BC90" s="88" t="n">
        <f aca="false">MIN(MAX(AY90*INDEX(in_cus_mpf_rate,1,C90),INDEX(in_cus_mpf_min,1,C90)),INDEX(in_cus_mpf_max,1,C90))</f>
        <v>34.58</v>
      </c>
      <c r="BD90" s="88" t="n">
        <f aca="false">AY90*INDEX(in_cus_hmf,1,C90)</f>
        <v>12.4000706776719</v>
      </c>
      <c r="BE90" s="88" t="n">
        <f aca="false">MAX(INDEX(in_cus_stb_min,1,C90),INDEX(in_cus_stb_rate,1,C90)/1000*(AY90+BB90+BC90+BD90))</f>
        <v>75</v>
      </c>
      <c r="BF90" s="88" t="n">
        <f aca="false">INDEX(in_cus_broker,1,C90)+INDEX(in_cus_isf,1,C90)+INDEX(in_cus_do_fee,1,C90)+BE90+INDEX(in_cus_isf_bond,1,C90)</f>
        <v>510</v>
      </c>
      <c r="BG90" s="88" t="n">
        <f aca="false">IF(H90=1,INDEX(in_cus_cfc,1,C90)*INDEX(ct_teu,F90)*G90*(1-INDEX(in_cus_cfc_in_freight,1,C90)),0)</f>
        <v>29.6</v>
      </c>
      <c r="BH90" s="88" t="n">
        <f aca="false">IF(F90=4,1,G90)*(INDEX(in_cus_exam,1,C90)+INDEX(in_cus_exam_dray,1,C90))</f>
        <v>0</v>
      </c>
      <c r="BI90" s="88" t="n">
        <f aca="false">IF(F90=4,1,G90)*INDEX(in_cus_dem_days,1,C90)*INDEX(in_cus_dem_rate,1,C90)</f>
        <v>0</v>
      </c>
      <c r="BJ90" s="88" t="n">
        <f aca="false">BG90+BH90+BI90</f>
        <v>29.6</v>
      </c>
      <c r="BK90" s="88" t="n">
        <f aca="false">IF(F90=4,(INDEX(in_dra_lcl_cfs_d,1,C90)+INDEX(in_dra_lcl_deliv,1,C90))*P90,G90*(INDEX(tbl_dest_line,E90,C90)*P90*(1+INDEX(in_dra_fsc,1,C90))+INDEX(tbl_dest_tolls,E90,C90)+INDEX(in_dra_chassis_days,1,C90)*INDEX(tbl_dest_chassis,E90,C90)*(1-INDEX(in_dra_chassis_in_dray,1,C90))+INDEX(in_dra_wait_hours,1,C90)*INDEX(in_dra_wait_rate,1,C90)+INDEX(in_dra_split,1,C90)+INDEX(in_dra_prepull,1,C90)+INDEX(in_dra_dryrun,1,C90)))</f>
        <v>1060</v>
      </c>
      <c r="BL90" s="88" t="n">
        <f aca="false">IF(F90=4,0,G90*IF(F90=1,INDEX(in_dra_unload_20,1,C90),INDEX(in_dra_unload_40,1,C90))*Q90*(1-INDEX(in_dra_unload_in_dray,1,C90)))</f>
        <v>450</v>
      </c>
      <c r="BM90" s="88" t="n">
        <f aca="false">AL90+AN90+AO90+AR90+AU90+AZ90+BB90+BC90+BD90+BF90+BJ90+BK90+BL90</f>
        <v>18639.5608683311</v>
      </c>
      <c r="BN90" s="88" t="n">
        <f aca="false">AP90+AU90+BJ90+BK90+BL90</f>
        <v>6029.8781251658</v>
      </c>
      <c r="BO90" s="88" t="n">
        <f aca="false">AQ90+BF90</f>
        <v>1327.6390625829</v>
      </c>
      <c r="BP90" s="88" t="n">
        <f aca="false">AI90*(1+IF(K90=3,INDEX(in_sup_vat_rate,1,C90),0))+AO90*Y90/AB90+AV90*BA90+(BC90+BD90)*AV90/AY90+AZ90*AI90/AL90+BN90*AC90/AF90+BO90*Y90/AB90</f>
        <v>6511.55280247637</v>
      </c>
      <c r="BQ90" s="88" t="n">
        <f aca="false">AJ90*(1+IF(K90=3,INDEX(in_sup_vat_rate,1,C90),0))+AO90*Z90/AB90+AW90*BA90+(BC90+BD90)*AW90/AY90+AZ90*AJ90/AL90+BN90*AD90/AF90+BO90*Z90/AB90</f>
        <v>6730.64147525825</v>
      </c>
      <c r="BR90" s="88" t="n">
        <f aca="false">AK90*(1+IF(K90=3,INDEX(in_sup_vat_rate,1,C90),0))+AO90*AA90/AB90+AX90*BA90+(BC90+BD90)*AX90/AY90+AZ90*AK90/AL90+BN90*AE90/AF90+BO90*AA90/AB90</f>
        <v>5397.36659059648</v>
      </c>
      <c r="BS90" s="89" t="n">
        <f aca="false">BP90+BQ90+BR90-BM90</f>
        <v>0</v>
      </c>
      <c r="BT90" s="85" t="n">
        <f aca="false">Y90*(1-R90)</f>
        <v>22261</v>
      </c>
      <c r="BU90" s="85" t="n">
        <f aca="false">Z90*(1-R90)</f>
        <v>22261</v>
      </c>
      <c r="BV90" s="85" t="n">
        <f aca="false">AA90*(1-R90)</f>
        <v>22261</v>
      </c>
      <c r="BW90" s="85" t="n">
        <f aca="false">BT90+BU90+BV90</f>
        <v>66783</v>
      </c>
      <c r="BX90" s="90" t="n">
        <f aca="false">IF(BT90&gt;0,BP90/BT90,0)</f>
        <v>0.292509447126201</v>
      </c>
      <c r="BY90" s="90" t="n">
        <f aca="false">IF(BU90&gt;0,BQ90/BU90,0)</f>
        <v>0.302351263431932</v>
      </c>
      <c r="BZ90" s="90" t="n">
        <f aca="false">IF(BV90&gt;0,BR90/BV90,0)</f>
        <v>0.242458406657225</v>
      </c>
      <c r="CA90" s="90" t="n">
        <f aca="false">INDEX(in_mkt_listing_3464,1,C90)*(1-IF(sku_flute_3464="B",T90,0))*(1-S90)*N90</f>
        <v>0.234</v>
      </c>
      <c r="CB90" s="90" t="n">
        <f aca="false">INDEX(in_mkt_listing_3463,1,C90)*(1-IF(sku_flute_3463="B",T90,0))*(1-S90)*N90</f>
        <v>0.27</v>
      </c>
      <c r="CC90" s="90" t="n">
        <f aca="false">INDEX(in_mkt_listing_3460,1,C90)*(1-IF(sku_flute_3460="B",T90,0))*(1-S90)*N90</f>
        <v>0.225</v>
      </c>
      <c r="CD90" s="88" t="n">
        <f aca="false">BT90*CA90+BU90*CB90+BV90*CC90</f>
        <v>16228.269</v>
      </c>
      <c r="CE90" s="88" t="n">
        <f aca="false">CD90-BM90</f>
        <v>-2411.2918683311</v>
      </c>
      <c r="CF90" s="87" t="n">
        <f aca="false">IF(CD90&gt;0,CE90/CD90,0)</f>
        <v>-0.148585894671274</v>
      </c>
      <c r="CG90" s="87" t="n">
        <f aca="false">W90+INDEX(in_sel_processing,1,C90)+INDEX(in_sel_bad_debt,1,C90)</f>
        <v>0.058</v>
      </c>
      <c r="CH90" s="88" t="n">
        <f aca="false">CD90*CG90</f>
        <v>941.239602</v>
      </c>
      <c r="CI90" s="88" t="n">
        <f aca="false">INDEX(in_sel_testing,1,C90)*X90+INDEX(in_sel_admin,1,C90)</f>
        <v>3000</v>
      </c>
      <c r="CJ90" s="79" t="n">
        <f aca="false">INDEX(in_sup_lead_days,1,C90)</f>
        <v>21</v>
      </c>
      <c r="CK90" s="79" t="n">
        <f aca="false">CJ90+INDEX(in_oce_transit,1,C90)+IF(F90=4,INDEX(in_oce_lcl_extra_days,1,C90),0)</f>
        <v>51</v>
      </c>
      <c r="CL90" s="79" t="n">
        <f aca="false">CK90+2+INDEX(in_cus_dem_days,1,C90)</f>
        <v>53</v>
      </c>
      <c r="CM90" s="79" t="n">
        <f aca="false">CL90+U90</f>
        <v>98</v>
      </c>
      <c r="CN90" s="79" t="n">
        <f aca="false">CJ90+INDEX(in_sup_vat_lag,1,C90)</f>
        <v>81</v>
      </c>
      <c r="CO90" s="91" t="n">
        <f aca="false">INDEX(in_sup_advance,1,C90)</f>
        <v>0.5</v>
      </c>
      <c r="CP90" s="88" t="n">
        <f aca="false">CO90*(AL90+AM90)+AO90+INDEX(in_sel_testing,1,C90)*X90</f>
        <v>8154.4322290184</v>
      </c>
      <c r="CQ90" s="88" t="n">
        <f aca="false">(1-CO90)*(AL90+AM90)+AR90+AU90+AZ90</f>
        <v>11037.3494167671</v>
      </c>
      <c r="CR90" s="88" t="n">
        <f aca="false">BB90+BC90+BD90+BF90+BJ90</f>
        <v>1826.58713844486</v>
      </c>
      <c r="CS90" s="88" t="n">
        <f aca="false">BK90+BL90</f>
        <v>1510</v>
      </c>
      <c r="CT90" s="88" t="n">
        <f aca="false">IF(K90=2,AM90,0)</f>
        <v>1388.80791589926</v>
      </c>
      <c r="CU90" s="85" t="n">
        <f aca="false">IF(K90=2,CO90*AM90*(CN90-0)+(1-CO90)*AM90*(CN90-CJ90),0)</f>
        <v>97910.9580708975</v>
      </c>
      <c r="CV90" s="85" t="n">
        <f aca="false">(CP90-CO90*CT90)*(CM90-0)+(CQ90-(1-CO90)*CT90)*(CM90-CJ90)+CR90*(CM90-CK90)+CS90*(CM90-CL90)</f>
        <v>1681289.16640059</v>
      </c>
      <c r="CW90" s="88" t="n">
        <f aca="false">INDEX(in_sel_fin_rate,1,C90)/365*(CU90+CV90)</f>
        <v>487.452088896299</v>
      </c>
      <c r="CX90" s="85" t="n">
        <f aca="false">CP90-IF(CN90&lt;=0,CT90,0)</f>
        <v>8154.4322290184</v>
      </c>
      <c r="CY90" s="85" t="n">
        <f aca="false">CP90+CQ90-IF(CN90&lt;=CJ90,CT90,0)</f>
        <v>19191.7816457855</v>
      </c>
      <c r="CZ90" s="85" t="n">
        <f aca="false">CP90+CQ90+CR90-IF(CN90&lt;=CK90,CT90,0)</f>
        <v>21018.3687842304</v>
      </c>
      <c r="DA90" s="85" t="n">
        <f aca="false">CP90+CQ90+CR90+CS90-IF(CN90&lt;=CL90,CT90,0)</f>
        <v>22528.3687842304</v>
      </c>
      <c r="DB90" s="88" t="n">
        <f aca="false">MAX(CX90,CY90,CZ90,DA90)</f>
        <v>22528.3687842304</v>
      </c>
      <c r="DC90" s="88" t="n">
        <f aca="false">CP90+CQ90+CR90+CS90</f>
        <v>22528.3687842304</v>
      </c>
      <c r="DD90" s="88" t="n">
        <f aca="false">CE90-CH90-CI90-CW90</f>
        <v>-6839.9835592274</v>
      </c>
      <c r="DE90" s="87" t="n">
        <f aca="false">IF(CD90&gt;0,DD90/CD90,0)</f>
        <v>-0.421485714787412</v>
      </c>
      <c r="DF90" s="86" t="n">
        <f aca="false">IF(CD90&gt;0,(BM90+CI90+CW90)/(CD90*(1-CG90)),0)</f>
        <v>1.44743706453016</v>
      </c>
      <c r="DG90" s="90" t="n">
        <f aca="false">IF(BW90&gt;0,BM90/BW90,0)</f>
        <v>0.27910637240512</v>
      </c>
      <c r="DH90" s="90" t="n">
        <f aca="false">IF(BW90&gt;0,CD90/BW90,0)</f>
        <v>0.243</v>
      </c>
      <c r="DI90" s="90" t="n">
        <f aca="false">IF(AI90&gt;0,(AI90*IF(K90=3,INDEX(in_sup_vat_rate,1,C90),0)+AV90*BA90+(BC90+BD90)*AV90/AY90+AZ90*AI90/AL90)/AI90,0)</f>
        <v>0.13729630800586</v>
      </c>
      <c r="DJ90" s="90" t="n">
        <f aca="false">IF(AJ90&gt;0,(AJ90*IF(K90=3,INDEX(in_sup_vat_rate,1,C90),0)+AW90*BA90+(BC90+BD90)*AW90/AY90+AZ90*AJ90/AL90)/AJ90,0)</f>
        <v>0.13729630800586</v>
      </c>
      <c r="DK90" s="90" t="n">
        <f aca="false">IF(AK90&gt;0,(AK90*IF(K90=3,INDEX(in_sup_vat_rate,1,C90),0)+AX90*BA90+(BC90+BD90)*AX90/AY90+AZ90*AK90/AL90)/AK90,0)</f>
        <v>0.13729630800586</v>
      </c>
      <c r="DL90" s="90" t="n">
        <f aca="false">IF(Y90&gt;0,(BP90-AI90*(1+DI90))/Y90,0)</f>
        <v>0.107856155592705</v>
      </c>
      <c r="DM90" s="90" t="n">
        <f aca="false">IF(Z90&gt;0,(BQ90-AJ90*(1+DJ90))/Z90,0)</f>
        <v>0.127571089085335</v>
      </c>
      <c r="DN90" s="90" t="n">
        <f aca="false">IF(AA90&gt;0,(BR90-AK90*(1+DK90))/AA90,0)</f>
        <v>0.0901266131869465</v>
      </c>
      <c r="DO90" s="86" t="n">
        <f aca="false">IF(Y90&gt;0,(CA90*(1-thr_gm_go)*(1-R90)-DL90)/(1+DI90)*I90/((1+AH90)*J90),"")</f>
        <v>3.01676939833029</v>
      </c>
      <c r="DP90" s="86" t="n">
        <f aca="false">IF(Z90&gt;0,(CB90*(1-thr_gm_go)*(1-R90)-DM90)/(1+DJ90)*I90/((1+AH90)*J90),"")</f>
        <v>3.33603020253514</v>
      </c>
      <c r="DQ90" s="86" t="n">
        <f aca="false">IF(AA90&gt;0,(CC90*(1-thr_gm_go)*(1-R90)-DN90)/(1+DK90)*I90/((1+AH90)*J90),"")</f>
        <v>3.53095958688441</v>
      </c>
      <c r="DR90" s="92" t="n">
        <f aca="false">IF(AND(AY90*INDEX(in_cus_mpf_rate,1,C90)&gt;INDEX(in_cus_mpf_min,1,C90),AY90*INDEX(in_cus_mpf_rate,1,C90)&lt;INDEX(in_cus_mpf_max,1,C90)),INDEX(in_cus_mpf_rate,1,C90),0)</f>
        <v>0</v>
      </c>
      <c r="DS90" s="88" t="n">
        <f aca="false">IF(AZ90&gt;INDEX(in_oce_ins_min,1,C90),INDEX(in_oce_ins_rate,1,C90)*(1+INDEX(in_oce_ins_uplift,1,C90))*AL90,0)</f>
        <v>0</v>
      </c>
      <c r="DT90" s="88" t="n">
        <f aca="false">(AL90+AN90)*(1+BA90+INDEX(in_cus_hmf,1,C90)+DR90)+DS90</f>
        <v>11172.4636805824</v>
      </c>
      <c r="DU90" s="86" t="n">
        <f aca="false">IF(DT90&gt;0,(CD90*(1-thr_gm_go)-(BM90-DT90))/DT90,0)</f>
        <v>0.421044515940291</v>
      </c>
      <c r="DV90" s="86" t="n">
        <f aca="false">IF(DT90&gt;0,(CD90-(BM90-DT90))/DT90,0)</f>
        <v>0.784175456974463</v>
      </c>
      <c r="DW90" s="87" t="n">
        <f aca="false">(1+AH90)*J90*DU90-1</f>
        <v>-0.578955484059709</v>
      </c>
      <c r="DX90" s="87" t="n">
        <f aca="false">(1+AH90)*J90*DV90-1</f>
        <v>-0.215824543025537</v>
      </c>
      <c r="DY90" s="85" t="n">
        <f aca="false">IF(G90&gt;0,(CD90*(1-thr_gm_go)-(BM90-AT90))/G90,"")</f>
        <v>-2568.3591183311</v>
      </c>
      <c r="DZ90" s="90" t="n">
        <f aca="false">IF(AB90&gt;0,(AL90+AN90+BB90+BC90+BD90)/AB90,0)</f>
        <v>0.165295629507115</v>
      </c>
      <c r="EA90" s="88" t="n">
        <f aca="false">BM90-DZ90*AB90</f>
        <v>7432.5171877487</v>
      </c>
      <c r="EB90" s="90" t="n">
        <f aca="false">IF(AB90&gt;0,CD90/AB90,0)</f>
        <v>0.239355</v>
      </c>
      <c r="EC90" s="85" t="n">
        <f aca="false">IF(EB90*(1-thr_gm_go)-DZ90&gt;0,EA90/(EB90*(1-thr_gm_go)-DZ90),"n/a")</f>
        <v>522657.72730996</v>
      </c>
      <c r="ED90" s="85" t="n">
        <f aca="false">IF(EB90-DZ90&gt;0,EA90/(EB90-DZ90),"n/a")</f>
        <v>100358.903110887</v>
      </c>
      <c r="EE90" s="93" t="b">
        <f aca="false">INDEX(cfg_fits,D90,C90)</f>
        <v>1</v>
      </c>
      <c r="EF90" s="87" t="n">
        <f aca="false">IF(F90=4,"",INDEX(cfg_lenutil,D90,C90))</f>
        <v>0.999580888516345</v>
      </c>
      <c r="EG90" s="31" t="str">
        <f aca="false">IF(O90&gt;1,"Check fit (units scaled up)","")</f>
        <v/>
      </c>
    </row>
    <row r="91" customFormat="false" ht="15" hidden="false" customHeight="false" outlineLevel="0" collapsed="false">
      <c r="A91" s="78" t="n">
        <v>2082</v>
      </c>
      <c r="B91" s="9" t="s">
        <v>3239</v>
      </c>
      <c r="C91" s="78" t="n">
        <v>2</v>
      </c>
      <c r="D91" s="78" t="n">
        <v>8</v>
      </c>
      <c r="E91" s="78" t="n">
        <v>2</v>
      </c>
      <c r="F91" s="79" t="n">
        <f aca="false">INDEX(cfg_ct,D91)</f>
        <v>2</v>
      </c>
      <c r="G91" s="79" t="n">
        <f aca="false">INDEX(cfg_n,D91)</f>
        <v>1</v>
      </c>
      <c r="H91" s="79" t="n">
        <f aca="false">INDEX(dest_port,E91)</f>
        <v>1</v>
      </c>
      <c r="I91" s="80" t="n">
        <f aca="false">INDEX(in_fx_cbe,1,C91)*(1-INDEX(in_fx_spread,1,C91))</f>
        <v>52.7748</v>
      </c>
      <c r="J91" s="81" t="n">
        <f aca="false">1</f>
        <v>1</v>
      </c>
      <c r="K91" s="82" t="n">
        <f aca="false">INDEX(in_sup_vat_mode,1,C91)</f>
        <v>2</v>
      </c>
      <c r="L91" s="83" t="n">
        <f aca="false">INDEX(in_cus_s301,1,C91)</f>
        <v>0.125</v>
      </c>
      <c r="M91" s="84" t="n">
        <f aca="false">1</f>
        <v>1</v>
      </c>
      <c r="N91" s="81" t="n">
        <f aca="false">1</f>
        <v>1</v>
      </c>
      <c r="O91" s="81" t="n">
        <f aca="false">1</f>
        <v>1</v>
      </c>
      <c r="P91" s="81" t="n">
        <f aca="false">1</f>
        <v>1</v>
      </c>
      <c r="Q91" s="81" t="n">
        <f aca="false">1</f>
        <v>1</v>
      </c>
      <c r="R91" s="83" t="n">
        <f aca="false">INDEX(in_sel_damage,1,C91)</f>
        <v>0.015</v>
      </c>
      <c r="S91" s="83" t="n">
        <f aca="false">INDEX(in_mkt_dist_margin,1,C91)</f>
        <v>0.25</v>
      </c>
      <c r="T91" s="83" t="n">
        <f aca="false">INDEX(in_mkt_eflute_disc,1,C91)</f>
        <v>0.2</v>
      </c>
      <c r="U91" s="82" t="n">
        <f aca="false">INDEX(in_sel_credit_days,1,C91)</f>
        <v>45</v>
      </c>
      <c r="V91" s="81" t="n">
        <f aca="false">1</f>
        <v>1</v>
      </c>
      <c r="W91" s="83" t="n">
        <f aca="false">INDEX(in_sel_commission,1,C91)</f>
        <v>0.05</v>
      </c>
      <c r="X91" s="82" t="n">
        <f aca="false">1</f>
        <v>1</v>
      </c>
      <c r="Y91" s="85" t="n">
        <f aca="false">INDEX(cfg_u_3464,D91,C91)*O91</f>
        <v>22600</v>
      </c>
      <c r="Z91" s="85" t="n">
        <f aca="false">INDEX(cfg_u_3463,D91,C91)*O91</f>
        <v>22600</v>
      </c>
      <c r="AA91" s="85" t="n">
        <f aca="false">INDEX(cfg_u_3460,D91,C91)*O91</f>
        <v>22600</v>
      </c>
      <c r="AB91" s="85" t="n">
        <f aca="false">Y91+Z91+AA91</f>
        <v>67800</v>
      </c>
      <c r="AC91" s="86" t="n">
        <f aca="false">Y91*INDEX(lg_vpu_3464,C91)</f>
        <v>16.0774592</v>
      </c>
      <c r="AD91" s="86" t="n">
        <f aca="false">Z91*INDEX(lg_vpu_3463,C91)</f>
        <v>19.6681472</v>
      </c>
      <c r="AE91" s="86" t="n">
        <f aca="false">AA91*INDEX(lg_vpu_3460,C91)</f>
        <v>12.8483712</v>
      </c>
      <c r="AF91" s="86" t="n">
        <f aca="false">AC91+AD91+AE91</f>
        <v>48.5939776</v>
      </c>
      <c r="AG91" s="85" t="n">
        <f aca="false">Y91*INDEX(lg_kpu_3464,C91)+Z91*INDEX(lg_kpu_3463,C91)+AA91*INDEX(lg_kpu_3460,C91)</f>
        <v>11686.6122336</v>
      </c>
      <c r="AH91" s="87" t="n">
        <f aca="false">INDEX(in_sup_requote,1,C91)</f>
        <v>0</v>
      </c>
      <c r="AI91" s="88" t="n">
        <f aca="false">Y91*q_price_3464*(1+AH91)*J91/I91</f>
        <v>3582.18316317636</v>
      </c>
      <c r="AJ91" s="88" t="n">
        <f aca="false">Z91*q_price_3463*(1+AH91)*J91/I91</f>
        <v>3383.05403336441</v>
      </c>
      <c r="AK91" s="88" t="n">
        <f aca="false">AA91*q_price_3460*(1+AH91)*J91/I91</f>
        <v>2954.81934559676</v>
      </c>
      <c r="AL91" s="88" t="n">
        <f aca="false">AI91+AJ91+AK91</f>
        <v>9920.05654213754</v>
      </c>
      <c r="AM91" s="88" t="n">
        <f aca="false">IF(OR(K91=2,K91=3),AL91*INDEX(in_sup_vat_rate,1,C91),0)</f>
        <v>1388.80791589926</v>
      </c>
      <c r="AN91" s="88" t="n">
        <f aca="false">IF(K91=3,AM91,0)</f>
        <v>0</v>
      </c>
      <c r="AO91" s="88" t="n">
        <f aca="false">INDEX(in_sup_tooling_egp,1,C91)/I91</f>
        <v>0</v>
      </c>
      <c r="AP91" s="88" t="n">
        <f aca="false">IF(F91=4,INDEX(in_ori_lcl_truck,1,C91)*V91/I91+INDEX(in_ori_lcl_cfs_o,1,C91),G91*(IF(F91=1,INDEX(in_ori_truck_20,1,C91),INDEX(in_ori_truck_40,1,C91))*V91/I91+INDEX(in_ori_terminal,1,C91)+IF(F91=1,INDEX(in_ori_othc_20,1,C91),INDEX(in_ori_othc_40,1,C91))*(1-INDEX(in_ori_othc_in_freight,1,C91))+INDEX(in_ori_seal,1,C91)+INDEX(in_ori_inspection,1,C91)+INDEX(in_ori_dd_days,1,C91)*IF(F91=1,INDEX(in_ori_dd_20,1,C91),INDEX(in_ori_dd_40,1,C91))+INDEX(in_ori_loading_egp,1,C91)/I91))</f>
        <v>555.278125165799</v>
      </c>
      <c r="AQ91" s="88" t="n">
        <f aca="false">(INDEX(in_ori_clearance,1,C91)+INDEX(in_ori_coo,1,C91))/I91+INDEX(in_ori_bl_fee,1,C91)+INDEX(in_ori_fwd_fee,1,C91)+INDEX(in_ori_qc,1,C91)+INDEX(in_ori_wires,1,C91)*INDEX(in_ori_wire_fee,1,C91)</f>
        <v>817.639062582899</v>
      </c>
      <c r="AR91" s="88" t="n">
        <f aca="false">AP91+AQ91</f>
        <v>1372.9171877487</v>
      </c>
      <c r="AS91" s="85" t="n">
        <f aca="false">INDEX(tbl_port_diff,H91,C91)</f>
        <v>0</v>
      </c>
      <c r="AT91" s="88" t="n">
        <f aca="false">IF(F91=4,MAX(AF91*INDEX(in_oce_lcl_factor,1,C91),AG91/1000,1)*INDEX(in_oce_lcl_rate,1,C91)*M91,G91*(INDEX(tbl_ocean_rate,MIN(F91,3),C91)+AS91)*M91)</f>
        <v>3900</v>
      </c>
      <c r="AU91" s="88" t="n">
        <f aca="false">AT91+INDEX(in_oce_ams,1,C91)</f>
        <v>3935</v>
      </c>
      <c r="AV91" s="88" t="n">
        <f aca="false">AI91*(1+IF(K91=3,INDEX(in_sup_vat_rate,1,C91),0))+AO91*Y91/AB91</f>
        <v>3582.18316317636</v>
      </c>
      <c r="AW91" s="88" t="n">
        <f aca="false">AJ91*(1+IF(K91=3,INDEX(in_sup_vat_rate,1,C91),0))+AO91*Z91/AB91</f>
        <v>3383.05403336441</v>
      </c>
      <c r="AX91" s="88" t="n">
        <f aca="false">AK91*(1+IF(K91=3,INDEX(in_sup_vat_rate,1,C91),0))+AO91*AA91/AB91</f>
        <v>2954.81934559676</v>
      </c>
      <c r="AY91" s="88" t="n">
        <f aca="false">AV91+AW91+AX91</f>
        <v>9920.05654213754</v>
      </c>
      <c r="AZ91" s="88" t="n">
        <f aca="false">MAX(INDEX(in_oce_ins_min,1,C91),INDEX(in_oce_ins_rate,1,C91)*(1+INDEX(in_oce_ins_uplift,1,C91))*(AL91+AO91+AR91+AU91))*(1-INDEX(in_oce_ins_in_other,1,C91))</f>
        <v>75</v>
      </c>
      <c r="BA91" s="87" t="n">
        <f aca="false">INDEX(in_cus_mfn,1,C91)+L91</f>
        <v>0.125</v>
      </c>
      <c r="BB91" s="88" t="n">
        <f aca="false">AY91*BA91</f>
        <v>1240.00706776719</v>
      </c>
      <c r="BC91" s="88" t="n">
        <f aca="false">MIN(MAX(AY91*INDEX(in_cus_mpf_rate,1,C91),INDEX(in_cus_mpf_min,1,C91)),INDEX(in_cus_mpf_max,1,C91))</f>
        <v>34.58</v>
      </c>
      <c r="BD91" s="88" t="n">
        <f aca="false">AY91*INDEX(in_cus_hmf,1,C91)</f>
        <v>12.4000706776719</v>
      </c>
      <c r="BE91" s="88" t="n">
        <f aca="false">MAX(INDEX(in_cus_stb_min,1,C91),INDEX(in_cus_stb_rate,1,C91)/1000*(AY91+BB91+BC91+BD91))</f>
        <v>75</v>
      </c>
      <c r="BF91" s="88" t="n">
        <f aca="false">INDEX(in_cus_broker,1,C91)+INDEX(in_cus_isf,1,C91)+INDEX(in_cus_do_fee,1,C91)+BE91+INDEX(in_cus_isf_bond,1,C91)</f>
        <v>510</v>
      </c>
      <c r="BG91" s="88" t="n">
        <f aca="false">IF(H91=1,INDEX(in_cus_cfc,1,C91)*INDEX(ct_teu,F91)*G91*(1-INDEX(in_cus_cfc_in_freight,1,C91)),0)</f>
        <v>29.6</v>
      </c>
      <c r="BH91" s="88" t="n">
        <f aca="false">IF(F91=4,1,G91)*(INDEX(in_cus_exam,1,C91)+INDEX(in_cus_exam_dray,1,C91))</f>
        <v>0</v>
      </c>
      <c r="BI91" s="88" t="n">
        <f aca="false">IF(F91=4,1,G91)*INDEX(in_cus_dem_days,1,C91)*INDEX(in_cus_dem_rate,1,C91)</f>
        <v>0</v>
      </c>
      <c r="BJ91" s="88" t="n">
        <f aca="false">BG91+BH91+BI91</f>
        <v>29.6</v>
      </c>
      <c r="BK91" s="88" t="n">
        <f aca="false">IF(F91=4,(INDEX(in_dra_lcl_cfs_d,1,C91)+INDEX(in_dra_lcl_deliv,1,C91))*P91,G91*(INDEX(tbl_dest_line,E91,C91)*P91*(1+INDEX(in_dra_fsc,1,C91))+INDEX(tbl_dest_tolls,E91,C91)+INDEX(in_dra_chassis_days,1,C91)*INDEX(tbl_dest_chassis,E91,C91)*(1-INDEX(in_dra_chassis_in_dray,1,C91))+INDEX(in_dra_wait_hours,1,C91)*INDEX(in_dra_wait_rate,1,C91)+INDEX(in_dra_split,1,C91)+INDEX(in_dra_prepull,1,C91)+INDEX(in_dra_dryrun,1,C91)))</f>
        <v>1350</v>
      </c>
      <c r="BL91" s="88" t="n">
        <f aca="false">IF(F91=4,0,G91*IF(F91=1,INDEX(in_dra_unload_20,1,C91),INDEX(in_dra_unload_40,1,C91))*Q91*(1-INDEX(in_dra_unload_in_dray,1,C91)))</f>
        <v>450</v>
      </c>
      <c r="BM91" s="88" t="n">
        <f aca="false">AL91+AN91+AO91+AR91+AU91+AZ91+BB91+BC91+BD91+BF91+BJ91+BK91+BL91</f>
        <v>18929.5608683311</v>
      </c>
      <c r="BN91" s="88" t="n">
        <f aca="false">AP91+AU91+BJ91+BK91+BL91</f>
        <v>6319.8781251658</v>
      </c>
      <c r="BO91" s="88" t="n">
        <f aca="false">AQ91+BF91</f>
        <v>1327.6390625829</v>
      </c>
      <c r="BP91" s="88" t="n">
        <f aca="false">AI91*(1+IF(K91=3,INDEX(in_sup_vat_rate,1,C91),0))+AO91*Y91/AB91+AV91*BA91+(BC91+BD91)*AV91/AY91+AZ91*AI91/AL91+BN91*AC91/AF91+BO91*Y91/AB91</f>
        <v>6607.50014818202</v>
      </c>
      <c r="BQ91" s="88" t="n">
        <f aca="false">AJ91*(1+IF(K91=3,INDEX(in_sup_vat_rate,1,C91),0))+AO91*Z91/AB91+AW91*BA91+(BC91+BD91)*AW91/AY91+AZ91*AJ91/AL91+BN91*AD91/AF91+BO91*Z91/AB91</f>
        <v>6848.01739239247</v>
      </c>
      <c r="BR91" s="88" t="n">
        <f aca="false">AK91*(1+IF(K91=3,INDEX(in_sup_vat_rate,1,C91),0))+AO91*AA91/AB91+AX91*BA91+(BC91+BD91)*AX91/AY91+AZ91*AK91/AL91+BN91*AE91/AF91+BO91*AA91/AB91</f>
        <v>5474.0433277566</v>
      </c>
      <c r="BS91" s="89" t="n">
        <f aca="false">BP91+BQ91+BR91-BM91</f>
        <v>0</v>
      </c>
      <c r="BT91" s="85" t="n">
        <f aca="false">Y91*(1-R91)</f>
        <v>22261</v>
      </c>
      <c r="BU91" s="85" t="n">
        <f aca="false">Z91*(1-R91)</f>
        <v>22261</v>
      </c>
      <c r="BV91" s="85" t="n">
        <f aca="false">AA91*(1-R91)</f>
        <v>22261</v>
      </c>
      <c r="BW91" s="85" t="n">
        <f aca="false">BT91+BU91+BV91</f>
        <v>66783</v>
      </c>
      <c r="BX91" s="90" t="n">
        <f aca="false">IF(BT91&gt;0,BP91/BT91,0)</f>
        <v>0.296819556542025</v>
      </c>
      <c r="BY91" s="90" t="n">
        <f aca="false">IF(BU91&gt;0,BQ91/BU91,0)</f>
        <v>0.30762397881463</v>
      </c>
      <c r="BZ91" s="90" t="n">
        <f aca="false">IF(BV91&gt;0,BR91/BV91,0)</f>
        <v>0.245902849277059</v>
      </c>
      <c r="CA91" s="90" t="n">
        <f aca="false">INDEX(in_mkt_listing_3464,1,C91)*(1-IF(sku_flute_3464="B",T91,0))*(1-S91)*N91</f>
        <v>0.234</v>
      </c>
      <c r="CB91" s="90" t="n">
        <f aca="false">INDEX(in_mkt_listing_3463,1,C91)*(1-IF(sku_flute_3463="B",T91,0))*(1-S91)*N91</f>
        <v>0.27</v>
      </c>
      <c r="CC91" s="90" t="n">
        <f aca="false">INDEX(in_mkt_listing_3460,1,C91)*(1-IF(sku_flute_3460="B",T91,0))*(1-S91)*N91</f>
        <v>0.225</v>
      </c>
      <c r="CD91" s="88" t="n">
        <f aca="false">BT91*CA91+BU91*CB91+BV91*CC91</f>
        <v>16228.269</v>
      </c>
      <c r="CE91" s="88" t="n">
        <f aca="false">CD91-BM91</f>
        <v>-2701.2918683311</v>
      </c>
      <c r="CF91" s="87" t="n">
        <f aca="false">IF(CD91&gt;0,CE91/CD91,0)</f>
        <v>-0.166455945999607</v>
      </c>
      <c r="CG91" s="87" t="n">
        <f aca="false">W91+INDEX(in_sel_processing,1,C91)+INDEX(in_sel_bad_debt,1,C91)</f>
        <v>0.058</v>
      </c>
      <c r="CH91" s="88" t="n">
        <f aca="false">CD91*CG91</f>
        <v>941.239602</v>
      </c>
      <c r="CI91" s="88" t="n">
        <f aca="false">INDEX(in_sel_testing,1,C91)*X91+INDEX(in_sel_admin,1,C91)</f>
        <v>3000</v>
      </c>
      <c r="CJ91" s="79" t="n">
        <f aca="false">INDEX(in_sup_lead_days,1,C91)</f>
        <v>21</v>
      </c>
      <c r="CK91" s="79" t="n">
        <f aca="false">CJ91+INDEX(in_oce_transit,1,C91)+IF(F91=4,INDEX(in_oce_lcl_extra_days,1,C91),0)</f>
        <v>51</v>
      </c>
      <c r="CL91" s="79" t="n">
        <f aca="false">CK91+2+INDEX(in_cus_dem_days,1,C91)</f>
        <v>53</v>
      </c>
      <c r="CM91" s="79" t="n">
        <f aca="false">CL91+U91</f>
        <v>98</v>
      </c>
      <c r="CN91" s="79" t="n">
        <f aca="false">CJ91+INDEX(in_sup_vat_lag,1,C91)</f>
        <v>81</v>
      </c>
      <c r="CO91" s="91" t="n">
        <f aca="false">INDEX(in_sup_advance,1,C91)</f>
        <v>0.5</v>
      </c>
      <c r="CP91" s="88" t="n">
        <f aca="false">CO91*(AL91+AM91)+AO91+INDEX(in_sel_testing,1,C91)*X91</f>
        <v>8154.4322290184</v>
      </c>
      <c r="CQ91" s="88" t="n">
        <f aca="false">(1-CO91)*(AL91+AM91)+AR91+AU91+AZ91</f>
        <v>11037.3494167671</v>
      </c>
      <c r="CR91" s="88" t="n">
        <f aca="false">BB91+BC91+BD91+BF91+BJ91</f>
        <v>1826.58713844486</v>
      </c>
      <c r="CS91" s="88" t="n">
        <f aca="false">BK91+BL91</f>
        <v>1800</v>
      </c>
      <c r="CT91" s="88" t="n">
        <f aca="false">IF(K91=2,AM91,0)</f>
        <v>1388.80791589926</v>
      </c>
      <c r="CU91" s="85" t="n">
        <f aca="false">IF(K91=2,CO91*AM91*(CN91-0)+(1-CO91)*AM91*(CN91-CJ91),0)</f>
        <v>97910.9580708975</v>
      </c>
      <c r="CV91" s="85" t="n">
        <f aca="false">(CP91-CO91*CT91)*(CM91-0)+(CQ91-(1-CO91)*CT91)*(CM91-CJ91)+CR91*(CM91-CK91)+CS91*(CM91-CL91)</f>
        <v>1694339.16640059</v>
      </c>
      <c r="CW91" s="88" t="n">
        <f aca="false">INDEX(in_sel_fin_rate,1,C91)/365*(CU91+CV91)</f>
        <v>491.027431362052</v>
      </c>
      <c r="CX91" s="85" t="n">
        <f aca="false">CP91-IF(CN91&lt;=0,CT91,0)</f>
        <v>8154.4322290184</v>
      </c>
      <c r="CY91" s="85" t="n">
        <f aca="false">CP91+CQ91-IF(CN91&lt;=CJ91,CT91,0)</f>
        <v>19191.7816457855</v>
      </c>
      <c r="CZ91" s="85" t="n">
        <f aca="false">CP91+CQ91+CR91-IF(CN91&lt;=CK91,CT91,0)</f>
        <v>21018.3687842304</v>
      </c>
      <c r="DA91" s="85" t="n">
        <f aca="false">CP91+CQ91+CR91+CS91-IF(CN91&lt;=CL91,CT91,0)</f>
        <v>22818.3687842304</v>
      </c>
      <c r="DB91" s="88" t="n">
        <f aca="false">MAX(CX91,CY91,CZ91,DA91)</f>
        <v>22818.3687842304</v>
      </c>
      <c r="DC91" s="88" t="n">
        <f aca="false">CP91+CQ91+CR91+CS91</f>
        <v>22818.3687842304</v>
      </c>
      <c r="DD91" s="88" t="n">
        <f aca="false">CE91-CH91-CI91-CW91</f>
        <v>-7133.55890169315</v>
      </c>
      <c r="DE91" s="87" t="n">
        <f aca="false">IF(CD91&gt;0,DD91/CD91,0)</f>
        <v>-0.439576081817053</v>
      </c>
      <c r="DF91" s="86" t="n">
        <f aca="false">IF(CD91&gt;0,(BM91+CI91+CW91)/(CD91*(1-CG91)),0)</f>
        <v>1.46664127581428</v>
      </c>
      <c r="DG91" s="90" t="n">
        <f aca="false">IF(BW91&gt;0,BM91/BW91,0)</f>
        <v>0.283448794877905</v>
      </c>
      <c r="DH91" s="90" t="n">
        <f aca="false">IF(BW91&gt;0,CD91/BW91,0)</f>
        <v>0.243</v>
      </c>
      <c r="DI91" s="90" t="n">
        <f aca="false">IF(AI91&gt;0,(AI91*IF(K91=3,INDEX(in_sup_vat_rate,1,C91),0)+AV91*BA91+(BC91+BD91)*AV91/AY91+AZ91*AI91/AL91)/AI91,0)</f>
        <v>0.13729630800586</v>
      </c>
      <c r="DJ91" s="90" t="n">
        <f aca="false">IF(AJ91&gt;0,(AJ91*IF(K91=3,INDEX(in_sup_vat_rate,1,C91),0)+AW91*BA91+(BC91+BD91)*AW91/AY91+AZ91*AJ91/AL91)/AJ91,0)</f>
        <v>0.13729630800586</v>
      </c>
      <c r="DK91" s="90" t="n">
        <f aca="false">IF(AK91&gt;0,(AK91*IF(K91=3,INDEX(in_sup_vat_rate,1,C91),0)+AX91*BA91+(BC91+BD91)*AX91/AY91+AZ91*AK91/AL91)/AK91,0)</f>
        <v>0.13729630800586</v>
      </c>
      <c r="DL91" s="90" t="n">
        <f aca="false">IF(Y91&gt;0,(BP91-AI91*(1+DI91))/Y91,0)</f>
        <v>0.112101613367292</v>
      </c>
      <c r="DM91" s="90" t="n">
        <f aca="false">IF(Z91&gt;0,(BQ91-AJ91*(1+DJ91))/Z91,0)</f>
        <v>0.132764713737292</v>
      </c>
      <c r="DN91" s="90" t="n">
        <f aca="false">IF(AA91&gt;0,(BR91-AK91*(1+DK91))/AA91,0)</f>
        <v>0.0935193891674828</v>
      </c>
      <c r="DO91" s="86" t="n">
        <f aca="false">IF(Y91&gt;0,(CA91*(1-thr_gm_go)*(1-R91)-DL91)/(1+DI91)*I91/((1+AH91)*J91),"")</f>
        <v>2.81976428771396</v>
      </c>
      <c r="DP91" s="86" t="n">
        <f aca="false">IF(Z91&gt;0,(CB91*(1-thr_gm_go)*(1-R91)-DM91)/(1+DJ91)*I91/((1+AH91)*J91),"")</f>
        <v>3.09502660448189</v>
      </c>
      <c r="DQ91" s="86" t="n">
        <f aca="false">IF(AA91&gt;0,(CC91*(1-thr_gm_go)*(1-R91)-DN91)/(1+DK91)*I91/((1+AH91)*J91),"")</f>
        <v>3.37352209890772</v>
      </c>
      <c r="DR91" s="92" t="n">
        <f aca="false">IF(AND(AY91*INDEX(in_cus_mpf_rate,1,C91)&gt;INDEX(in_cus_mpf_min,1,C91),AY91*INDEX(in_cus_mpf_rate,1,C91)&lt;INDEX(in_cus_mpf_max,1,C91)),INDEX(in_cus_mpf_rate,1,C91),0)</f>
        <v>0</v>
      </c>
      <c r="DS91" s="88" t="n">
        <f aca="false">IF(AZ91&gt;INDEX(in_oce_ins_min,1,C91),INDEX(in_oce_ins_rate,1,C91)*(1+INDEX(in_oce_ins_uplift,1,C91))*AL91,0)</f>
        <v>0</v>
      </c>
      <c r="DT91" s="88" t="n">
        <f aca="false">(AL91+AN91)*(1+BA91+INDEX(in_cus_hmf,1,C91)+DR91)+DS91</f>
        <v>11172.4636805824</v>
      </c>
      <c r="DU91" s="86" t="n">
        <f aca="false">IF(DT91&gt;0,(CD91*(1-thr_gm_go)-(BM91-DT91))/DT91,0)</f>
        <v>0.395087841719545</v>
      </c>
      <c r="DV91" s="86" t="n">
        <f aca="false">IF(DT91&gt;0,(CD91-(BM91-DT91))/DT91,0)</f>
        <v>0.758218782753717</v>
      </c>
      <c r="DW91" s="87" t="n">
        <f aca="false">(1+AH91)*J91*DU91-1</f>
        <v>-0.604912158280455</v>
      </c>
      <c r="DX91" s="87" t="n">
        <f aca="false">(1+AH91)*J91*DV91-1</f>
        <v>-0.241781217246283</v>
      </c>
      <c r="DY91" s="85" t="n">
        <f aca="false">IF(G91&gt;0,(CD91*(1-thr_gm_go)-(BM91-AT91))/G91,"")</f>
        <v>-2858.3591183311</v>
      </c>
      <c r="DZ91" s="90" t="n">
        <f aca="false">IF(AB91&gt;0,(AL91+AN91+BB91+BC91+BD91)/AB91,0)</f>
        <v>0.165295629507115</v>
      </c>
      <c r="EA91" s="88" t="n">
        <f aca="false">BM91-DZ91*AB91</f>
        <v>7722.5171877487</v>
      </c>
      <c r="EB91" s="90" t="n">
        <f aca="false">IF(AB91&gt;0,CD91/AB91,0)</f>
        <v>0.239355</v>
      </c>
      <c r="EC91" s="85" t="n">
        <f aca="false">IF(EB91*(1-thr_gm_go)-DZ91&gt;0,EA91/(EB91*(1-thr_gm_go)-DZ91),"n/a")</f>
        <v>543050.648993307</v>
      </c>
      <c r="ED91" s="85" t="n">
        <f aca="false">IF(EB91-DZ91&gt;0,EA91/(EB91-DZ91),"n/a")</f>
        <v>104274.680386199</v>
      </c>
      <c r="EE91" s="93" t="b">
        <f aca="false">INDEX(cfg_fits,D91,C91)</f>
        <v>1</v>
      </c>
      <c r="EF91" s="87" t="n">
        <f aca="false">IF(F91=4,"",INDEX(cfg_lenutil,D91,C91))</f>
        <v>0.999580888516345</v>
      </c>
      <c r="EG91" s="31" t="str">
        <f aca="false">IF(O91&gt;1,"Check fit (units scaled up)","")</f>
        <v/>
      </c>
    </row>
    <row r="92" customFormat="false" ht="15" hidden="false" customHeight="false" outlineLevel="0" collapsed="false">
      <c r="A92" s="78" t="n">
        <v>2083</v>
      </c>
      <c r="B92" s="9" t="s">
        <v>3240</v>
      </c>
      <c r="C92" s="78" t="n">
        <v>2</v>
      </c>
      <c r="D92" s="78" t="n">
        <v>8</v>
      </c>
      <c r="E92" s="78" t="n">
        <v>3</v>
      </c>
      <c r="F92" s="79" t="n">
        <f aca="false">INDEX(cfg_ct,D92)</f>
        <v>2</v>
      </c>
      <c r="G92" s="79" t="n">
        <f aca="false">INDEX(cfg_n,D92)</f>
        <v>1</v>
      </c>
      <c r="H92" s="79" t="n">
        <f aca="false">INDEX(dest_port,E92)</f>
        <v>2</v>
      </c>
      <c r="I92" s="80" t="n">
        <f aca="false">INDEX(in_fx_cbe,1,C92)*(1-INDEX(in_fx_spread,1,C92))</f>
        <v>52.7748</v>
      </c>
      <c r="J92" s="81" t="n">
        <f aca="false">1</f>
        <v>1</v>
      </c>
      <c r="K92" s="82" t="n">
        <f aca="false">INDEX(in_sup_vat_mode,1,C92)</f>
        <v>2</v>
      </c>
      <c r="L92" s="83" t="n">
        <f aca="false">INDEX(in_cus_s301,1,C92)</f>
        <v>0.125</v>
      </c>
      <c r="M92" s="84" t="n">
        <f aca="false">1</f>
        <v>1</v>
      </c>
      <c r="N92" s="81" t="n">
        <f aca="false">1</f>
        <v>1</v>
      </c>
      <c r="O92" s="81" t="n">
        <f aca="false">1</f>
        <v>1</v>
      </c>
      <c r="P92" s="81" t="n">
        <f aca="false">1</f>
        <v>1</v>
      </c>
      <c r="Q92" s="81" t="n">
        <f aca="false">1</f>
        <v>1</v>
      </c>
      <c r="R92" s="83" t="n">
        <f aca="false">INDEX(in_sel_damage,1,C92)</f>
        <v>0.015</v>
      </c>
      <c r="S92" s="83" t="n">
        <f aca="false">INDEX(in_mkt_dist_margin,1,C92)</f>
        <v>0.25</v>
      </c>
      <c r="T92" s="83" t="n">
        <f aca="false">INDEX(in_mkt_eflute_disc,1,C92)</f>
        <v>0.2</v>
      </c>
      <c r="U92" s="82" t="n">
        <f aca="false">INDEX(in_sel_credit_days,1,C92)</f>
        <v>45</v>
      </c>
      <c r="V92" s="81" t="n">
        <f aca="false">1</f>
        <v>1</v>
      </c>
      <c r="W92" s="83" t="n">
        <f aca="false">INDEX(in_sel_commission,1,C92)</f>
        <v>0.05</v>
      </c>
      <c r="X92" s="82" t="n">
        <f aca="false">1</f>
        <v>1</v>
      </c>
      <c r="Y92" s="85" t="n">
        <f aca="false">INDEX(cfg_u_3464,D92,C92)*O92</f>
        <v>22600</v>
      </c>
      <c r="Z92" s="85" t="n">
        <f aca="false">INDEX(cfg_u_3463,D92,C92)*O92</f>
        <v>22600</v>
      </c>
      <c r="AA92" s="85" t="n">
        <f aca="false">INDEX(cfg_u_3460,D92,C92)*O92</f>
        <v>22600</v>
      </c>
      <c r="AB92" s="85" t="n">
        <f aca="false">Y92+Z92+AA92</f>
        <v>67800</v>
      </c>
      <c r="AC92" s="86" t="n">
        <f aca="false">Y92*INDEX(lg_vpu_3464,C92)</f>
        <v>16.0774592</v>
      </c>
      <c r="AD92" s="86" t="n">
        <f aca="false">Z92*INDEX(lg_vpu_3463,C92)</f>
        <v>19.6681472</v>
      </c>
      <c r="AE92" s="86" t="n">
        <f aca="false">AA92*INDEX(lg_vpu_3460,C92)</f>
        <v>12.8483712</v>
      </c>
      <c r="AF92" s="86" t="n">
        <f aca="false">AC92+AD92+AE92</f>
        <v>48.5939776</v>
      </c>
      <c r="AG92" s="85" t="n">
        <f aca="false">Y92*INDEX(lg_kpu_3464,C92)+Z92*INDEX(lg_kpu_3463,C92)+AA92*INDEX(lg_kpu_3460,C92)</f>
        <v>11686.6122336</v>
      </c>
      <c r="AH92" s="87" t="n">
        <f aca="false">INDEX(in_sup_requote,1,C92)</f>
        <v>0</v>
      </c>
      <c r="AI92" s="88" t="n">
        <f aca="false">Y92*q_price_3464*(1+AH92)*J92/I92</f>
        <v>3582.18316317636</v>
      </c>
      <c r="AJ92" s="88" t="n">
        <f aca="false">Z92*q_price_3463*(1+AH92)*J92/I92</f>
        <v>3383.05403336441</v>
      </c>
      <c r="AK92" s="88" t="n">
        <f aca="false">AA92*q_price_3460*(1+AH92)*J92/I92</f>
        <v>2954.81934559676</v>
      </c>
      <c r="AL92" s="88" t="n">
        <f aca="false">AI92+AJ92+AK92</f>
        <v>9920.05654213754</v>
      </c>
      <c r="AM92" s="88" t="n">
        <f aca="false">IF(OR(K92=2,K92=3),AL92*INDEX(in_sup_vat_rate,1,C92),0)</f>
        <v>1388.80791589926</v>
      </c>
      <c r="AN92" s="88" t="n">
        <f aca="false">IF(K92=3,AM92,0)</f>
        <v>0</v>
      </c>
      <c r="AO92" s="88" t="n">
        <f aca="false">INDEX(in_sup_tooling_egp,1,C92)/I92</f>
        <v>0</v>
      </c>
      <c r="AP92" s="88" t="n">
        <f aca="false">IF(F92=4,INDEX(in_ori_lcl_truck,1,C92)*V92/I92+INDEX(in_ori_lcl_cfs_o,1,C92),G92*(IF(F92=1,INDEX(in_ori_truck_20,1,C92),INDEX(in_ori_truck_40,1,C92))*V92/I92+INDEX(in_ori_terminal,1,C92)+IF(F92=1,INDEX(in_ori_othc_20,1,C92),INDEX(in_ori_othc_40,1,C92))*(1-INDEX(in_ori_othc_in_freight,1,C92))+INDEX(in_ori_seal,1,C92)+INDEX(in_ori_inspection,1,C92)+INDEX(in_ori_dd_days,1,C92)*IF(F92=1,INDEX(in_ori_dd_20,1,C92),INDEX(in_ori_dd_40,1,C92))+INDEX(in_ori_loading_egp,1,C92)/I92))</f>
        <v>555.278125165799</v>
      </c>
      <c r="AQ92" s="88" t="n">
        <f aca="false">(INDEX(in_ori_clearance,1,C92)+INDEX(in_ori_coo,1,C92))/I92+INDEX(in_ori_bl_fee,1,C92)+INDEX(in_ori_fwd_fee,1,C92)+INDEX(in_ori_qc,1,C92)+INDEX(in_ori_wires,1,C92)*INDEX(in_ori_wire_fee,1,C92)</f>
        <v>817.639062582899</v>
      </c>
      <c r="AR92" s="88" t="n">
        <f aca="false">AP92+AQ92</f>
        <v>1372.9171877487</v>
      </c>
      <c r="AS92" s="85" t="n">
        <f aca="false">INDEX(tbl_port_diff,H92,C92)</f>
        <v>150</v>
      </c>
      <c r="AT92" s="88" t="n">
        <f aca="false">IF(F92=4,MAX(AF92*INDEX(in_oce_lcl_factor,1,C92),AG92/1000,1)*INDEX(in_oce_lcl_rate,1,C92)*M92,G92*(INDEX(tbl_ocean_rate,MIN(F92,3),C92)+AS92)*M92)</f>
        <v>4050</v>
      </c>
      <c r="AU92" s="88" t="n">
        <f aca="false">AT92+INDEX(in_oce_ams,1,C92)</f>
        <v>4085</v>
      </c>
      <c r="AV92" s="88" t="n">
        <f aca="false">AI92*(1+IF(K92=3,INDEX(in_sup_vat_rate,1,C92),0))+AO92*Y92/AB92</f>
        <v>3582.18316317636</v>
      </c>
      <c r="AW92" s="88" t="n">
        <f aca="false">AJ92*(1+IF(K92=3,INDEX(in_sup_vat_rate,1,C92),0))+AO92*Z92/AB92</f>
        <v>3383.05403336441</v>
      </c>
      <c r="AX92" s="88" t="n">
        <f aca="false">AK92*(1+IF(K92=3,INDEX(in_sup_vat_rate,1,C92),0))+AO92*AA92/AB92</f>
        <v>2954.81934559676</v>
      </c>
      <c r="AY92" s="88" t="n">
        <f aca="false">AV92+AW92+AX92</f>
        <v>9920.05654213754</v>
      </c>
      <c r="AZ92" s="88" t="n">
        <f aca="false">MAX(INDEX(in_oce_ins_min,1,C92),INDEX(in_oce_ins_rate,1,C92)*(1+INDEX(in_oce_ins_uplift,1,C92))*(AL92+AO92+AR92+AU92))*(1-INDEX(in_oce_ins_in_other,1,C92))</f>
        <v>75</v>
      </c>
      <c r="BA92" s="87" t="n">
        <f aca="false">INDEX(in_cus_mfn,1,C92)+L92</f>
        <v>0.125</v>
      </c>
      <c r="BB92" s="88" t="n">
        <f aca="false">AY92*BA92</f>
        <v>1240.00706776719</v>
      </c>
      <c r="BC92" s="88" t="n">
        <f aca="false">MIN(MAX(AY92*INDEX(in_cus_mpf_rate,1,C92),INDEX(in_cus_mpf_min,1,C92)),INDEX(in_cus_mpf_max,1,C92))</f>
        <v>34.58</v>
      </c>
      <c r="BD92" s="88" t="n">
        <f aca="false">AY92*INDEX(in_cus_hmf,1,C92)</f>
        <v>12.4000706776719</v>
      </c>
      <c r="BE92" s="88" t="n">
        <f aca="false">MAX(INDEX(in_cus_stb_min,1,C92),INDEX(in_cus_stb_rate,1,C92)/1000*(AY92+BB92+BC92+BD92))</f>
        <v>75</v>
      </c>
      <c r="BF92" s="88" t="n">
        <f aca="false">INDEX(in_cus_broker,1,C92)+INDEX(in_cus_isf,1,C92)+INDEX(in_cus_do_fee,1,C92)+BE92+INDEX(in_cus_isf_bond,1,C92)</f>
        <v>510</v>
      </c>
      <c r="BG92" s="88" t="n">
        <f aca="false">IF(H92=1,INDEX(in_cus_cfc,1,C92)*INDEX(ct_teu,F92)*G92*(1-INDEX(in_cus_cfc_in_freight,1,C92)),0)</f>
        <v>0</v>
      </c>
      <c r="BH92" s="88" t="n">
        <f aca="false">IF(F92=4,1,G92)*(INDEX(in_cus_exam,1,C92)+INDEX(in_cus_exam_dray,1,C92))</f>
        <v>0</v>
      </c>
      <c r="BI92" s="88" t="n">
        <f aca="false">IF(F92=4,1,G92)*INDEX(in_cus_dem_days,1,C92)*INDEX(in_cus_dem_rate,1,C92)</f>
        <v>0</v>
      </c>
      <c r="BJ92" s="88" t="n">
        <f aca="false">BG92+BH92+BI92</f>
        <v>0</v>
      </c>
      <c r="BK92" s="88" t="n">
        <f aca="false">IF(F92=4,(INDEX(in_dra_lcl_cfs_d,1,C92)+INDEX(in_dra_lcl_deliv,1,C92))*P92,G92*(INDEX(tbl_dest_line,E92,C92)*P92*(1+INDEX(in_dra_fsc,1,C92))+INDEX(tbl_dest_tolls,E92,C92)+INDEX(in_dra_chassis_days,1,C92)*INDEX(tbl_dest_chassis,E92,C92)*(1-INDEX(in_dra_chassis_in_dray,1,C92))+INDEX(in_dra_wait_hours,1,C92)*INDEX(in_dra_wait_rate,1,C92)+INDEX(in_dra_split,1,C92)+INDEX(in_dra_prepull,1,C92)+INDEX(in_dra_dryrun,1,C92)))</f>
        <v>904</v>
      </c>
      <c r="BL92" s="88" t="n">
        <f aca="false">IF(F92=4,0,G92*IF(F92=1,INDEX(in_dra_unload_20,1,C92),INDEX(in_dra_unload_40,1,C92))*Q92*(1-INDEX(in_dra_unload_in_dray,1,C92)))</f>
        <v>450</v>
      </c>
      <c r="BM92" s="88" t="n">
        <f aca="false">AL92+AN92+AO92+AR92+AU92+AZ92+BB92+BC92+BD92+BF92+BJ92+BK92+BL92</f>
        <v>18603.9608683311</v>
      </c>
      <c r="BN92" s="88" t="n">
        <f aca="false">AP92+AU92+BJ92+BK92+BL92</f>
        <v>5994.2781251658</v>
      </c>
      <c r="BO92" s="88" t="n">
        <f aca="false">AQ92+BF92</f>
        <v>1327.6390625829</v>
      </c>
      <c r="BP92" s="88" t="n">
        <f aca="false">AI92*(1+IF(K92=3,INDEX(in_sup_vat_rate,1,C92),0))+AO92*Y92/AB92+AV92*BA92+(BC92+BD92)*AV92/AY92+AZ92*AI92/AL92+BN92*AC92/AF92+BO92*Y92/AB92</f>
        <v>6499.77443865871</v>
      </c>
      <c r="BQ92" s="88" t="n">
        <f aca="false">AJ92*(1+IF(K92=3,INDEX(in_sup_vat_rate,1,C92),0))+AO92*Z92/AB92+AW92*BA92+(BC92+BD92)*AW92/AY92+AZ92*AJ92/AL92+BN92*AD92/AF92+BO92*Z92/AB92</f>
        <v>6716.23256956867</v>
      </c>
      <c r="BR92" s="88" t="n">
        <f aca="false">AK92*(1+IF(K92=3,INDEX(in_sup_vat_rate,1,C92),0))+AO92*AA92/AB92+AX92*BA92+(BC92+BD92)*AX92/AY92+AZ92*AK92/AL92+BN92*AE92/AF92+BO92*AA92/AB92</f>
        <v>5387.95386010372</v>
      </c>
      <c r="BS92" s="89" t="n">
        <f aca="false">BP92+BQ92+BR92-BM92</f>
        <v>0</v>
      </c>
      <c r="BT92" s="85" t="n">
        <f aca="false">Y92*(1-R92)</f>
        <v>22261</v>
      </c>
      <c r="BU92" s="85" t="n">
        <f aca="false">Z92*(1-R92)</f>
        <v>22261</v>
      </c>
      <c r="BV92" s="85" t="n">
        <f aca="false">AA92*(1-R92)</f>
        <v>22261</v>
      </c>
      <c r="BW92" s="85" t="n">
        <f aca="false">BT92+BU92+BV92</f>
        <v>66783</v>
      </c>
      <c r="BX92" s="90" t="n">
        <f aca="false">IF(BT92&gt;0,BP92/BT92,0)</f>
        <v>0.291980344039293</v>
      </c>
      <c r="BY92" s="90" t="n">
        <f aca="false">IF(BU92&gt;0,BQ92/BU92,0)</f>
        <v>0.301703992164263</v>
      </c>
      <c r="BZ92" s="90" t="n">
        <f aca="false">IF(BV92&gt;0,BR92/BV92,0)</f>
        <v>0.242035571632169</v>
      </c>
      <c r="CA92" s="90" t="n">
        <f aca="false">INDEX(in_mkt_listing_3464,1,C92)*(1-IF(sku_flute_3464="B",T92,0))*(1-S92)*N92</f>
        <v>0.234</v>
      </c>
      <c r="CB92" s="90" t="n">
        <f aca="false">INDEX(in_mkt_listing_3463,1,C92)*(1-IF(sku_flute_3463="B",T92,0))*(1-S92)*N92</f>
        <v>0.27</v>
      </c>
      <c r="CC92" s="90" t="n">
        <f aca="false">INDEX(in_mkt_listing_3460,1,C92)*(1-IF(sku_flute_3460="B",T92,0))*(1-S92)*N92</f>
        <v>0.225</v>
      </c>
      <c r="CD92" s="88" t="n">
        <f aca="false">BT92*CA92+BU92*CB92+BV92*CC92</f>
        <v>16228.269</v>
      </c>
      <c r="CE92" s="88" t="n">
        <f aca="false">CD92-BM92</f>
        <v>-2375.6918683311</v>
      </c>
      <c r="CF92" s="87" t="n">
        <f aca="false">IF(CD92&gt;0,CE92/CD92,0)</f>
        <v>-0.146392191818554</v>
      </c>
      <c r="CG92" s="87" t="n">
        <f aca="false">W92+INDEX(in_sel_processing,1,C92)+INDEX(in_sel_bad_debt,1,C92)</f>
        <v>0.058</v>
      </c>
      <c r="CH92" s="88" t="n">
        <f aca="false">CD92*CG92</f>
        <v>941.239602</v>
      </c>
      <c r="CI92" s="88" t="n">
        <f aca="false">INDEX(in_sel_testing,1,C92)*X92+INDEX(in_sel_admin,1,C92)</f>
        <v>3000</v>
      </c>
      <c r="CJ92" s="79" t="n">
        <f aca="false">INDEX(in_sup_lead_days,1,C92)</f>
        <v>21</v>
      </c>
      <c r="CK92" s="79" t="n">
        <f aca="false">CJ92+INDEX(in_oce_transit,1,C92)+IF(F92=4,INDEX(in_oce_lcl_extra_days,1,C92),0)</f>
        <v>51</v>
      </c>
      <c r="CL92" s="79" t="n">
        <f aca="false">CK92+2+INDEX(in_cus_dem_days,1,C92)</f>
        <v>53</v>
      </c>
      <c r="CM92" s="79" t="n">
        <f aca="false">CL92+U92</f>
        <v>98</v>
      </c>
      <c r="CN92" s="79" t="n">
        <f aca="false">CJ92+INDEX(in_sup_vat_lag,1,C92)</f>
        <v>81</v>
      </c>
      <c r="CO92" s="91" t="n">
        <f aca="false">INDEX(in_sup_advance,1,C92)</f>
        <v>0.5</v>
      </c>
      <c r="CP92" s="88" t="n">
        <f aca="false">CO92*(AL92+AM92)+AO92+INDEX(in_sel_testing,1,C92)*X92</f>
        <v>8154.4322290184</v>
      </c>
      <c r="CQ92" s="88" t="n">
        <f aca="false">(1-CO92)*(AL92+AM92)+AR92+AU92+AZ92</f>
        <v>11187.3494167671</v>
      </c>
      <c r="CR92" s="88" t="n">
        <f aca="false">BB92+BC92+BD92+BF92+BJ92</f>
        <v>1796.98713844486</v>
      </c>
      <c r="CS92" s="88" t="n">
        <f aca="false">BK92+BL92</f>
        <v>1354</v>
      </c>
      <c r="CT92" s="88" t="n">
        <f aca="false">IF(K92=2,AM92,0)</f>
        <v>1388.80791589926</v>
      </c>
      <c r="CU92" s="85" t="n">
        <f aca="false">IF(K92=2,CO92*AM92*(CN92-0)+(1-CO92)*AM92*(CN92-CJ92),0)</f>
        <v>97910.9580708975</v>
      </c>
      <c r="CV92" s="85" t="n">
        <f aca="false">(CP92-CO92*CT92)*(CM92-0)+(CQ92-(1-CO92)*CT92)*(CM92-CJ92)+CR92*(CM92-CK92)+CS92*(CM92-CL92)</f>
        <v>1684427.96640059</v>
      </c>
      <c r="CW92" s="88" t="n">
        <f aca="false">INDEX(in_sel_fin_rate,1,C92)/365*(CU92+CV92)</f>
        <v>488.312034101778</v>
      </c>
      <c r="CX92" s="85" t="n">
        <f aca="false">CP92-IF(CN92&lt;=0,CT92,0)</f>
        <v>8154.4322290184</v>
      </c>
      <c r="CY92" s="85" t="n">
        <f aca="false">CP92+CQ92-IF(CN92&lt;=CJ92,CT92,0)</f>
        <v>19341.7816457855</v>
      </c>
      <c r="CZ92" s="85" t="n">
        <f aca="false">CP92+CQ92+CR92-IF(CN92&lt;=CK92,CT92,0)</f>
        <v>21138.7687842304</v>
      </c>
      <c r="DA92" s="85" t="n">
        <f aca="false">CP92+CQ92+CR92+CS92-IF(CN92&lt;=CL92,CT92,0)</f>
        <v>22492.7687842304</v>
      </c>
      <c r="DB92" s="88" t="n">
        <f aca="false">MAX(CX92,CY92,CZ92,DA92)</f>
        <v>22492.7687842304</v>
      </c>
      <c r="DC92" s="88" t="n">
        <f aca="false">CP92+CQ92+CR92+CS92</f>
        <v>22492.7687842304</v>
      </c>
      <c r="DD92" s="88" t="n">
        <f aca="false">CE92-CH92-CI92-CW92</f>
        <v>-6805.24350443288</v>
      </c>
      <c r="DE92" s="87" t="n">
        <f aca="false">IF(CD92&gt;0,DD92/CD92,0)</f>
        <v>-0.419345002503525</v>
      </c>
      <c r="DF92" s="86" t="n">
        <f aca="false">IF(CD92&gt;0,(BM92+CI92+CW92)/(CD92*(1-CG92)),0)</f>
        <v>1.44516454618209</v>
      </c>
      <c r="DG92" s="90" t="n">
        <f aca="false">IF(BW92&gt;0,BM92/BW92,0)</f>
        <v>0.278573302611909</v>
      </c>
      <c r="DH92" s="90" t="n">
        <f aca="false">IF(BW92&gt;0,CD92/BW92,0)</f>
        <v>0.243</v>
      </c>
      <c r="DI92" s="90" t="n">
        <f aca="false">IF(AI92&gt;0,(AI92*IF(K92=3,INDEX(in_sup_vat_rate,1,C92),0)+AV92*BA92+(BC92+BD92)*AV92/AY92+AZ92*AI92/AL92)/AI92,0)</f>
        <v>0.13729630800586</v>
      </c>
      <c r="DJ92" s="90" t="n">
        <f aca="false">IF(AJ92&gt;0,(AJ92*IF(K92=3,INDEX(in_sup_vat_rate,1,C92),0)+AW92*BA92+(BC92+BD92)*AW92/AY92+AZ92*AJ92/AL92)/AJ92,0)</f>
        <v>0.13729630800586</v>
      </c>
      <c r="DK92" s="90" t="n">
        <f aca="false">IF(AK92&gt;0,(AK92*IF(K92=3,INDEX(in_sup_vat_rate,1,C92),0)+AX92*BA92+(BC92+BD92)*AX92/AY92+AZ92*AK92/AL92)/AK92,0)</f>
        <v>0.13729630800586</v>
      </c>
      <c r="DL92" s="90" t="n">
        <f aca="false">IF(Y92&gt;0,(BP92-AI92*(1+DI92))/Y92,0)</f>
        <v>0.107334989052101</v>
      </c>
      <c r="DM92" s="90" t="n">
        <f aca="false">IF(Z92&gt;0,(BQ92-AJ92*(1+DJ92))/Z92,0)</f>
        <v>0.126933526886681</v>
      </c>
      <c r="DN92" s="90" t="n">
        <f aca="false">IF(AA92&gt;0,(BR92-AK92*(1+DK92))/AA92,0)</f>
        <v>0.0897101206872668</v>
      </c>
      <c r="DO92" s="86" t="n">
        <f aca="false">IF(Y92&gt;0,(CA92*(1-thr_gm_go)*(1-R92)-DL92)/(1+DI92)*I92/((1+AH92)*J92),"")</f>
        <v>3.04095347397837</v>
      </c>
      <c r="DP92" s="86" t="n">
        <f aca="false">IF(Z92&gt;0,(CB92*(1-thr_gm_go)*(1-R92)-DM92)/(1+DJ92)*I92/((1+AH92)*J92),"")</f>
        <v>3.36561547181341</v>
      </c>
      <c r="DQ92" s="86" t="n">
        <f aca="false">IF(AA92&gt;0,(CC92*(1-thr_gm_go)*(1-R92)-DN92)/(1+DK92)*I92/((1+AH92)*J92),"")</f>
        <v>3.55028639575327</v>
      </c>
      <c r="DR92" s="92" t="n">
        <f aca="false">IF(AND(AY92*INDEX(in_cus_mpf_rate,1,C92)&gt;INDEX(in_cus_mpf_min,1,C92),AY92*INDEX(in_cus_mpf_rate,1,C92)&lt;INDEX(in_cus_mpf_max,1,C92)),INDEX(in_cus_mpf_rate,1,C92),0)</f>
        <v>0</v>
      </c>
      <c r="DS92" s="88" t="n">
        <f aca="false">IF(AZ92&gt;INDEX(in_oce_ins_min,1,C92),INDEX(in_oce_ins_rate,1,C92)*(1+INDEX(in_oce_ins_uplift,1,C92))*AL92,0)</f>
        <v>0</v>
      </c>
      <c r="DT92" s="88" t="n">
        <f aca="false">(AL92+AN92)*(1+BA92+INDEX(in_cus_hmf,1,C92)+DR92)+DS92</f>
        <v>11172.4636805824</v>
      </c>
      <c r="DU92" s="86" t="n">
        <f aca="false">IF(DT92&gt;0,(CD92*(1-thr_gm_go)-(BM92-DT92))/DT92,0)</f>
        <v>0.424230921465321</v>
      </c>
      <c r="DV92" s="86" t="n">
        <f aca="false">IF(DT92&gt;0,(CD92-(BM92-DT92))/DT92,0)</f>
        <v>0.787361862499493</v>
      </c>
      <c r="DW92" s="87" t="n">
        <f aca="false">(1+AH92)*J92*DU92-1</f>
        <v>-0.575769078534679</v>
      </c>
      <c r="DX92" s="87" t="n">
        <f aca="false">(1+AH92)*J92*DV92-1</f>
        <v>-0.212638137500507</v>
      </c>
      <c r="DY92" s="85" t="n">
        <f aca="false">IF(G92&gt;0,(CD92*(1-thr_gm_go)-(BM92-AT92))/G92,"")</f>
        <v>-2382.7591183311</v>
      </c>
      <c r="DZ92" s="90" t="n">
        <f aca="false">IF(AB92&gt;0,(AL92+AN92+BB92+BC92+BD92)/AB92,0)</f>
        <v>0.165295629507115</v>
      </c>
      <c r="EA92" s="88" t="n">
        <f aca="false">BM92-DZ92*AB92</f>
        <v>7396.9171877487</v>
      </c>
      <c r="EB92" s="90" t="n">
        <f aca="false">IF(AB92&gt;0,CD92/AB92,0)</f>
        <v>0.239355</v>
      </c>
      <c r="EC92" s="85" t="n">
        <f aca="false">IF(EB92*(1-thr_gm_go)-DZ92&gt;0,EA92/(EB92*(1-thr_gm_go)-DZ92),"n/a")</f>
        <v>520154.32037228</v>
      </c>
      <c r="ED92" s="85" t="n">
        <f aca="false">IF(EB92-DZ92&gt;0,EA92/(EB92-DZ92),"n/a")</f>
        <v>99878.2076936414</v>
      </c>
      <c r="EE92" s="93" t="b">
        <f aca="false">INDEX(cfg_fits,D92,C92)</f>
        <v>1</v>
      </c>
      <c r="EF92" s="87" t="n">
        <f aca="false">IF(F92=4,"",INDEX(cfg_lenutil,D92,C92))</f>
        <v>0.999580888516345</v>
      </c>
      <c r="EG92" s="31" t="str">
        <f aca="false">IF(O92&gt;1,"Check fit (units scaled up)","")</f>
        <v/>
      </c>
    </row>
    <row r="93" customFormat="false" ht="15" hidden="false" customHeight="false" outlineLevel="0" collapsed="false">
      <c r="A93" s="78" t="n">
        <v>2084</v>
      </c>
      <c r="B93" s="9" t="s">
        <v>3241</v>
      </c>
      <c r="C93" s="78" t="n">
        <v>2</v>
      </c>
      <c r="D93" s="78" t="n">
        <v>8</v>
      </c>
      <c r="E93" s="78" t="n">
        <v>4</v>
      </c>
      <c r="F93" s="79" t="n">
        <f aca="false">INDEX(cfg_ct,D93)</f>
        <v>2</v>
      </c>
      <c r="G93" s="79" t="n">
        <f aca="false">INDEX(cfg_n,D93)</f>
        <v>1</v>
      </c>
      <c r="H93" s="79" t="n">
        <f aca="false">INDEX(dest_port,E93)</f>
        <v>3</v>
      </c>
      <c r="I93" s="80" t="n">
        <f aca="false">INDEX(in_fx_cbe,1,C93)*(1-INDEX(in_fx_spread,1,C93))</f>
        <v>52.7748</v>
      </c>
      <c r="J93" s="81" t="n">
        <f aca="false">1</f>
        <v>1</v>
      </c>
      <c r="K93" s="82" t="n">
        <f aca="false">INDEX(in_sup_vat_mode,1,C93)</f>
        <v>2</v>
      </c>
      <c r="L93" s="83" t="n">
        <f aca="false">INDEX(in_cus_s301,1,C93)</f>
        <v>0.125</v>
      </c>
      <c r="M93" s="84" t="n">
        <f aca="false">1</f>
        <v>1</v>
      </c>
      <c r="N93" s="81" t="n">
        <f aca="false">1</f>
        <v>1</v>
      </c>
      <c r="O93" s="81" t="n">
        <f aca="false">1</f>
        <v>1</v>
      </c>
      <c r="P93" s="81" t="n">
        <f aca="false">1</f>
        <v>1</v>
      </c>
      <c r="Q93" s="81" t="n">
        <f aca="false">1</f>
        <v>1</v>
      </c>
      <c r="R93" s="83" t="n">
        <f aca="false">INDEX(in_sel_damage,1,C93)</f>
        <v>0.015</v>
      </c>
      <c r="S93" s="83" t="n">
        <f aca="false">INDEX(in_mkt_dist_margin,1,C93)</f>
        <v>0.25</v>
      </c>
      <c r="T93" s="83" t="n">
        <f aca="false">INDEX(in_mkt_eflute_disc,1,C93)</f>
        <v>0.2</v>
      </c>
      <c r="U93" s="82" t="n">
        <f aca="false">INDEX(in_sel_credit_days,1,C93)</f>
        <v>45</v>
      </c>
      <c r="V93" s="81" t="n">
        <f aca="false">1</f>
        <v>1</v>
      </c>
      <c r="W93" s="83" t="n">
        <f aca="false">INDEX(in_sel_commission,1,C93)</f>
        <v>0.05</v>
      </c>
      <c r="X93" s="82" t="n">
        <f aca="false">1</f>
        <v>1</v>
      </c>
      <c r="Y93" s="85" t="n">
        <f aca="false">INDEX(cfg_u_3464,D93,C93)*O93</f>
        <v>22600</v>
      </c>
      <c r="Z93" s="85" t="n">
        <f aca="false">INDEX(cfg_u_3463,D93,C93)*O93</f>
        <v>22600</v>
      </c>
      <c r="AA93" s="85" t="n">
        <f aca="false">INDEX(cfg_u_3460,D93,C93)*O93</f>
        <v>22600</v>
      </c>
      <c r="AB93" s="85" t="n">
        <f aca="false">Y93+Z93+AA93</f>
        <v>67800</v>
      </c>
      <c r="AC93" s="86" t="n">
        <f aca="false">Y93*INDEX(lg_vpu_3464,C93)</f>
        <v>16.0774592</v>
      </c>
      <c r="AD93" s="86" t="n">
        <f aca="false">Z93*INDEX(lg_vpu_3463,C93)</f>
        <v>19.6681472</v>
      </c>
      <c r="AE93" s="86" t="n">
        <f aca="false">AA93*INDEX(lg_vpu_3460,C93)</f>
        <v>12.8483712</v>
      </c>
      <c r="AF93" s="86" t="n">
        <f aca="false">AC93+AD93+AE93</f>
        <v>48.5939776</v>
      </c>
      <c r="AG93" s="85" t="n">
        <f aca="false">Y93*INDEX(lg_kpu_3464,C93)+Z93*INDEX(lg_kpu_3463,C93)+AA93*INDEX(lg_kpu_3460,C93)</f>
        <v>11686.6122336</v>
      </c>
      <c r="AH93" s="87" t="n">
        <f aca="false">INDEX(in_sup_requote,1,C93)</f>
        <v>0</v>
      </c>
      <c r="AI93" s="88" t="n">
        <f aca="false">Y93*q_price_3464*(1+AH93)*J93/I93</f>
        <v>3582.18316317636</v>
      </c>
      <c r="AJ93" s="88" t="n">
        <f aca="false">Z93*q_price_3463*(1+AH93)*J93/I93</f>
        <v>3383.05403336441</v>
      </c>
      <c r="AK93" s="88" t="n">
        <f aca="false">AA93*q_price_3460*(1+AH93)*J93/I93</f>
        <v>2954.81934559676</v>
      </c>
      <c r="AL93" s="88" t="n">
        <f aca="false">AI93+AJ93+AK93</f>
        <v>9920.05654213754</v>
      </c>
      <c r="AM93" s="88" t="n">
        <f aca="false">IF(OR(K93=2,K93=3),AL93*INDEX(in_sup_vat_rate,1,C93),0)</f>
        <v>1388.80791589926</v>
      </c>
      <c r="AN93" s="88" t="n">
        <f aca="false">IF(K93=3,AM93,0)</f>
        <v>0</v>
      </c>
      <c r="AO93" s="88" t="n">
        <f aca="false">INDEX(in_sup_tooling_egp,1,C93)/I93</f>
        <v>0</v>
      </c>
      <c r="AP93" s="88" t="n">
        <f aca="false">IF(F93=4,INDEX(in_ori_lcl_truck,1,C93)*V93/I93+INDEX(in_ori_lcl_cfs_o,1,C93),G93*(IF(F93=1,INDEX(in_ori_truck_20,1,C93),INDEX(in_ori_truck_40,1,C93))*V93/I93+INDEX(in_ori_terminal,1,C93)+IF(F93=1,INDEX(in_ori_othc_20,1,C93),INDEX(in_ori_othc_40,1,C93))*(1-INDEX(in_ori_othc_in_freight,1,C93))+INDEX(in_ori_seal,1,C93)+INDEX(in_ori_inspection,1,C93)+INDEX(in_ori_dd_days,1,C93)*IF(F93=1,INDEX(in_ori_dd_20,1,C93),INDEX(in_ori_dd_40,1,C93))+INDEX(in_ori_loading_egp,1,C93)/I93))</f>
        <v>555.278125165799</v>
      </c>
      <c r="AQ93" s="88" t="n">
        <f aca="false">(INDEX(in_ori_clearance,1,C93)+INDEX(in_ori_coo,1,C93))/I93+INDEX(in_ori_bl_fee,1,C93)+INDEX(in_ori_fwd_fee,1,C93)+INDEX(in_ori_qc,1,C93)+INDEX(in_ori_wires,1,C93)*INDEX(in_ori_wire_fee,1,C93)</f>
        <v>817.639062582899</v>
      </c>
      <c r="AR93" s="88" t="n">
        <f aca="false">AP93+AQ93</f>
        <v>1372.9171877487</v>
      </c>
      <c r="AS93" s="85" t="n">
        <f aca="false">INDEX(tbl_port_diff,H93,C93)</f>
        <v>0</v>
      </c>
      <c r="AT93" s="88" t="n">
        <f aca="false">IF(F93=4,MAX(AF93*INDEX(in_oce_lcl_factor,1,C93),AG93/1000,1)*INDEX(in_oce_lcl_rate,1,C93)*M93,G93*(INDEX(tbl_ocean_rate,MIN(F93,3),C93)+AS93)*M93)</f>
        <v>3900</v>
      </c>
      <c r="AU93" s="88" t="n">
        <f aca="false">AT93+INDEX(in_oce_ams,1,C93)</f>
        <v>3935</v>
      </c>
      <c r="AV93" s="88" t="n">
        <f aca="false">AI93*(1+IF(K93=3,INDEX(in_sup_vat_rate,1,C93),0))+AO93*Y93/AB93</f>
        <v>3582.18316317636</v>
      </c>
      <c r="AW93" s="88" t="n">
        <f aca="false">AJ93*(1+IF(K93=3,INDEX(in_sup_vat_rate,1,C93),0))+AO93*Z93/AB93</f>
        <v>3383.05403336441</v>
      </c>
      <c r="AX93" s="88" t="n">
        <f aca="false">AK93*(1+IF(K93=3,INDEX(in_sup_vat_rate,1,C93),0))+AO93*AA93/AB93</f>
        <v>2954.81934559676</v>
      </c>
      <c r="AY93" s="88" t="n">
        <f aca="false">AV93+AW93+AX93</f>
        <v>9920.05654213754</v>
      </c>
      <c r="AZ93" s="88" t="n">
        <f aca="false">MAX(INDEX(in_oce_ins_min,1,C93),INDEX(in_oce_ins_rate,1,C93)*(1+INDEX(in_oce_ins_uplift,1,C93))*(AL93+AO93+AR93+AU93))*(1-INDEX(in_oce_ins_in_other,1,C93))</f>
        <v>75</v>
      </c>
      <c r="BA93" s="87" t="n">
        <f aca="false">INDEX(in_cus_mfn,1,C93)+L93</f>
        <v>0.125</v>
      </c>
      <c r="BB93" s="88" t="n">
        <f aca="false">AY93*BA93</f>
        <v>1240.00706776719</v>
      </c>
      <c r="BC93" s="88" t="n">
        <f aca="false">MIN(MAX(AY93*INDEX(in_cus_mpf_rate,1,C93),INDEX(in_cus_mpf_min,1,C93)),INDEX(in_cus_mpf_max,1,C93))</f>
        <v>34.58</v>
      </c>
      <c r="BD93" s="88" t="n">
        <f aca="false">AY93*INDEX(in_cus_hmf,1,C93)</f>
        <v>12.4000706776719</v>
      </c>
      <c r="BE93" s="88" t="n">
        <f aca="false">MAX(INDEX(in_cus_stb_min,1,C93),INDEX(in_cus_stb_rate,1,C93)/1000*(AY93+BB93+BC93+BD93))</f>
        <v>75</v>
      </c>
      <c r="BF93" s="88" t="n">
        <f aca="false">INDEX(in_cus_broker,1,C93)+INDEX(in_cus_isf,1,C93)+INDEX(in_cus_do_fee,1,C93)+BE93+INDEX(in_cus_isf_bond,1,C93)</f>
        <v>510</v>
      </c>
      <c r="BG93" s="88" t="n">
        <f aca="false">IF(H93=1,INDEX(in_cus_cfc,1,C93)*INDEX(ct_teu,F93)*G93*(1-INDEX(in_cus_cfc_in_freight,1,C93)),0)</f>
        <v>0</v>
      </c>
      <c r="BH93" s="88" t="n">
        <f aca="false">IF(F93=4,1,G93)*(INDEX(in_cus_exam,1,C93)+INDEX(in_cus_exam_dray,1,C93))</f>
        <v>0</v>
      </c>
      <c r="BI93" s="88" t="n">
        <f aca="false">IF(F93=4,1,G93)*INDEX(in_cus_dem_days,1,C93)*INDEX(in_cus_dem_rate,1,C93)</f>
        <v>0</v>
      </c>
      <c r="BJ93" s="88" t="n">
        <f aca="false">BG93+BH93+BI93</f>
        <v>0</v>
      </c>
      <c r="BK93" s="88" t="n">
        <f aca="false">IF(F93=4,(INDEX(in_dra_lcl_cfs_d,1,C93)+INDEX(in_dra_lcl_deliv,1,C93))*P93,G93*(INDEX(tbl_dest_line,E93,C93)*P93*(1+INDEX(in_dra_fsc,1,C93))+INDEX(tbl_dest_tolls,E93,C93)+INDEX(in_dra_chassis_days,1,C93)*INDEX(tbl_dest_chassis,E93,C93)*(1-INDEX(in_dra_chassis_in_dray,1,C93))+INDEX(in_dra_wait_hours,1,C93)*INDEX(in_dra_wait_rate,1,C93)+INDEX(in_dra_split,1,C93)+INDEX(in_dra_prepull,1,C93)+INDEX(in_dra_dryrun,1,C93)))</f>
        <v>1504</v>
      </c>
      <c r="BL93" s="88" t="n">
        <f aca="false">IF(F93=4,0,G93*IF(F93=1,INDEX(in_dra_unload_20,1,C93),INDEX(in_dra_unload_40,1,C93))*Q93*(1-INDEX(in_dra_unload_in_dray,1,C93)))</f>
        <v>450</v>
      </c>
      <c r="BM93" s="88" t="n">
        <f aca="false">AL93+AN93+AO93+AR93+AU93+AZ93+BB93+BC93+BD93+BF93+BJ93+BK93+BL93</f>
        <v>19053.9608683311</v>
      </c>
      <c r="BN93" s="88" t="n">
        <f aca="false">AP93+AU93+BJ93+BK93+BL93</f>
        <v>6444.2781251658</v>
      </c>
      <c r="BO93" s="88" t="n">
        <f aca="false">AQ93+BF93</f>
        <v>1327.6390625829</v>
      </c>
      <c r="BP93" s="88" t="n">
        <f aca="false">AI93*(1+IF(K93=3,INDEX(in_sup_vat_rate,1,C93),0))+AO93*Y93/AB93+AV93*BA93+(BC93+BD93)*AV93/AY93+AZ93*AI93/AL93+BN93*AC93/AF93+BO93*Y93/AB93</f>
        <v>6648.65825096059</v>
      </c>
      <c r="BQ93" s="88" t="n">
        <f aca="false">AJ93*(1+IF(K93=3,INDEX(in_sup_vat_rate,1,C93),0))+AO93*Z93/AB93+AW93*BA93+(BC93+BD93)*AW93/AY93+AZ93*AJ93/AL93+BN93*AD93/AF93+BO93*Z93/AB93</f>
        <v>6898.36761339764</v>
      </c>
      <c r="BR93" s="88" t="n">
        <f aca="false">AK93*(1+IF(K93=3,INDEX(in_sup_vat_rate,1,C93),0))+AO93*AA93/AB93+AX93*BA93+(BC93+BD93)*AX93/AY93+AZ93*AK93/AL93+BN93*AE93/AF93+BO93*AA93/AB93</f>
        <v>5506.93500397287</v>
      </c>
      <c r="BS93" s="89" t="n">
        <f aca="false">BP93+BQ93+BR93-BM93</f>
        <v>0</v>
      </c>
      <c r="BT93" s="85" t="n">
        <f aca="false">Y93*(1-R93)</f>
        <v>22261</v>
      </c>
      <c r="BU93" s="85" t="n">
        <f aca="false">Z93*(1-R93)</f>
        <v>22261</v>
      </c>
      <c r="BV93" s="85" t="n">
        <f aca="false">AA93*(1-R93)</f>
        <v>22261</v>
      </c>
      <c r="BW93" s="85" t="n">
        <f aca="false">BT93+BU93+BV93</f>
        <v>66783</v>
      </c>
      <c r="BX93" s="90" t="n">
        <f aca="false">IF(BT93&gt;0,BP93/BT93,0)</f>
        <v>0.298668444856951</v>
      </c>
      <c r="BY93" s="90" t="n">
        <f aca="false">IF(BU93&gt;0,BQ93/BU93,0)</f>
        <v>0.309885791896035</v>
      </c>
      <c r="BZ93" s="90" t="n">
        <f aca="false">IF(BV93&gt;0,BR93/BV93,0)</f>
        <v>0.247380396387084</v>
      </c>
      <c r="CA93" s="90" t="n">
        <f aca="false">INDEX(in_mkt_listing_3464,1,C93)*(1-IF(sku_flute_3464="B",T93,0))*(1-S93)*N93</f>
        <v>0.234</v>
      </c>
      <c r="CB93" s="90" t="n">
        <f aca="false">INDEX(in_mkt_listing_3463,1,C93)*(1-IF(sku_flute_3463="B",T93,0))*(1-S93)*N93</f>
        <v>0.27</v>
      </c>
      <c r="CC93" s="90" t="n">
        <f aca="false">INDEX(in_mkt_listing_3460,1,C93)*(1-IF(sku_flute_3460="B",T93,0))*(1-S93)*N93</f>
        <v>0.225</v>
      </c>
      <c r="CD93" s="88" t="n">
        <f aca="false">BT93*CA93+BU93*CB93+BV93*CC93</f>
        <v>16228.269</v>
      </c>
      <c r="CE93" s="88" t="n">
        <f aca="false">CD93-BM93</f>
        <v>-2825.6918683311</v>
      </c>
      <c r="CF93" s="87" t="n">
        <f aca="false">IF(CD93&gt;0,CE93/CD93,0)</f>
        <v>-0.174121581810796</v>
      </c>
      <c r="CG93" s="87" t="n">
        <f aca="false">W93+INDEX(in_sel_processing,1,C93)+INDEX(in_sel_bad_debt,1,C93)</f>
        <v>0.058</v>
      </c>
      <c r="CH93" s="88" t="n">
        <f aca="false">CD93*CG93</f>
        <v>941.239602</v>
      </c>
      <c r="CI93" s="88" t="n">
        <f aca="false">INDEX(in_sel_testing,1,C93)*X93+INDEX(in_sel_admin,1,C93)</f>
        <v>3000</v>
      </c>
      <c r="CJ93" s="79" t="n">
        <f aca="false">INDEX(in_sup_lead_days,1,C93)</f>
        <v>21</v>
      </c>
      <c r="CK93" s="79" t="n">
        <f aca="false">CJ93+INDEX(in_oce_transit,1,C93)+IF(F93=4,INDEX(in_oce_lcl_extra_days,1,C93),0)</f>
        <v>51</v>
      </c>
      <c r="CL93" s="79" t="n">
        <f aca="false">CK93+2+INDEX(in_cus_dem_days,1,C93)</f>
        <v>53</v>
      </c>
      <c r="CM93" s="79" t="n">
        <f aca="false">CL93+U93</f>
        <v>98</v>
      </c>
      <c r="CN93" s="79" t="n">
        <f aca="false">CJ93+INDEX(in_sup_vat_lag,1,C93)</f>
        <v>81</v>
      </c>
      <c r="CO93" s="91" t="n">
        <f aca="false">INDEX(in_sup_advance,1,C93)</f>
        <v>0.5</v>
      </c>
      <c r="CP93" s="88" t="n">
        <f aca="false">CO93*(AL93+AM93)+AO93+INDEX(in_sel_testing,1,C93)*X93</f>
        <v>8154.4322290184</v>
      </c>
      <c r="CQ93" s="88" t="n">
        <f aca="false">(1-CO93)*(AL93+AM93)+AR93+AU93+AZ93</f>
        <v>11037.3494167671</v>
      </c>
      <c r="CR93" s="88" t="n">
        <f aca="false">BB93+BC93+BD93+BF93+BJ93</f>
        <v>1796.98713844486</v>
      </c>
      <c r="CS93" s="88" t="n">
        <f aca="false">BK93+BL93</f>
        <v>1954</v>
      </c>
      <c r="CT93" s="88" t="n">
        <f aca="false">IF(K93=2,AM93,0)</f>
        <v>1388.80791589926</v>
      </c>
      <c r="CU93" s="85" t="n">
        <f aca="false">IF(K93=2,CO93*AM93*(CN93-0)+(1-CO93)*AM93*(CN93-CJ93),0)</f>
        <v>97910.9580708975</v>
      </c>
      <c r="CV93" s="85" t="n">
        <f aca="false">(CP93-CO93*CT93)*(CM93-0)+(CQ93-(1-CO93)*CT93)*(CM93-CJ93)+CR93*(CM93-CK93)+CS93*(CM93-CL93)</f>
        <v>1699877.96640059</v>
      </c>
      <c r="CW93" s="88" t="n">
        <f aca="false">INDEX(in_sel_fin_rate,1,C93)/365*(CU93+CV93)</f>
        <v>492.544910814107</v>
      </c>
      <c r="CX93" s="85" t="n">
        <f aca="false">CP93-IF(CN93&lt;=0,CT93,0)</f>
        <v>8154.4322290184</v>
      </c>
      <c r="CY93" s="85" t="n">
        <f aca="false">CP93+CQ93-IF(CN93&lt;=CJ93,CT93,0)</f>
        <v>19191.7816457855</v>
      </c>
      <c r="CZ93" s="85" t="n">
        <f aca="false">CP93+CQ93+CR93-IF(CN93&lt;=CK93,CT93,0)</f>
        <v>20988.7687842304</v>
      </c>
      <c r="DA93" s="85" t="n">
        <f aca="false">CP93+CQ93+CR93+CS93-IF(CN93&lt;=CL93,CT93,0)</f>
        <v>22942.7687842304</v>
      </c>
      <c r="DB93" s="88" t="n">
        <f aca="false">MAX(CX93,CY93,CZ93,DA93)</f>
        <v>22942.7687842304</v>
      </c>
      <c r="DC93" s="88" t="n">
        <f aca="false">CP93+CQ93+CR93+CS93</f>
        <v>22942.7687842304</v>
      </c>
      <c r="DD93" s="88" t="n">
        <f aca="false">CE93-CH93-CI93-CW93</f>
        <v>-7259.47638114521</v>
      </c>
      <c r="DE93" s="87" t="n">
        <f aca="false">IF(CD93&gt;0,DD93/CD93,0)</f>
        <v>-0.4473352260272</v>
      </c>
      <c r="DF93" s="86" t="n">
        <f aca="false">IF(CD93&gt;0,(BM93+CI93+CW93)/(CD93*(1-CG93)),0)</f>
        <v>1.47487815926454</v>
      </c>
      <c r="DG93" s="90" t="n">
        <f aca="false">IF(BW93&gt;0,BM93/BW93,0)</f>
        <v>0.285311544380023</v>
      </c>
      <c r="DH93" s="90" t="n">
        <f aca="false">IF(BW93&gt;0,CD93/BW93,0)</f>
        <v>0.243</v>
      </c>
      <c r="DI93" s="90" t="n">
        <f aca="false">IF(AI93&gt;0,(AI93*IF(K93=3,INDEX(in_sup_vat_rate,1,C93),0)+AV93*BA93+(BC93+BD93)*AV93/AY93+AZ93*AI93/AL93)/AI93,0)</f>
        <v>0.13729630800586</v>
      </c>
      <c r="DJ93" s="90" t="n">
        <f aca="false">IF(AJ93&gt;0,(AJ93*IF(K93=3,INDEX(in_sup_vat_rate,1,C93),0)+AW93*BA93+(BC93+BD93)*AW93/AY93+AZ93*AJ93/AL93)/AJ93,0)</f>
        <v>0.13729630800586</v>
      </c>
      <c r="DK93" s="90" t="n">
        <f aca="false">IF(AK93&gt;0,(AK93*IF(K93=3,INDEX(in_sup_vat_rate,1,C93),0)+AX93*BA93+(BC93+BD93)*AX93/AY93+AZ93*AK93/AL93)/AK93,0)</f>
        <v>0.13729630800586</v>
      </c>
      <c r="DL93" s="90" t="n">
        <f aca="false">IF(Y93&gt;0,(BP93-AI93*(1+DI93))/Y93,0)</f>
        <v>0.113922768357494</v>
      </c>
      <c r="DM93" s="90" t="n">
        <f aca="false">IF(Z93&gt;0,(BQ93-AJ93*(1+DJ93))/Z93,0)</f>
        <v>0.134992599622476</v>
      </c>
      <c r="DN93" s="90" t="n">
        <f aca="false">IF(AA93&gt;0,(BR93-AK93*(1+DK93))/AA93,0)</f>
        <v>0.0949747730708577</v>
      </c>
      <c r="DO93" s="86" t="n">
        <f aca="false">IF(Y93&gt;0,(CA93*(1-thr_gm_go)*(1-R93)-DL93)/(1+DI93)*I93/((1+AH93)*J93),"")</f>
        <v>2.73525588853923</v>
      </c>
      <c r="DP93" s="86" t="n">
        <f aca="false">IF(Z93&gt;0,(CB93*(1-thr_gm_go)*(1-R93)-DM93)/(1+DJ93)*I93/((1+AH93)*J93),"")</f>
        <v>2.99164437138594</v>
      </c>
      <c r="DQ93" s="86" t="n">
        <f aca="false">IF(AA93&gt;0,(CC93*(1-thr_gm_go)*(1-R93)-DN93)/(1+DK93)*I93/((1+AH93)*J93),"")</f>
        <v>3.30598684544461</v>
      </c>
      <c r="DR93" s="92" t="n">
        <f aca="false">IF(AND(AY93*INDEX(in_cus_mpf_rate,1,C93)&gt;INDEX(in_cus_mpf_min,1,C93),AY93*INDEX(in_cus_mpf_rate,1,C93)&lt;INDEX(in_cus_mpf_max,1,C93)),INDEX(in_cus_mpf_rate,1,C93),0)</f>
        <v>0</v>
      </c>
      <c r="DS93" s="88" t="n">
        <f aca="false">IF(AZ93&gt;INDEX(in_oce_ins_min,1,C93),INDEX(in_oce_ins_rate,1,C93)*(1+INDEX(in_oce_ins_uplift,1,C93))*AL93,0)</f>
        <v>0</v>
      </c>
      <c r="DT93" s="88" t="n">
        <f aca="false">(AL93+AN93)*(1+BA93+INDEX(in_cus_hmf,1,C93)+DR93)+DS93</f>
        <v>11172.4636805824</v>
      </c>
      <c r="DU93" s="86" t="n">
        <f aca="false">IF(DT93&gt;0,(CD93*(1-thr_gm_go)-(BM93-DT93))/DT93,0)</f>
        <v>0.383953323536576</v>
      </c>
      <c r="DV93" s="86" t="n">
        <f aca="false">IF(DT93&gt;0,(CD93-(BM93-DT93))/DT93,0)</f>
        <v>0.747084264570748</v>
      </c>
      <c r="DW93" s="87" t="n">
        <f aca="false">(1+AH93)*J93*DU93-1</f>
        <v>-0.616046676463424</v>
      </c>
      <c r="DX93" s="87" t="n">
        <f aca="false">(1+AH93)*J93*DV93-1</f>
        <v>-0.252915735429252</v>
      </c>
      <c r="DY93" s="85" t="n">
        <f aca="false">IF(G93&gt;0,(CD93*(1-thr_gm_go)-(BM93-AT93))/G93,"")</f>
        <v>-2982.7591183311</v>
      </c>
      <c r="DZ93" s="90" t="n">
        <f aca="false">IF(AB93&gt;0,(AL93+AN93+BB93+BC93+BD93)/AB93,0)</f>
        <v>0.165295629507115</v>
      </c>
      <c r="EA93" s="88" t="n">
        <f aca="false">BM93-DZ93*AB93</f>
        <v>7846.9171877487</v>
      </c>
      <c r="EB93" s="90" t="n">
        <f aca="false">IF(AB93&gt;0,CD93/AB93,0)</f>
        <v>0.239355</v>
      </c>
      <c r="EC93" s="85" t="n">
        <f aca="false">IF(EB93*(1-thr_gm_go)-DZ93&gt;0,EA93/(EB93*(1-thr_gm_go)-DZ93),"n/a")</f>
        <v>551798.509191267</v>
      </c>
      <c r="ED93" s="85" t="n">
        <f aca="false">IF(EB93-DZ93&gt;0,EA93/(EB93-DZ93),"n/a")</f>
        <v>105954.413810506</v>
      </c>
      <c r="EE93" s="93" t="b">
        <f aca="false">INDEX(cfg_fits,D93,C93)</f>
        <v>1</v>
      </c>
      <c r="EF93" s="87" t="n">
        <f aca="false">IF(F93=4,"",INDEX(cfg_lenutil,D93,C93))</f>
        <v>0.999580888516345</v>
      </c>
      <c r="EG93" s="31" t="str">
        <f aca="false">IF(O93&gt;1,"Check fit (units scaled up)","")</f>
        <v/>
      </c>
    </row>
    <row r="94" customFormat="false" ht="15" hidden="false" customHeight="false" outlineLevel="0" collapsed="false">
      <c r="A94" s="78" t="n">
        <v>2085</v>
      </c>
      <c r="B94" s="9" t="s">
        <v>3242</v>
      </c>
      <c r="C94" s="78" t="n">
        <v>2</v>
      </c>
      <c r="D94" s="78" t="n">
        <v>8</v>
      </c>
      <c r="E94" s="78" t="n">
        <v>5</v>
      </c>
      <c r="F94" s="79" t="n">
        <f aca="false">INDEX(cfg_ct,D94)</f>
        <v>2</v>
      </c>
      <c r="G94" s="79" t="n">
        <f aca="false">INDEX(cfg_n,D94)</f>
        <v>1</v>
      </c>
      <c r="H94" s="79" t="n">
        <f aca="false">INDEX(dest_port,E94)</f>
        <v>4</v>
      </c>
      <c r="I94" s="80" t="n">
        <f aca="false">INDEX(in_fx_cbe,1,C94)*(1-INDEX(in_fx_spread,1,C94))</f>
        <v>52.7748</v>
      </c>
      <c r="J94" s="81" t="n">
        <f aca="false">1</f>
        <v>1</v>
      </c>
      <c r="K94" s="82" t="n">
        <f aca="false">INDEX(in_sup_vat_mode,1,C94)</f>
        <v>2</v>
      </c>
      <c r="L94" s="83" t="n">
        <f aca="false">INDEX(in_cus_s301,1,C94)</f>
        <v>0.125</v>
      </c>
      <c r="M94" s="84" t="n">
        <f aca="false">1</f>
        <v>1</v>
      </c>
      <c r="N94" s="81" t="n">
        <f aca="false">1</f>
        <v>1</v>
      </c>
      <c r="O94" s="81" t="n">
        <f aca="false">1</f>
        <v>1</v>
      </c>
      <c r="P94" s="81" t="n">
        <f aca="false">1</f>
        <v>1</v>
      </c>
      <c r="Q94" s="81" t="n">
        <f aca="false">1</f>
        <v>1</v>
      </c>
      <c r="R94" s="83" t="n">
        <f aca="false">INDEX(in_sel_damage,1,C94)</f>
        <v>0.015</v>
      </c>
      <c r="S94" s="83" t="n">
        <f aca="false">INDEX(in_mkt_dist_margin,1,C94)</f>
        <v>0.25</v>
      </c>
      <c r="T94" s="83" t="n">
        <f aca="false">INDEX(in_mkt_eflute_disc,1,C94)</f>
        <v>0.2</v>
      </c>
      <c r="U94" s="82" t="n">
        <f aca="false">INDEX(in_sel_credit_days,1,C94)</f>
        <v>45</v>
      </c>
      <c r="V94" s="81" t="n">
        <f aca="false">1</f>
        <v>1</v>
      </c>
      <c r="W94" s="83" t="n">
        <f aca="false">INDEX(in_sel_commission,1,C94)</f>
        <v>0.05</v>
      </c>
      <c r="X94" s="82" t="n">
        <f aca="false">1</f>
        <v>1</v>
      </c>
      <c r="Y94" s="85" t="n">
        <f aca="false">INDEX(cfg_u_3464,D94,C94)*O94</f>
        <v>22600</v>
      </c>
      <c r="Z94" s="85" t="n">
        <f aca="false">INDEX(cfg_u_3463,D94,C94)*O94</f>
        <v>22600</v>
      </c>
      <c r="AA94" s="85" t="n">
        <f aca="false">INDEX(cfg_u_3460,D94,C94)*O94</f>
        <v>22600</v>
      </c>
      <c r="AB94" s="85" t="n">
        <f aca="false">Y94+Z94+AA94</f>
        <v>67800</v>
      </c>
      <c r="AC94" s="86" t="n">
        <f aca="false">Y94*INDEX(lg_vpu_3464,C94)</f>
        <v>16.0774592</v>
      </c>
      <c r="AD94" s="86" t="n">
        <f aca="false">Z94*INDEX(lg_vpu_3463,C94)</f>
        <v>19.6681472</v>
      </c>
      <c r="AE94" s="86" t="n">
        <f aca="false">AA94*INDEX(lg_vpu_3460,C94)</f>
        <v>12.8483712</v>
      </c>
      <c r="AF94" s="86" t="n">
        <f aca="false">AC94+AD94+AE94</f>
        <v>48.5939776</v>
      </c>
      <c r="AG94" s="85" t="n">
        <f aca="false">Y94*INDEX(lg_kpu_3464,C94)+Z94*INDEX(lg_kpu_3463,C94)+AA94*INDEX(lg_kpu_3460,C94)</f>
        <v>11686.6122336</v>
      </c>
      <c r="AH94" s="87" t="n">
        <f aca="false">INDEX(in_sup_requote,1,C94)</f>
        <v>0</v>
      </c>
      <c r="AI94" s="88" t="n">
        <f aca="false">Y94*q_price_3464*(1+AH94)*J94/I94</f>
        <v>3582.18316317636</v>
      </c>
      <c r="AJ94" s="88" t="n">
        <f aca="false">Z94*q_price_3463*(1+AH94)*J94/I94</f>
        <v>3383.05403336441</v>
      </c>
      <c r="AK94" s="88" t="n">
        <f aca="false">AA94*q_price_3460*(1+AH94)*J94/I94</f>
        <v>2954.81934559676</v>
      </c>
      <c r="AL94" s="88" t="n">
        <f aca="false">AI94+AJ94+AK94</f>
        <v>9920.05654213754</v>
      </c>
      <c r="AM94" s="88" t="n">
        <f aca="false">IF(OR(K94=2,K94=3),AL94*INDEX(in_sup_vat_rate,1,C94),0)</f>
        <v>1388.80791589926</v>
      </c>
      <c r="AN94" s="88" t="n">
        <f aca="false">IF(K94=3,AM94,0)</f>
        <v>0</v>
      </c>
      <c r="AO94" s="88" t="n">
        <f aca="false">INDEX(in_sup_tooling_egp,1,C94)/I94</f>
        <v>0</v>
      </c>
      <c r="AP94" s="88" t="n">
        <f aca="false">IF(F94=4,INDEX(in_ori_lcl_truck,1,C94)*V94/I94+INDEX(in_ori_lcl_cfs_o,1,C94),G94*(IF(F94=1,INDEX(in_ori_truck_20,1,C94),INDEX(in_ori_truck_40,1,C94))*V94/I94+INDEX(in_ori_terminal,1,C94)+IF(F94=1,INDEX(in_ori_othc_20,1,C94),INDEX(in_ori_othc_40,1,C94))*(1-INDEX(in_ori_othc_in_freight,1,C94))+INDEX(in_ori_seal,1,C94)+INDEX(in_ori_inspection,1,C94)+INDEX(in_ori_dd_days,1,C94)*IF(F94=1,INDEX(in_ori_dd_20,1,C94),INDEX(in_ori_dd_40,1,C94))+INDEX(in_ori_loading_egp,1,C94)/I94))</f>
        <v>555.278125165799</v>
      </c>
      <c r="AQ94" s="88" t="n">
        <f aca="false">(INDEX(in_ori_clearance,1,C94)+INDEX(in_ori_coo,1,C94))/I94+INDEX(in_ori_bl_fee,1,C94)+INDEX(in_ori_fwd_fee,1,C94)+INDEX(in_ori_qc,1,C94)+INDEX(in_ori_wires,1,C94)*INDEX(in_ori_wire_fee,1,C94)</f>
        <v>817.639062582899</v>
      </c>
      <c r="AR94" s="88" t="n">
        <f aca="false">AP94+AQ94</f>
        <v>1372.9171877487</v>
      </c>
      <c r="AS94" s="85" t="n">
        <f aca="false">INDEX(tbl_port_diff,H94,C94)</f>
        <v>100</v>
      </c>
      <c r="AT94" s="88" t="n">
        <f aca="false">IF(F94=4,MAX(AF94*INDEX(in_oce_lcl_factor,1,C94),AG94/1000,1)*INDEX(in_oce_lcl_rate,1,C94)*M94,G94*(INDEX(tbl_ocean_rate,MIN(F94,3),C94)+AS94)*M94)</f>
        <v>4000</v>
      </c>
      <c r="AU94" s="88" t="n">
        <f aca="false">AT94+INDEX(in_oce_ams,1,C94)</f>
        <v>4035</v>
      </c>
      <c r="AV94" s="88" t="n">
        <f aca="false">AI94*(1+IF(K94=3,INDEX(in_sup_vat_rate,1,C94),0))+AO94*Y94/AB94</f>
        <v>3582.18316317636</v>
      </c>
      <c r="AW94" s="88" t="n">
        <f aca="false">AJ94*(1+IF(K94=3,INDEX(in_sup_vat_rate,1,C94),0))+AO94*Z94/AB94</f>
        <v>3383.05403336441</v>
      </c>
      <c r="AX94" s="88" t="n">
        <f aca="false">AK94*(1+IF(K94=3,INDEX(in_sup_vat_rate,1,C94),0))+AO94*AA94/AB94</f>
        <v>2954.81934559676</v>
      </c>
      <c r="AY94" s="88" t="n">
        <f aca="false">AV94+AW94+AX94</f>
        <v>9920.05654213754</v>
      </c>
      <c r="AZ94" s="88" t="n">
        <f aca="false">MAX(INDEX(in_oce_ins_min,1,C94),INDEX(in_oce_ins_rate,1,C94)*(1+INDEX(in_oce_ins_uplift,1,C94))*(AL94+AO94+AR94+AU94))*(1-INDEX(in_oce_ins_in_other,1,C94))</f>
        <v>75</v>
      </c>
      <c r="BA94" s="87" t="n">
        <f aca="false">INDEX(in_cus_mfn,1,C94)+L94</f>
        <v>0.125</v>
      </c>
      <c r="BB94" s="88" t="n">
        <f aca="false">AY94*BA94</f>
        <v>1240.00706776719</v>
      </c>
      <c r="BC94" s="88" t="n">
        <f aca="false">MIN(MAX(AY94*INDEX(in_cus_mpf_rate,1,C94),INDEX(in_cus_mpf_min,1,C94)),INDEX(in_cus_mpf_max,1,C94))</f>
        <v>34.58</v>
      </c>
      <c r="BD94" s="88" t="n">
        <f aca="false">AY94*INDEX(in_cus_hmf,1,C94)</f>
        <v>12.4000706776719</v>
      </c>
      <c r="BE94" s="88" t="n">
        <f aca="false">MAX(INDEX(in_cus_stb_min,1,C94),INDEX(in_cus_stb_rate,1,C94)/1000*(AY94+BB94+BC94+BD94))</f>
        <v>75</v>
      </c>
      <c r="BF94" s="88" t="n">
        <f aca="false">INDEX(in_cus_broker,1,C94)+INDEX(in_cus_isf,1,C94)+INDEX(in_cus_do_fee,1,C94)+BE94+INDEX(in_cus_isf_bond,1,C94)</f>
        <v>510</v>
      </c>
      <c r="BG94" s="88" t="n">
        <f aca="false">IF(H94=1,INDEX(in_cus_cfc,1,C94)*INDEX(ct_teu,F94)*G94*(1-INDEX(in_cus_cfc_in_freight,1,C94)),0)</f>
        <v>0</v>
      </c>
      <c r="BH94" s="88" t="n">
        <f aca="false">IF(F94=4,1,G94)*(INDEX(in_cus_exam,1,C94)+INDEX(in_cus_exam_dray,1,C94))</f>
        <v>0</v>
      </c>
      <c r="BI94" s="88" t="n">
        <f aca="false">IF(F94=4,1,G94)*INDEX(in_cus_dem_days,1,C94)*INDEX(in_cus_dem_rate,1,C94)</f>
        <v>0</v>
      </c>
      <c r="BJ94" s="88" t="n">
        <f aca="false">BG94+BH94+BI94</f>
        <v>0</v>
      </c>
      <c r="BK94" s="88" t="n">
        <f aca="false">IF(F94=4,(INDEX(in_dra_lcl_cfs_d,1,C94)+INDEX(in_dra_lcl_deliv,1,C94))*P94,G94*(INDEX(tbl_dest_line,E94,C94)*P94*(1+INDEX(in_dra_fsc,1,C94))+INDEX(tbl_dest_tolls,E94,C94)+INDEX(in_dra_chassis_days,1,C94)*INDEX(tbl_dest_chassis,E94,C94)*(1-INDEX(in_dra_chassis_in_dray,1,C94))+INDEX(in_dra_wait_hours,1,C94)*INDEX(in_dra_wait_rate,1,C94)+INDEX(in_dra_split,1,C94)+INDEX(in_dra_prepull,1,C94)+INDEX(in_dra_dryrun,1,C94)))</f>
        <v>1970</v>
      </c>
      <c r="BL94" s="88" t="n">
        <f aca="false">IF(F94=4,0,G94*IF(F94=1,INDEX(in_dra_unload_20,1,C94),INDEX(in_dra_unload_40,1,C94))*Q94*(1-INDEX(in_dra_unload_in_dray,1,C94)))</f>
        <v>450</v>
      </c>
      <c r="BM94" s="88" t="n">
        <f aca="false">AL94+AN94+AO94+AR94+AU94+AZ94+BB94+BC94+BD94+BF94+BJ94+BK94+BL94</f>
        <v>19619.9608683311</v>
      </c>
      <c r="BN94" s="88" t="n">
        <f aca="false">AP94+AU94+BJ94+BK94+BL94</f>
        <v>7010.2781251658</v>
      </c>
      <c r="BO94" s="88" t="n">
        <f aca="false">AQ94+BF94</f>
        <v>1327.6390625829</v>
      </c>
      <c r="BP94" s="88" t="n">
        <f aca="false">AI94*(1+IF(K94=3,INDEX(in_sup_vat_rate,1,C94),0))+AO94*Y94/AB94+AV94*BA94+(BC94+BD94)*AV94/AY94+AZ94*AI94/AL94+BN94*AC94/AF94+BO94*Y94/AB94</f>
        <v>6835.92100154473</v>
      </c>
      <c r="BQ94" s="88" t="n">
        <f aca="false">AJ94*(1+IF(K94=3,INDEX(in_sup_vat_rate,1,C94),0))+AO94*Z94/AB94+AW94*BA94+(BC94+BD94)*AW94/AY94+AZ94*AJ94/AL94+BN94*AD94/AF94+BO94*Z94/AB94</f>
        <v>7127.4530240803</v>
      </c>
      <c r="BR94" s="88" t="n">
        <f aca="false">AK94*(1+IF(K94=3,INDEX(in_sup_vat_rate,1,C94),0))+AO94*AA94/AB94+AX94*BA94+(BC94+BD94)*AX94/AY94+AZ94*AK94/AL94+BN94*AE94/AF94+BO94*AA94/AB94</f>
        <v>5656.58684270608</v>
      </c>
      <c r="BS94" s="89" t="n">
        <f aca="false">BP94+BQ94+BR94-BM94</f>
        <v>0</v>
      </c>
      <c r="BT94" s="85" t="n">
        <f aca="false">Y94*(1-R94)</f>
        <v>22261</v>
      </c>
      <c r="BU94" s="85" t="n">
        <f aca="false">Z94*(1-R94)</f>
        <v>22261</v>
      </c>
      <c r="BV94" s="85" t="n">
        <f aca="false">AA94*(1-R94)</f>
        <v>22261</v>
      </c>
      <c r="BW94" s="85" t="n">
        <f aca="false">BT94+BU94+BV94</f>
        <v>66783</v>
      </c>
      <c r="BX94" s="90" t="n">
        <f aca="false">IF(BT94&gt;0,BP94/BT94,0)</f>
        <v>0.307080589440938</v>
      </c>
      <c r="BY94" s="90" t="n">
        <f aca="false">IF(BU94&gt;0,BQ94/BU94,0)</f>
        <v>0.320176677780886</v>
      </c>
      <c r="BZ94" s="90" t="n">
        <f aca="false">IF(BV94&gt;0,BR94/BV94,0)</f>
        <v>0.254102998189932</v>
      </c>
      <c r="CA94" s="90" t="n">
        <f aca="false">INDEX(in_mkt_listing_3464,1,C94)*(1-IF(sku_flute_3464="B",T94,0))*(1-S94)*N94</f>
        <v>0.234</v>
      </c>
      <c r="CB94" s="90" t="n">
        <f aca="false">INDEX(in_mkt_listing_3463,1,C94)*(1-IF(sku_flute_3463="B",T94,0))*(1-S94)*N94</f>
        <v>0.27</v>
      </c>
      <c r="CC94" s="90" t="n">
        <f aca="false">INDEX(in_mkt_listing_3460,1,C94)*(1-IF(sku_flute_3460="B",T94,0))*(1-S94)*N94</f>
        <v>0.225</v>
      </c>
      <c r="CD94" s="88" t="n">
        <f aca="false">BT94*CA94+BU94*CB94+BV94*CC94</f>
        <v>16228.269</v>
      </c>
      <c r="CE94" s="88" t="n">
        <f aca="false">CD94-BM94</f>
        <v>-3391.6918683311</v>
      </c>
      <c r="CF94" s="87" t="n">
        <f aca="false">IF(CD94&gt;0,CE94/CD94,0)</f>
        <v>-0.20899899233437</v>
      </c>
      <c r="CG94" s="87" t="n">
        <f aca="false">W94+INDEX(in_sel_processing,1,C94)+INDEX(in_sel_bad_debt,1,C94)</f>
        <v>0.058</v>
      </c>
      <c r="CH94" s="88" t="n">
        <f aca="false">CD94*CG94</f>
        <v>941.239602</v>
      </c>
      <c r="CI94" s="88" t="n">
        <f aca="false">INDEX(in_sel_testing,1,C94)*X94+INDEX(in_sel_admin,1,C94)</f>
        <v>3000</v>
      </c>
      <c r="CJ94" s="79" t="n">
        <f aca="false">INDEX(in_sup_lead_days,1,C94)</f>
        <v>21</v>
      </c>
      <c r="CK94" s="79" t="n">
        <f aca="false">CJ94+INDEX(in_oce_transit,1,C94)+IF(F94=4,INDEX(in_oce_lcl_extra_days,1,C94),0)</f>
        <v>51</v>
      </c>
      <c r="CL94" s="79" t="n">
        <f aca="false">CK94+2+INDEX(in_cus_dem_days,1,C94)</f>
        <v>53</v>
      </c>
      <c r="CM94" s="79" t="n">
        <f aca="false">CL94+U94</f>
        <v>98</v>
      </c>
      <c r="CN94" s="79" t="n">
        <f aca="false">CJ94+INDEX(in_sup_vat_lag,1,C94)</f>
        <v>81</v>
      </c>
      <c r="CO94" s="91" t="n">
        <f aca="false">INDEX(in_sup_advance,1,C94)</f>
        <v>0.5</v>
      </c>
      <c r="CP94" s="88" t="n">
        <f aca="false">CO94*(AL94+AM94)+AO94+INDEX(in_sel_testing,1,C94)*X94</f>
        <v>8154.4322290184</v>
      </c>
      <c r="CQ94" s="88" t="n">
        <f aca="false">(1-CO94)*(AL94+AM94)+AR94+AU94+AZ94</f>
        <v>11137.3494167671</v>
      </c>
      <c r="CR94" s="88" t="n">
        <f aca="false">BB94+BC94+BD94+BF94+BJ94</f>
        <v>1796.98713844486</v>
      </c>
      <c r="CS94" s="88" t="n">
        <f aca="false">BK94+BL94</f>
        <v>2420</v>
      </c>
      <c r="CT94" s="88" t="n">
        <f aca="false">IF(K94=2,AM94,0)</f>
        <v>1388.80791589926</v>
      </c>
      <c r="CU94" s="85" t="n">
        <f aca="false">IF(K94=2,CO94*AM94*(CN94-0)+(1-CO94)*AM94*(CN94-CJ94),0)</f>
        <v>97910.9580708975</v>
      </c>
      <c r="CV94" s="85" t="n">
        <f aca="false">(CP94-CO94*CT94)*(CM94-0)+(CQ94-(1-CO94)*CT94)*(CM94-CJ94)+CR94*(CM94-CK94)+CS94*(CM94-CL94)</f>
        <v>1728547.96640059</v>
      </c>
      <c r="CW94" s="88" t="n">
        <f aca="false">INDEX(in_sel_fin_rate,1,C94)/365*(CU94+CV94)</f>
        <v>500.399705334655</v>
      </c>
      <c r="CX94" s="85" t="n">
        <f aca="false">CP94-IF(CN94&lt;=0,CT94,0)</f>
        <v>8154.4322290184</v>
      </c>
      <c r="CY94" s="85" t="n">
        <f aca="false">CP94+CQ94-IF(CN94&lt;=CJ94,CT94,0)</f>
        <v>19291.7816457855</v>
      </c>
      <c r="CZ94" s="85" t="n">
        <f aca="false">CP94+CQ94+CR94-IF(CN94&lt;=CK94,CT94,0)</f>
        <v>21088.7687842304</v>
      </c>
      <c r="DA94" s="85" t="n">
        <f aca="false">CP94+CQ94+CR94+CS94-IF(CN94&lt;=CL94,CT94,0)</f>
        <v>23508.7687842304</v>
      </c>
      <c r="DB94" s="88" t="n">
        <f aca="false">MAX(CX94,CY94,CZ94,DA94)</f>
        <v>23508.7687842304</v>
      </c>
      <c r="DC94" s="88" t="n">
        <f aca="false">CP94+CQ94+CR94+CS94</f>
        <v>23508.7687842304</v>
      </c>
      <c r="DD94" s="88" t="n">
        <f aca="false">CE94-CH94-CI94-CW94</f>
        <v>-7833.33117566576</v>
      </c>
      <c r="DE94" s="87" t="n">
        <f aca="false">IF(CD94&gt;0,DD94/CD94,0)</f>
        <v>-0.482696655796484</v>
      </c>
      <c r="DF94" s="86" t="n">
        <f aca="false">IF(CD94&gt;0,(BM94+CI94+CW94)/(CD94*(1-CG94)),0)</f>
        <v>1.51241683205572</v>
      </c>
      <c r="DG94" s="90" t="n">
        <f aca="false">IF(BW94&gt;0,BM94/BW94,0)</f>
        <v>0.293786755137252</v>
      </c>
      <c r="DH94" s="90" t="n">
        <f aca="false">IF(BW94&gt;0,CD94/BW94,0)</f>
        <v>0.243</v>
      </c>
      <c r="DI94" s="90" t="n">
        <f aca="false">IF(AI94&gt;0,(AI94*IF(K94=3,INDEX(in_sup_vat_rate,1,C94),0)+AV94*BA94+(BC94+BD94)*AV94/AY94+AZ94*AI94/AL94)/AI94,0)</f>
        <v>0.13729630800586</v>
      </c>
      <c r="DJ94" s="90" t="n">
        <f aca="false">IF(AJ94&gt;0,(AJ94*IF(K94=3,INDEX(in_sup_vat_rate,1,C94),0)+AW94*BA94+(BC94+BD94)*AW94/AY94+AZ94*AJ94/AL94)/AJ94,0)</f>
        <v>0.13729630800586</v>
      </c>
      <c r="DK94" s="90" t="n">
        <f aca="false">IF(AK94&gt;0,(AK94*IF(K94=3,INDEX(in_sup_vat_rate,1,C94),0)+AX94*BA94+(BC94+BD94)*AX94/AY94+AZ94*AK94/AL94)/AK94,0)</f>
        <v>0.13729630800586</v>
      </c>
      <c r="DL94" s="90" t="n">
        <f aca="false">IF(Y94&gt;0,(BP94-AI94*(1+DI94))/Y94,0)</f>
        <v>0.122208730772721</v>
      </c>
      <c r="DM94" s="90" t="n">
        <f aca="false">IF(Z94&gt;0,(BQ94-AJ94*(1+DJ94))/Z94,0)</f>
        <v>0.145129122219054</v>
      </c>
      <c r="DN94" s="90" t="n">
        <f aca="false">IF(AA94&gt;0,(BR94-AK94*(1+DK94))/AA94,0)</f>
        <v>0.101596535846663</v>
      </c>
      <c r="DO94" s="86" t="n">
        <f aca="false">IF(Y94&gt;0,(CA94*(1-thr_gm_go)*(1-R94)-DL94)/(1+DI94)*I94/((1+AH94)*J94),"")</f>
        <v>2.35075625885355</v>
      </c>
      <c r="DP94" s="86" t="n">
        <f aca="false">IF(Z94&gt;0,(CB94*(1-thr_gm_go)*(1-R94)-DM94)/(1+DJ94)*I94/((1+AH94)*J94),"")</f>
        <v>2.52127183173718</v>
      </c>
      <c r="DQ94" s="86" t="n">
        <f aca="false">IF(AA94&gt;0,(CC94*(1-thr_gm_go)*(1-R94)-DN94)/(1+DK94)*I94/((1+AH94)*J94),"")</f>
        <v>2.99871229994528</v>
      </c>
      <c r="DR94" s="92" t="n">
        <f aca="false">IF(AND(AY94*INDEX(in_cus_mpf_rate,1,C94)&gt;INDEX(in_cus_mpf_min,1,C94),AY94*INDEX(in_cus_mpf_rate,1,C94)&lt;INDEX(in_cus_mpf_max,1,C94)),INDEX(in_cus_mpf_rate,1,C94),0)</f>
        <v>0</v>
      </c>
      <c r="DS94" s="88" t="n">
        <f aca="false">IF(AZ94&gt;INDEX(in_oce_ins_min,1,C94),INDEX(in_oce_ins_rate,1,C94)*(1+INDEX(in_oce_ins_uplift,1,C94))*AL94,0)</f>
        <v>0</v>
      </c>
      <c r="DT94" s="88" t="n">
        <f aca="false">(AL94+AN94)*(1+BA94+INDEX(in_cus_hmf,1,C94)+DR94)+DS94</f>
        <v>11172.4636805824</v>
      </c>
      <c r="DU94" s="86" t="n">
        <f aca="false">IF(DT94&gt;0,(CD94*(1-thr_gm_go)-(BM94-DT94))/DT94,0)</f>
        <v>0.333293055919533</v>
      </c>
      <c r="DV94" s="86" t="n">
        <f aca="false">IF(DT94&gt;0,(CD94-(BM94-DT94))/DT94,0)</f>
        <v>0.696423996953705</v>
      </c>
      <c r="DW94" s="87" t="n">
        <f aca="false">(1+AH94)*J94*DU94-1</f>
        <v>-0.666706944080467</v>
      </c>
      <c r="DX94" s="87" t="n">
        <f aca="false">(1+AH94)*J94*DV94-1</f>
        <v>-0.303576003046295</v>
      </c>
      <c r="DY94" s="85" t="n">
        <f aca="false">IF(G94&gt;0,(CD94*(1-thr_gm_go)-(BM94-AT94))/G94,"")</f>
        <v>-3448.7591183311</v>
      </c>
      <c r="DZ94" s="90" t="n">
        <f aca="false">IF(AB94&gt;0,(AL94+AN94+BB94+BC94+BD94)/AB94,0)</f>
        <v>0.165295629507115</v>
      </c>
      <c r="EA94" s="88" t="n">
        <f aca="false">BM94-DZ94*AB94</f>
        <v>8412.9171877487</v>
      </c>
      <c r="EB94" s="90" t="n">
        <f aca="false">IF(AB94&gt;0,CD94/AB94,0)</f>
        <v>0.239355</v>
      </c>
      <c r="EC94" s="85" t="n">
        <f aca="false">IF(EB94*(1-thr_gm_go)-DZ94&gt;0,EA94/(EB94*(1-thr_gm_go)-DZ94),"n/a")</f>
        <v>591599.866683592</v>
      </c>
      <c r="ED94" s="85" t="n">
        <f aca="false">IF(EB94-DZ94&gt;0,EA94/(EB94-DZ94),"n/a")</f>
        <v>113596.930837495</v>
      </c>
      <c r="EE94" s="93" t="b">
        <f aca="false">INDEX(cfg_fits,D94,C94)</f>
        <v>1</v>
      </c>
      <c r="EF94" s="87" t="n">
        <f aca="false">IF(F94=4,"",INDEX(cfg_lenutil,D94,C94))</f>
        <v>0.999580888516345</v>
      </c>
      <c r="EG94" s="31" t="str">
        <f aca="false">IF(O94&gt;1,"Check fit (units scaled up)","")</f>
        <v/>
      </c>
    </row>
    <row r="95" customFormat="false" ht="15" hidden="false" customHeight="false" outlineLevel="0" collapsed="false">
      <c r="A95" s="78" t="n">
        <v>2091</v>
      </c>
      <c r="B95" s="9" t="s">
        <v>3243</v>
      </c>
      <c r="C95" s="78" t="n">
        <v>2</v>
      </c>
      <c r="D95" s="78" t="n">
        <v>9</v>
      </c>
      <c r="E95" s="78" t="n">
        <v>1</v>
      </c>
      <c r="F95" s="79" t="n">
        <f aca="false">INDEX(cfg_ct,D95)</f>
        <v>1</v>
      </c>
      <c r="G95" s="79" t="n">
        <f aca="false">INDEX(cfg_n,D95)</f>
        <v>1</v>
      </c>
      <c r="H95" s="79" t="n">
        <f aca="false">INDEX(dest_port,E95)</f>
        <v>1</v>
      </c>
      <c r="I95" s="80" t="n">
        <f aca="false">INDEX(in_fx_cbe,1,C95)*(1-INDEX(in_fx_spread,1,C95))</f>
        <v>52.7748</v>
      </c>
      <c r="J95" s="81" t="n">
        <f aca="false">1</f>
        <v>1</v>
      </c>
      <c r="K95" s="82" t="n">
        <f aca="false">INDEX(in_sup_vat_mode,1,C95)</f>
        <v>2</v>
      </c>
      <c r="L95" s="83" t="n">
        <f aca="false">INDEX(in_cus_s301,1,C95)</f>
        <v>0.125</v>
      </c>
      <c r="M95" s="84" t="n">
        <f aca="false">1</f>
        <v>1</v>
      </c>
      <c r="N95" s="81" t="n">
        <f aca="false">1</f>
        <v>1</v>
      </c>
      <c r="O95" s="81" t="n">
        <f aca="false">1</f>
        <v>1</v>
      </c>
      <c r="P95" s="81" t="n">
        <f aca="false">1</f>
        <v>1</v>
      </c>
      <c r="Q95" s="81" t="n">
        <f aca="false">1</f>
        <v>1</v>
      </c>
      <c r="R95" s="83" t="n">
        <f aca="false">INDEX(in_sel_damage,1,C95)</f>
        <v>0.015</v>
      </c>
      <c r="S95" s="83" t="n">
        <f aca="false">INDEX(in_mkt_dist_margin,1,C95)</f>
        <v>0.25</v>
      </c>
      <c r="T95" s="83" t="n">
        <f aca="false">INDEX(in_mkt_eflute_disc,1,C95)</f>
        <v>0.2</v>
      </c>
      <c r="U95" s="82" t="n">
        <f aca="false">INDEX(in_sel_credit_days,1,C95)</f>
        <v>45</v>
      </c>
      <c r="V95" s="81" t="n">
        <f aca="false">1</f>
        <v>1</v>
      </c>
      <c r="W95" s="83" t="n">
        <f aca="false">INDEX(in_sel_commission,1,C95)</f>
        <v>0.05</v>
      </c>
      <c r="X95" s="82" t="n">
        <f aca="false">1</f>
        <v>1</v>
      </c>
      <c r="Y95" s="85" t="n">
        <f aca="false">INDEX(cfg_u_3464,D95,C95)*O95</f>
        <v>10600</v>
      </c>
      <c r="Z95" s="85" t="n">
        <f aca="false">INDEX(cfg_u_3463,D95,C95)*O95</f>
        <v>10600</v>
      </c>
      <c r="AA95" s="85" t="n">
        <f aca="false">INDEX(cfg_u_3460,D95,C95)*O95</f>
        <v>10600</v>
      </c>
      <c r="AB95" s="85" t="n">
        <f aca="false">Y95+Z95+AA95</f>
        <v>31800</v>
      </c>
      <c r="AC95" s="86" t="n">
        <f aca="false">Y95*INDEX(lg_vpu_3464,C95)</f>
        <v>7.5407552</v>
      </c>
      <c r="AD95" s="86" t="n">
        <f aca="false">Z95*INDEX(lg_vpu_3463,C95)</f>
        <v>9.2248832</v>
      </c>
      <c r="AE95" s="86" t="n">
        <f aca="false">AA95*INDEX(lg_vpu_3460,C95)</f>
        <v>6.0262272</v>
      </c>
      <c r="AF95" s="86" t="n">
        <f aca="false">AC95+AD95+AE95</f>
        <v>22.7918656</v>
      </c>
      <c r="AG95" s="85" t="n">
        <f aca="false">Y95*INDEX(lg_kpu_3464,C95)+Z95*INDEX(lg_kpu_3463,C95)+AA95*INDEX(lg_kpu_3460,C95)</f>
        <v>5481.3314016</v>
      </c>
      <c r="AH95" s="87" t="n">
        <f aca="false">INDEX(in_sup_requote,1,C95)</f>
        <v>0</v>
      </c>
      <c r="AI95" s="88" t="n">
        <f aca="false">Y95*q_price_3464*(1+AH95)*J95/I95</f>
        <v>1680.13900573759</v>
      </c>
      <c r="AJ95" s="88" t="n">
        <f aca="false">Z95*q_price_3463*(1+AH95)*J95/I95</f>
        <v>1586.74215724171</v>
      </c>
      <c r="AK95" s="88" t="n">
        <f aca="false">AA95*q_price_3460*(1+AH95)*J95/I95</f>
        <v>1385.88871961618</v>
      </c>
      <c r="AL95" s="88" t="n">
        <f aca="false">AI95+AJ95+AK95</f>
        <v>4652.76988259548</v>
      </c>
      <c r="AM95" s="88" t="n">
        <f aca="false">IF(OR(K95=2,K95=3),AL95*INDEX(in_sup_vat_rate,1,C95),0)</f>
        <v>651.387783563367</v>
      </c>
      <c r="AN95" s="88" t="n">
        <f aca="false">IF(K95=3,AM95,0)</f>
        <v>0</v>
      </c>
      <c r="AO95" s="88" t="n">
        <f aca="false">INDEX(in_sup_tooling_egp,1,C95)/I95</f>
        <v>0</v>
      </c>
      <c r="AP95" s="88" t="n">
        <f aca="false">IF(F95=4,INDEX(in_ori_lcl_truck,1,C95)*V95/I95+INDEX(in_ori_lcl_cfs_o,1,C95),G95*(IF(F95=1,INDEX(in_ori_truck_20,1,C95),INDEX(in_ori_truck_40,1,C95))*V95/I95+INDEX(in_ori_terminal,1,C95)+IF(F95=1,INDEX(in_ori_othc_20,1,C95),INDEX(in_ori_othc_40,1,C95))*(1-INDEX(in_ori_othc_in_freight,1,C95))+INDEX(in_ori_seal,1,C95)+INDEX(in_ori_inspection,1,C95)+INDEX(in_ori_dd_days,1,C95)*IF(F95=1,INDEX(in_ori_dd_20,1,C95),INDEX(in_ori_dd_40,1,C95))+INDEX(in_ori_loading_egp,1,C95)/I95))</f>
        <v>418.958593874349</v>
      </c>
      <c r="AQ95" s="88" t="n">
        <f aca="false">(INDEX(in_ori_clearance,1,C95)+INDEX(in_ori_coo,1,C95))/I95+INDEX(in_ori_bl_fee,1,C95)+INDEX(in_ori_fwd_fee,1,C95)+INDEX(in_ori_qc,1,C95)+INDEX(in_ori_wires,1,C95)*INDEX(in_ori_wire_fee,1,C95)</f>
        <v>817.639062582899</v>
      </c>
      <c r="AR95" s="88" t="n">
        <f aca="false">AP95+AQ95</f>
        <v>1236.59765645725</v>
      </c>
      <c r="AS95" s="85" t="n">
        <f aca="false">INDEX(tbl_port_diff,H95,C95)</f>
        <v>0</v>
      </c>
      <c r="AT95" s="88" t="n">
        <f aca="false">IF(F95=4,MAX(AF95*INDEX(in_oce_lcl_factor,1,C95),AG95/1000,1)*INDEX(in_oce_lcl_rate,1,C95)*M95,G95*(INDEX(tbl_ocean_rate,MIN(F95,3),C95)+AS95)*M95)</f>
        <v>3000</v>
      </c>
      <c r="AU95" s="88" t="n">
        <f aca="false">AT95+INDEX(in_oce_ams,1,C95)</f>
        <v>3035</v>
      </c>
      <c r="AV95" s="88" t="n">
        <f aca="false">AI95*(1+IF(K95=3,INDEX(in_sup_vat_rate,1,C95),0))+AO95*Y95/AB95</f>
        <v>1680.13900573759</v>
      </c>
      <c r="AW95" s="88" t="n">
        <f aca="false">AJ95*(1+IF(K95=3,INDEX(in_sup_vat_rate,1,C95),0))+AO95*Z95/AB95</f>
        <v>1586.74215724171</v>
      </c>
      <c r="AX95" s="88" t="n">
        <f aca="false">AK95*(1+IF(K95=3,INDEX(in_sup_vat_rate,1,C95),0))+AO95*AA95/AB95</f>
        <v>1385.88871961618</v>
      </c>
      <c r="AY95" s="88" t="n">
        <f aca="false">AV95+AW95+AX95</f>
        <v>4652.76988259548</v>
      </c>
      <c r="AZ95" s="88" t="n">
        <f aca="false">MAX(INDEX(in_oce_ins_min,1,C95),INDEX(in_oce_ins_rate,1,C95)*(1+INDEX(in_oce_ins_uplift,1,C95))*(AL95+AO95+AR95+AU95))*(1-INDEX(in_oce_ins_in_other,1,C95))</f>
        <v>75</v>
      </c>
      <c r="BA95" s="87" t="n">
        <f aca="false">INDEX(in_cus_mfn,1,C95)+L95</f>
        <v>0.125</v>
      </c>
      <c r="BB95" s="88" t="n">
        <f aca="false">AY95*BA95</f>
        <v>581.596235324435</v>
      </c>
      <c r="BC95" s="88" t="n">
        <f aca="false">MIN(MAX(AY95*INDEX(in_cus_mpf_rate,1,C95),INDEX(in_cus_mpf_min,1,C95)),INDEX(in_cus_mpf_max,1,C95))</f>
        <v>34.58</v>
      </c>
      <c r="BD95" s="88" t="n">
        <f aca="false">AY95*INDEX(in_cus_hmf,1,C95)</f>
        <v>5.81596235324435</v>
      </c>
      <c r="BE95" s="88" t="n">
        <f aca="false">MAX(INDEX(in_cus_stb_min,1,C95),INDEX(in_cus_stb_rate,1,C95)/1000*(AY95+BB95+BC95+BD95))</f>
        <v>75</v>
      </c>
      <c r="BF95" s="88" t="n">
        <f aca="false">INDEX(in_cus_broker,1,C95)+INDEX(in_cus_isf,1,C95)+INDEX(in_cus_do_fee,1,C95)+BE95+INDEX(in_cus_isf_bond,1,C95)</f>
        <v>510</v>
      </c>
      <c r="BG95" s="88" t="n">
        <f aca="false">IF(H95=1,INDEX(in_cus_cfc,1,C95)*INDEX(ct_teu,F95)*G95*(1-INDEX(in_cus_cfc_in_freight,1,C95)),0)</f>
        <v>14.8</v>
      </c>
      <c r="BH95" s="88" t="n">
        <f aca="false">IF(F95=4,1,G95)*(INDEX(in_cus_exam,1,C95)+INDEX(in_cus_exam_dray,1,C95))</f>
        <v>0</v>
      </c>
      <c r="BI95" s="88" t="n">
        <f aca="false">IF(F95=4,1,G95)*INDEX(in_cus_dem_days,1,C95)*INDEX(in_cus_dem_rate,1,C95)</f>
        <v>0</v>
      </c>
      <c r="BJ95" s="88" t="n">
        <f aca="false">BG95+BH95+BI95</f>
        <v>14.8</v>
      </c>
      <c r="BK95" s="88" t="n">
        <f aca="false">IF(F95=4,(INDEX(in_dra_lcl_cfs_d,1,C95)+INDEX(in_dra_lcl_deliv,1,C95))*P95,G95*(INDEX(tbl_dest_line,E95,C95)*P95*(1+INDEX(in_dra_fsc,1,C95))+INDEX(tbl_dest_tolls,E95,C95)+INDEX(in_dra_chassis_days,1,C95)*INDEX(tbl_dest_chassis,E95,C95)*(1-INDEX(in_dra_chassis_in_dray,1,C95))+INDEX(in_dra_wait_hours,1,C95)*INDEX(in_dra_wait_rate,1,C95)+INDEX(in_dra_split,1,C95)+INDEX(in_dra_prepull,1,C95)+INDEX(in_dra_dryrun,1,C95)))</f>
        <v>1060</v>
      </c>
      <c r="BL95" s="88" t="n">
        <f aca="false">IF(F95=4,0,G95*IF(F95=1,INDEX(in_dra_unload_20,1,C95),INDEX(in_dra_unload_40,1,C95))*Q95*(1-INDEX(in_dra_unload_in_dray,1,C95)))</f>
        <v>300</v>
      </c>
      <c r="BM95" s="88" t="n">
        <f aca="false">AL95+AN95+AO95+AR95+AU95+AZ95+BB95+BC95+BD95+BF95+BJ95+BK95+BL95</f>
        <v>11506.1597367304</v>
      </c>
      <c r="BN95" s="88" t="n">
        <f aca="false">AP95+AU95+BJ95+BK95+BL95</f>
        <v>4828.75859387435</v>
      </c>
      <c r="BO95" s="88" t="n">
        <f aca="false">AQ95+BF95</f>
        <v>1327.6390625829</v>
      </c>
      <c r="BP95" s="88" t="n">
        <f aca="false">AI95*(1+IF(K95=3,INDEX(in_sup_vat_rate,1,C95),0))+AO95*Y95/AB95+AV95*BA95+(BC95+BD95)*AV95/AY95+AZ95*AI95/AL95+BN95*AC95/AF95+BO95*Y95/AB95</f>
        <v>3971.98167049669</v>
      </c>
      <c r="BQ95" s="88" t="n">
        <f aca="false">AJ95*(1+IF(K95=3,INDEX(in_sup_vat_rate,1,C95),0))+AO95*Z95/AB95+AW95*BA95+(BC95+BD95)*AW95/AY95+AZ95*AJ95/AL95+BN95*AD95/AF95+BO95*Z95/AB95</f>
        <v>4221.39865038484</v>
      </c>
      <c r="BR95" s="88" t="n">
        <f aca="false">AK95*(1+IF(K95=3,INDEX(in_sup_vat_rate,1,C95),0))+AO95*AA95/AB95+AX95*BA95+(BC95+BD95)*AX95/AY95+AZ95*AK95/AL95+BN95*AE95/AF95+BO95*AA95/AB95</f>
        <v>3312.77941584888</v>
      </c>
      <c r="BS95" s="89" t="n">
        <f aca="false">BP95+BQ95+BR95-BM95</f>
        <v>0</v>
      </c>
      <c r="BT95" s="85" t="n">
        <f aca="false">Y95*(1-R95)</f>
        <v>10441</v>
      </c>
      <c r="BU95" s="85" t="n">
        <f aca="false">Z95*(1-R95)</f>
        <v>10441</v>
      </c>
      <c r="BV95" s="85" t="n">
        <f aca="false">AA95*(1-R95)</f>
        <v>10441</v>
      </c>
      <c r="BW95" s="85" t="n">
        <f aca="false">BT95+BU95+BV95</f>
        <v>31323</v>
      </c>
      <c r="BX95" s="90" t="n">
        <f aca="false">IF(BT95&gt;0,BP95/BT95,0)</f>
        <v>0.380421575567158</v>
      </c>
      <c r="BY95" s="90" t="n">
        <f aca="false">IF(BU95&gt;0,BQ95/BU95,0)</f>
        <v>0.404309802737749</v>
      </c>
      <c r="BZ95" s="90" t="n">
        <f aca="false">IF(BV95&gt;0,BR95/BV95,0)</f>
        <v>0.317285644655577</v>
      </c>
      <c r="CA95" s="90" t="n">
        <f aca="false">INDEX(in_mkt_listing_3464,1,C95)*(1-IF(sku_flute_3464="B",T95,0))*(1-S95)*N95</f>
        <v>0.234</v>
      </c>
      <c r="CB95" s="90" t="n">
        <f aca="false">INDEX(in_mkt_listing_3463,1,C95)*(1-IF(sku_flute_3463="B",T95,0))*(1-S95)*N95</f>
        <v>0.27</v>
      </c>
      <c r="CC95" s="90" t="n">
        <f aca="false">INDEX(in_mkt_listing_3460,1,C95)*(1-IF(sku_flute_3460="B",T95,0))*(1-S95)*N95</f>
        <v>0.225</v>
      </c>
      <c r="CD95" s="88" t="n">
        <f aca="false">BT95*CA95+BU95*CB95+BV95*CC95</f>
        <v>7611.489</v>
      </c>
      <c r="CE95" s="88" t="n">
        <f aca="false">CD95-BM95</f>
        <v>-3894.67073673041</v>
      </c>
      <c r="CF95" s="87" t="n">
        <f aca="false">IF(CD95&gt;0,CE95/CD95,0)</f>
        <v>-0.511683159067878</v>
      </c>
      <c r="CG95" s="87" t="n">
        <f aca="false">W95+INDEX(in_sel_processing,1,C95)+INDEX(in_sel_bad_debt,1,C95)</f>
        <v>0.058</v>
      </c>
      <c r="CH95" s="88" t="n">
        <f aca="false">CD95*CG95</f>
        <v>441.466362</v>
      </c>
      <c r="CI95" s="88" t="n">
        <f aca="false">INDEX(in_sel_testing,1,C95)*X95+INDEX(in_sel_admin,1,C95)</f>
        <v>3000</v>
      </c>
      <c r="CJ95" s="79" t="n">
        <f aca="false">INDEX(in_sup_lead_days,1,C95)</f>
        <v>21</v>
      </c>
      <c r="CK95" s="79" t="n">
        <f aca="false">CJ95+INDEX(in_oce_transit,1,C95)+IF(F95=4,INDEX(in_oce_lcl_extra_days,1,C95),0)</f>
        <v>51</v>
      </c>
      <c r="CL95" s="79" t="n">
        <f aca="false">CK95+2+INDEX(in_cus_dem_days,1,C95)</f>
        <v>53</v>
      </c>
      <c r="CM95" s="79" t="n">
        <f aca="false">CL95+U95</f>
        <v>98</v>
      </c>
      <c r="CN95" s="79" t="n">
        <f aca="false">CJ95+INDEX(in_sup_vat_lag,1,C95)</f>
        <v>81</v>
      </c>
      <c r="CO95" s="91" t="n">
        <f aca="false">INDEX(in_sup_advance,1,C95)</f>
        <v>0.5</v>
      </c>
      <c r="CP95" s="88" t="n">
        <f aca="false">CO95*(AL95+AM95)+AO95+INDEX(in_sel_testing,1,C95)*X95</f>
        <v>5152.07883307942</v>
      </c>
      <c r="CQ95" s="88" t="n">
        <f aca="false">(1-CO95)*(AL95+AM95)+AR95+AU95+AZ95</f>
        <v>6998.67648953667</v>
      </c>
      <c r="CR95" s="88" t="n">
        <f aca="false">BB95+BC95+BD95+BF95+BJ95</f>
        <v>1146.79219767768</v>
      </c>
      <c r="CS95" s="88" t="n">
        <f aca="false">BK95+BL95</f>
        <v>1360</v>
      </c>
      <c r="CT95" s="88" t="n">
        <f aca="false">IF(K95=2,AM95,0)</f>
        <v>651.387783563367</v>
      </c>
      <c r="CU95" s="85" t="n">
        <f aca="false">IF(K95=2,CO95*AM95*(CN95-0)+(1-CO95)*AM95*(CN95-CJ95),0)</f>
        <v>45922.8387412174</v>
      </c>
      <c r="CV95" s="85" t="n">
        <f aca="false">(CP95-CO95*CT95)*(CM95-0)+(CQ95-(1-CO95)*CT95)*(CM95-CJ95)+CR95*(CM95-CK95)+CS95*(CM95-CL95)</f>
        <v>1101904.61756516</v>
      </c>
      <c r="CW95" s="88" t="n">
        <f aca="false">INDEX(in_sel_fin_rate,1,C95)/365*(CU95+CV95)</f>
        <v>314.473275700378</v>
      </c>
      <c r="CX95" s="85" t="n">
        <f aca="false">CP95-IF(CN95&lt;=0,CT95,0)</f>
        <v>5152.07883307942</v>
      </c>
      <c r="CY95" s="85" t="n">
        <f aca="false">CP95+CQ95-IF(CN95&lt;=CJ95,CT95,0)</f>
        <v>12150.7553226161</v>
      </c>
      <c r="CZ95" s="85" t="n">
        <f aca="false">CP95+CQ95+CR95-IF(CN95&lt;=CK95,CT95,0)</f>
        <v>13297.5475202938</v>
      </c>
      <c r="DA95" s="85" t="n">
        <f aca="false">CP95+CQ95+CR95+CS95-IF(CN95&lt;=CL95,CT95,0)</f>
        <v>14657.5475202938</v>
      </c>
      <c r="DB95" s="88" t="n">
        <f aca="false">MAX(CX95,CY95,CZ95,DA95)</f>
        <v>14657.5475202938</v>
      </c>
      <c r="DC95" s="88" t="n">
        <f aca="false">CP95+CQ95+CR95+CS95</f>
        <v>14657.5475202938</v>
      </c>
      <c r="DD95" s="88" t="n">
        <f aca="false">CE95-CH95-CI95-CW95</f>
        <v>-7650.61037443079</v>
      </c>
      <c r="DE95" s="87" t="n">
        <f aca="false">IF(CD95&gt;0,DD95/CD95,0)</f>
        <v>-1.00513977940857</v>
      </c>
      <c r="DF95" s="86" t="n">
        <f aca="false">IF(CD95&gt;0,(BM95+CI95+CW95)/(CD95*(1-CG95)),0)</f>
        <v>2.06702736667577</v>
      </c>
      <c r="DG95" s="90" t="n">
        <f aca="false">IF(BW95&gt;0,BM95/BW95,0)</f>
        <v>0.367339007653495</v>
      </c>
      <c r="DH95" s="90" t="n">
        <f aca="false">IF(BW95&gt;0,CD95/BW95,0)</f>
        <v>0.243</v>
      </c>
      <c r="DI95" s="90" t="n">
        <f aca="false">IF(AI95&gt;0,(AI95*IF(K95=3,INDEX(in_sup_vat_rate,1,C95),0)+AV95*BA95+(BC95+BD95)*AV95/AY95+AZ95*AI95/AL95)/AI95,0)</f>
        <v>0.149801562352117</v>
      </c>
      <c r="DJ95" s="90" t="n">
        <f aca="false">IF(AJ95&gt;0,(AJ95*IF(K95=3,INDEX(in_sup_vat_rate,1,C95),0)+AW95*BA95+(BC95+BD95)*AW95/AY95+AZ95*AJ95/AL95)/AJ95,0)</f>
        <v>0.149801562352117</v>
      </c>
      <c r="DK95" s="90" t="n">
        <f aca="false">IF(AK95&gt;0,(AK95*IF(K95=3,INDEX(in_sup_vat_rate,1,C95),0)+AX95*BA95+(BC95+BD95)*AX95/AY95+AZ95*AK95/AL95)/AK95,0)</f>
        <v>0.149801562352117</v>
      </c>
      <c r="DL95" s="90" t="n">
        <f aca="false">IF(Y95&gt;0,(BP95-AI95*(1+DI95))/Y95,0)</f>
        <v>0.192467473276498</v>
      </c>
      <c r="DM95" s="90" t="n">
        <f aca="false">IF(Z95&gt;0,(BQ95-AJ95*(1+DJ95))/Z95,0)</f>
        <v>0.226128305560221</v>
      </c>
      <c r="DN95" s="90" t="n">
        <f aca="false">IF(AA95&gt;0,(BR95-AK95*(1+DK95))/AA95,0)</f>
        <v>0.16219645290453</v>
      </c>
      <c r="DO95" s="86" t="n">
        <f aca="false">IF(Y95&gt;0,(CA95*(1-thr_gm_go)*(1-R95)-DL95)/(1+DI95)*I95/((1+AH95)*J95),"")</f>
        <v>-0.899620163636354</v>
      </c>
      <c r="DP95" s="86" t="n">
        <f aca="false">IF(Z95&gt;0,(CB95*(1-thr_gm_go)*(1-R95)-DM95)/(1+DJ95)*I95/((1+AH95)*J95),"")</f>
        <v>-1.22393515660279</v>
      </c>
      <c r="DQ95" s="86" t="n">
        <f aca="false">IF(AA95&gt;0,(CC95*(1-thr_gm_go)*(1-R95)-DN95)/(1+DK95)*I95/((1+AH95)*J95),"")</f>
        <v>0.184619617597114</v>
      </c>
      <c r="DR95" s="92" t="n">
        <f aca="false">IF(AND(AY95*INDEX(in_cus_mpf_rate,1,C95)&gt;INDEX(in_cus_mpf_min,1,C95),AY95*INDEX(in_cus_mpf_rate,1,C95)&lt;INDEX(in_cus_mpf_max,1,C95)),INDEX(in_cus_mpf_rate,1,C95),0)</f>
        <v>0</v>
      </c>
      <c r="DS95" s="88" t="n">
        <f aca="false">IF(AZ95&gt;INDEX(in_oce_ins_min,1,C95),INDEX(in_oce_ins_rate,1,C95)*(1+INDEX(in_oce_ins_uplift,1,C95))*AL95,0)</f>
        <v>0</v>
      </c>
      <c r="DT95" s="88" t="n">
        <f aca="false">(AL95+AN95)*(1+BA95+INDEX(in_cus_hmf,1,C95)+DR95)+DS95</f>
        <v>5240.18208027316</v>
      </c>
      <c r="DU95" s="86" t="n">
        <f aca="false">IF(DT95&gt;0,(CD95*(1-thr_gm_go)-(BM95-DT95))/DT95,0)</f>
        <v>-0.1063628892888</v>
      </c>
      <c r="DV95" s="86" t="n">
        <f aca="false">IF(DT95&gt;0,(CD95-(BM95-DT95))/DT95,0)</f>
        <v>0.256768051745373</v>
      </c>
      <c r="DW95" s="87" t="n">
        <f aca="false">(1+AH95)*J95*DU95-1</f>
        <v>-1.1063628892888</v>
      </c>
      <c r="DX95" s="87" t="n">
        <f aca="false">(1+AH95)*J95*DV95-1</f>
        <v>-0.743231948254628</v>
      </c>
      <c r="DY95" s="85" t="n">
        <f aca="false">IF(G95&gt;0,(CD95*(1-thr_gm_go)-(BM95-AT95))/G95,"")</f>
        <v>-2797.54298673041</v>
      </c>
      <c r="DZ95" s="90" t="n">
        <f aca="false">IF(AB95&gt;0,(AL95+AN95+BB95+BC95+BD95)/AB95,0)</f>
        <v>0.165873021392238</v>
      </c>
      <c r="EA95" s="88" t="n">
        <f aca="false">BM95-DZ95*AB95</f>
        <v>6231.39765645725</v>
      </c>
      <c r="EB95" s="90" t="n">
        <f aca="false">IF(AB95&gt;0,CD95/AB95,0)</f>
        <v>0.239355</v>
      </c>
      <c r="EC95" s="85" t="n">
        <f aca="false">IF(EB95*(1-thr_gm_go)-DZ95&gt;0,EA95/(EB95*(1-thr_gm_go)-DZ95),"n/a")</f>
        <v>456739.224681166</v>
      </c>
      <c r="ED95" s="85" t="n">
        <f aca="false">IF(EB95-DZ95&gt;0,EA95/(EB95-DZ95),"n/a")</f>
        <v>84801.7129440632</v>
      </c>
      <c r="EE95" s="93" t="b">
        <f aca="false">INDEX(cfg_fits,D95,C95)</f>
        <v>1</v>
      </c>
      <c r="EF95" s="87" t="n">
        <f aca="false">IF(F95=4,"",INDEX(cfg_lenutil,D95,C95))</f>
        <v>0.972413793103448</v>
      </c>
      <c r="EG95" s="31" t="str">
        <f aca="false">IF(O95&gt;1,"Check fit (units scaled up)","")</f>
        <v/>
      </c>
    </row>
    <row r="96" customFormat="false" ht="15" hidden="false" customHeight="false" outlineLevel="0" collapsed="false">
      <c r="A96" s="78" t="n">
        <v>2092</v>
      </c>
      <c r="B96" s="9" t="s">
        <v>3244</v>
      </c>
      <c r="C96" s="78" t="n">
        <v>2</v>
      </c>
      <c r="D96" s="78" t="n">
        <v>9</v>
      </c>
      <c r="E96" s="78" t="n">
        <v>2</v>
      </c>
      <c r="F96" s="79" t="n">
        <f aca="false">INDEX(cfg_ct,D96)</f>
        <v>1</v>
      </c>
      <c r="G96" s="79" t="n">
        <f aca="false">INDEX(cfg_n,D96)</f>
        <v>1</v>
      </c>
      <c r="H96" s="79" t="n">
        <f aca="false">INDEX(dest_port,E96)</f>
        <v>1</v>
      </c>
      <c r="I96" s="80" t="n">
        <f aca="false">INDEX(in_fx_cbe,1,C96)*(1-INDEX(in_fx_spread,1,C96))</f>
        <v>52.7748</v>
      </c>
      <c r="J96" s="81" t="n">
        <f aca="false">1</f>
        <v>1</v>
      </c>
      <c r="K96" s="82" t="n">
        <f aca="false">INDEX(in_sup_vat_mode,1,C96)</f>
        <v>2</v>
      </c>
      <c r="L96" s="83" t="n">
        <f aca="false">INDEX(in_cus_s301,1,C96)</f>
        <v>0.125</v>
      </c>
      <c r="M96" s="84" t="n">
        <f aca="false">1</f>
        <v>1</v>
      </c>
      <c r="N96" s="81" t="n">
        <f aca="false">1</f>
        <v>1</v>
      </c>
      <c r="O96" s="81" t="n">
        <f aca="false">1</f>
        <v>1</v>
      </c>
      <c r="P96" s="81" t="n">
        <f aca="false">1</f>
        <v>1</v>
      </c>
      <c r="Q96" s="81" t="n">
        <f aca="false">1</f>
        <v>1</v>
      </c>
      <c r="R96" s="83" t="n">
        <f aca="false">INDEX(in_sel_damage,1,C96)</f>
        <v>0.015</v>
      </c>
      <c r="S96" s="83" t="n">
        <f aca="false">INDEX(in_mkt_dist_margin,1,C96)</f>
        <v>0.25</v>
      </c>
      <c r="T96" s="83" t="n">
        <f aca="false">INDEX(in_mkt_eflute_disc,1,C96)</f>
        <v>0.2</v>
      </c>
      <c r="U96" s="82" t="n">
        <f aca="false">INDEX(in_sel_credit_days,1,C96)</f>
        <v>45</v>
      </c>
      <c r="V96" s="81" t="n">
        <f aca="false">1</f>
        <v>1</v>
      </c>
      <c r="W96" s="83" t="n">
        <f aca="false">INDEX(in_sel_commission,1,C96)</f>
        <v>0.05</v>
      </c>
      <c r="X96" s="82" t="n">
        <f aca="false">1</f>
        <v>1</v>
      </c>
      <c r="Y96" s="85" t="n">
        <f aca="false">INDEX(cfg_u_3464,D96,C96)*O96</f>
        <v>10600</v>
      </c>
      <c r="Z96" s="85" t="n">
        <f aca="false">INDEX(cfg_u_3463,D96,C96)*O96</f>
        <v>10600</v>
      </c>
      <c r="AA96" s="85" t="n">
        <f aca="false">INDEX(cfg_u_3460,D96,C96)*O96</f>
        <v>10600</v>
      </c>
      <c r="AB96" s="85" t="n">
        <f aca="false">Y96+Z96+AA96</f>
        <v>31800</v>
      </c>
      <c r="AC96" s="86" t="n">
        <f aca="false">Y96*INDEX(lg_vpu_3464,C96)</f>
        <v>7.5407552</v>
      </c>
      <c r="AD96" s="86" t="n">
        <f aca="false">Z96*INDEX(lg_vpu_3463,C96)</f>
        <v>9.2248832</v>
      </c>
      <c r="AE96" s="86" t="n">
        <f aca="false">AA96*INDEX(lg_vpu_3460,C96)</f>
        <v>6.0262272</v>
      </c>
      <c r="AF96" s="86" t="n">
        <f aca="false">AC96+AD96+AE96</f>
        <v>22.7918656</v>
      </c>
      <c r="AG96" s="85" t="n">
        <f aca="false">Y96*INDEX(lg_kpu_3464,C96)+Z96*INDEX(lg_kpu_3463,C96)+AA96*INDEX(lg_kpu_3460,C96)</f>
        <v>5481.3314016</v>
      </c>
      <c r="AH96" s="87" t="n">
        <f aca="false">INDEX(in_sup_requote,1,C96)</f>
        <v>0</v>
      </c>
      <c r="AI96" s="88" t="n">
        <f aca="false">Y96*q_price_3464*(1+AH96)*J96/I96</f>
        <v>1680.13900573759</v>
      </c>
      <c r="AJ96" s="88" t="n">
        <f aca="false">Z96*q_price_3463*(1+AH96)*J96/I96</f>
        <v>1586.74215724171</v>
      </c>
      <c r="AK96" s="88" t="n">
        <f aca="false">AA96*q_price_3460*(1+AH96)*J96/I96</f>
        <v>1385.88871961618</v>
      </c>
      <c r="AL96" s="88" t="n">
        <f aca="false">AI96+AJ96+AK96</f>
        <v>4652.76988259548</v>
      </c>
      <c r="AM96" s="88" t="n">
        <f aca="false">IF(OR(K96=2,K96=3),AL96*INDEX(in_sup_vat_rate,1,C96),0)</f>
        <v>651.387783563367</v>
      </c>
      <c r="AN96" s="88" t="n">
        <f aca="false">IF(K96=3,AM96,0)</f>
        <v>0</v>
      </c>
      <c r="AO96" s="88" t="n">
        <f aca="false">INDEX(in_sup_tooling_egp,1,C96)/I96</f>
        <v>0</v>
      </c>
      <c r="AP96" s="88" t="n">
        <f aca="false">IF(F96=4,INDEX(in_ori_lcl_truck,1,C96)*V96/I96+INDEX(in_ori_lcl_cfs_o,1,C96),G96*(IF(F96=1,INDEX(in_ori_truck_20,1,C96),INDEX(in_ori_truck_40,1,C96))*V96/I96+INDEX(in_ori_terminal,1,C96)+IF(F96=1,INDEX(in_ori_othc_20,1,C96),INDEX(in_ori_othc_40,1,C96))*(1-INDEX(in_ori_othc_in_freight,1,C96))+INDEX(in_ori_seal,1,C96)+INDEX(in_ori_inspection,1,C96)+INDEX(in_ori_dd_days,1,C96)*IF(F96=1,INDEX(in_ori_dd_20,1,C96),INDEX(in_ori_dd_40,1,C96))+INDEX(in_ori_loading_egp,1,C96)/I96))</f>
        <v>418.958593874349</v>
      </c>
      <c r="AQ96" s="88" t="n">
        <f aca="false">(INDEX(in_ori_clearance,1,C96)+INDEX(in_ori_coo,1,C96))/I96+INDEX(in_ori_bl_fee,1,C96)+INDEX(in_ori_fwd_fee,1,C96)+INDEX(in_ori_qc,1,C96)+INDEX(in_ori_wires,1,C96)*INDEX(in_ori_wire_fee,1,C96)</f>
        <v>817.639062582899</v>
      </c>
      <c r="AR96" s="88" t="n">
        <f aca="false">AP96+AQ96</f>
        <v>1236.59765645725</v>
      </c>
      <c r="AS96" s="85" t="n">
        <f aca="false">INDEX(tbl_port_diff,H96,C96)</f>
        <v>0</v>
      </c>
      <c r="AT96" s="88" t="n">
        <f aca="false">IF(F96=4,MAX(AF96*INDEX(in_oce_lcl_factor,1,C96),AG96/1000,1)*INDEX(in_oce_lcl_rate,1,C96)*M96,G96*(INDEX(tbl_ocean_rate,MIN(F96,3),C96)+AS96)*M96)</f>
        <v>3000</v>
      </c>
      <c r="AU96" s="88" t="n">
        <f aca="false">AT96+INDEX(in_oce_ams,1,C96)</f>
        <v>3035</v>
      </c>
      <c r="AV96" s="88" t="n">
        <f aca="false">AI96*(1+IF(K96=3,INDEX(in_sup_vat_rate,1,C96),0))+AO96*Y96/AB96</f>
        <v>1680.13900573759</v>
      </c>
      <c r="AW96" s="88" t="n">
        <f aca="false">AJ96*(1+IF(K96=3,INDEX(in_sup_vat_rate,1,C96),0))+AO96*Z96/AB96</f>
        <v>1586.74215724171</v>
      </c>
      <c r="AX96" s="88" t="n">
        <f aca="false">AK96*(1+IF(K96=3,INDEX(in_sup_vat_rate,1,C96),0))+AO96*AA96/AB96</f>
        <v>1385.88871961618</v>
      </c>
      <c r="AY96" s="88" t="n">
        <f aca="false">AV96+AW96+AX96</f>
        <v>4652.76988259548</v>
      </c>
      <c r="AZ96" s="88" t="n">
        <f aca="false">MAX(INDEX(in_oce_ins_min,1,C96),INDEX(in_oce_ins_rate,1,C96)*(1+INDEX(in_oce_ins_uplift,1,C96))*(AL96+AO96+AR96+AU96))*(1-INDEX(in_oce_ins_in_other,1,C96))</f>
        <v>75</v>
      </c>
      <c r="BA96" s="87" t="n">
        <f aca="false">INDEX(in_cus_mfn,1,C96)+L96</f>
        <v>0.125</v>
      </c>
      <c r="BB96" s="88" t="n">
        <f aca="false">AY96*BA96</f>
        <v>581.596235324435</v>
      </c>
      <c r="BC96" s="88" t="n">
        <f aca="false">MIN(MAX(AY96*INDEX(in_cus_mpf_rate,1,C96),INDEX(in_cus_mpf_min,1,C96)),INDEX(in_cus_mpf_max,1,C96))</f>
        <v>34.58</v>
      </c>
      <c r="BD96" s="88" t="n">
        <f aca="false">AY96*INDEX(in_cus_hmf,1,C96)</f>
        <v>5.81596235324435</v>
      </c>
      <c r="BE96" s="88" t="n">
        <f aca="false">MAX(INDEX(in_cus_stb_min,1,C96),INDEX(in_cus_stb_rate,1,C96)/1000*(AY96+BB96+BC96+BD96))</f>
        <v>75</v>
      </c>
      <c r="BF96" s="88" t="n">
        <f aca="false">INDEX(in_cus_broker,1,C96)+INDEX(in_cus_isf,1,C96)+INDEX(in_cus_do_fee,1,C96)+BE96+INDEX(in_cus_isf_bond,1,C96)</f>
        <v>510</v>
      </c>
      <c r="BG96" s="88" t="n">
        <f aca="false">IF(H96=1,INDEX(in_cus_cfc,1,C96)*INDEX(ct_teu,F96)*G96*(1-INDEX(in_cus_cfc_in_freight,1,C96)),0)</f>
        <v>14.8</v>
      </c>
      <c r="BH96" s="88" t="n">
        <f aca="false">IF(F96=4,1,G96)*(INDEX(in_cus_exam,1,C96)+INDEX(in_cus_exam_dray,1,C96))</f>
        <v>0</v>
      </c>
      <c r="BI96" s="88" t="n">
        <f aca="false">IF(F96=4,1,G96)*INDEX(in_cus_dem_days,1,C96)*INDEX(in_cus_dem_rate,1,C96)</f>
        <v>0</v>
      </c>
      <c r="BJ96" s="88" t="n">
        <f aca="false">BG96+BH96+BI96</f>
        <v>14.8</v>
      </c>
      <c r="BK96" s="88" t="n">
        <f aca="false">IF(F96=4,(INDEX(in_dra_lcl_cfs_d,1,C96)+INDEX(in_dra_lcl_deliv,1,C96))*P96,G96*(INDEX(tbl_dest_line,E96,C96)*P96*(1+INDEX(in_dra_fsc,1,C96))+INDEX(tbl_dest_tolls,E96,C96)+INDEX(in_dra_chassis_days,1,C96)*INDEX(tbl_dest_chassis,E96,C96)*(1-INDEX(in_dra_chassis_in_dray,1,C96))+INDEX(in_dra_wait_hours,1,C96)*INDEX(in_dra_wait_rate,1,C96)+INDEX(in_dra_split,1,C96)+INDEX(in_dra_prepull,1,C96)+INDEX(in_dra_dryrun,1,C96)))</f>
        <v>1350</v>
      </c>
      <c r="BL96" s="88" t="n">
        <f aca="false">IF(F96=4,0,G96*IF(F96=1,INDEX(in_dra_unload_20,1,C96),INDEX(in_dra_unload_40,1,C96))*Q96*(1-INDEX(in_dra_unload_in_dray,1,C96)))</f>
        <v>300</v>
      </c>
      <c r="BM96" s="88" t="n">
        <f aca="false">AL96+AN96+AO96+AR96+AU96+AZ96+BB96+BC96+BD96+BF96+BJ96+BK96+BL96</f>
        <v>11796.1597367304</v>
      </c>
      <c r="BN96" s="88" t="n">
        <f aca="false">AP96+AU96+BJ96+BK96+BL96</f>
        <v>5118.75859387435</v>
      </c>
      <c r="BO96" s="88" t="n">
        <f aca="false">AQ96+BF96</f>
        <v>1327.6390625829</v>
      </c>
      <c r="BP96" s="88" t="n">
        <f aca="false">AI96*(1+IF(K96=3,INDEX(in_sup_vat_rate,1,C96),0))+AO96*Y96/AB96+AV96*BA96+(BC96+BD96)*AV96/AY96+AZ96*AI96/AL96+BN96*AC96/AF96+BO96*Y96/AB96</f>
        <v>4067.92901620235</v>
      </c>
      <c r="BQ96" s="88" t="n">
        <f aca="false">AJ96*(1+IF(K96=3,INDEX(in_sup_vat_rate,1,C96),0))+AO96*Z96/AB96+AW96*BA96+(BC96+BD96)*AW96/AY96+AZ96*AJ96/AL96+BN96*AD96/AF96+BO96*Z96/AB96</f>
        <v>4338.77456751906</v>
      </c>
      <c r="BR96" s="88" t="n">
        <f aca="false">AK96*(1+IF(K96=3,INDEX(in_sup_vat_rate,1,C96),0))+AO96*AA96/AB96+AX96*BA96+(BC96+BD96)*AX96/AY96+AZ96*AK96/AL96+BN96*AE96/AF96+BO96*AA96/AB96</f>
        <v>3389.456153009</v>
      </c>
      <c r="BS96" s="89" t="n">
        <f aca="false">BP96+BQ96+BR96-BM96</f>
        <v>0</v>
      </c>
      <c r="BT96" s="85" t="n">
        <f aca="false">Y96*(1-R96)</f>
        <v>10441</v>
      </c>
      <c r="BU96" s="85" t="n">
        <f aca="false">Z96*(1-R96)</f>
        <v>10441</v>
      </c>
      <c r="BV96" s="85" t="n">
        <f aca="false">AA96*(1-R96)</f>
        <v>10441</v>
      </c>
      <c r="BW96" s="85" t="n">
        <f aca="false">BT96+BU96+BV96</f>
        <v>31323</v>
      </c>
      <c r="BX96" s="90" t="n">
        <f aca="false">IF(BT96&gt;0,BP96/BT96,0)</f>
        <v>0.389611054132971</v>
      </c>
      <c r="BY96" s="90" t="n">
        <f aca="false">IF(BU96&gt;0,BQ96/BU96,0)</f>
        <v>0.415551629874443</v>
      </c>
      <c r="BZ96" s="90" t="n">
        <f aca="false">IF(BV96&gt;0,BR96/BV96,0)</f>
        <v>0.324629456278996</v>
      </c>
      <c r="CA96" s="90" t="n">
        <f aca="false">INDEX(in_mkt_listing_3464,1,C96)*(1-IF(sku_flute_3464="B",T96,0))*(1-S96)*N96</f>
        <v>0.234</v>
      </c>
      <c r="CB96" s="90" t="n">
        <f aca="false">INDEX(in_mkt_listing_3463,1,C96)*(1-IF(sku_flute_3463="B",T96,0))*(1-S96)*N96</f>
        <v>0.27</v>
      </c>
      <c r="CC96" s="90" t="n">
        <f aca="false">INDEX(in_mkt_listing_3460,1,C96)*(1-IF(sku_flute_3460="B",T96,0))*(1-S96)*N96</f>
        <v>0.225</v>
      </c>
      <c r="CD96" s="88" t="n">
        <f aca="false">BT96*CA96+BU96*CB96+BV96*CC96</f>
        <v>7611.489</v>
      </c>
      <c r="CE96" s="88" t="n">
        <f aca="false">CD96-BM96</f>
        <v>-4184.67073673041</v>
      </c>
      <c r="CF96" s="87" t="n">
        <f aca="false">IF(CD96&gt;0,CE96/CD96,0)</f>
        <v>-0.549783457183004</v>
      </c>
      <c r="CG96" s="87" t="n">
        <f aca="false">W96+INDEX(in_sel_processing,1,C96)+INDEX(in_sel_bad_debt,1,C96)</f>
        <v>0.058</v>
      </c>
      <c r="CH96" s="88" t="n">
        <f aca="false">CD96*CG96</f>
        <v>441.466362</v>
      </c>
      <c r="CI96" s="88" t="n">
        <f aca="false">INDEX(in_sel_testing,1,C96)*X96+INDEX(in_sel_admin,1,C96)</f>
        <v>3000</v>
      </c>
      <c r="CJ96" s="79" t="n">
        <f aca="false">INDEX(in_sup_lead_days,1,C96)</f>
        <v>21</v>
      </c>
      <c r="CK96" s="79" t="n">
        <f aca="false">CJ96+INDEX(in_oce_transit,1,C96)+IF(F96=4,INDEX(in_oce_lcl_extra_days,1,C96),0)</f>
        <v>51</v>
      </c>
      <c r="CL96" s="79" t="n">
        <f aca="false">CK96+2+INDEX(in_cus_dem_days,1,C96)</f>
        <v>53</v>
      </c>
      <c r="CM96" s="79" t="n">
        <f aca="false">CL96+U96</f>
        <v>98</v>
      </c>
      <c r="CN96" s="79" t="n">
        <f aca="false">CJ96+INDEX(in_sup_vat_lag,1,C96)</f>
        <v>81</v>
      </c>
      <c r="CO96" s="91" t="n">
        <f aca="false">INDEX(in_sup_advance,1,C96)</f>
        <v>0.5</v>
      </c>
      <c r="CP96" s="88" t="n">
        <f aca="false">CO96*(AL96+AM96)+AO96+INDEX(in_sel_testing,1,C96)*X96</f>
        <v>5152.07883307942</v>
      </c>
      <c r="CQ96" s="88" t="n">
        <f aca="false">(1-CO96)*(AL96+AM96)+AR96+AU96+AZ96</f>
        <v>6998.67648953667</v>
      </c>
      <c r="CR96" s="88" t="n">
        <f aca="false">BB96+BC96+BD96+BF96+BJ96</f>
        <v>1146.79219767768</v>
      </c>
      <c r="CS96" s="88" t="n">
        <f aca="false">BK96+BL96</f>
        <v>1650</v>
      </c>
      <c r="CT96" s="88" t="n">
        <f aca="false">IF(K96=2,AM96,0)</f>
        <v>651.387783563367</v>
      </c>
      <c r="CU96" s="85" t="n">
        <f aca="false">IF(K96=2,CO96*AM96*(CN96-0)+(1-CO96)*AM96*(CN96-CJ96),0)</f>
        <v>45922.8387412174</v>
      </c>
      <c r="CV96" s="85" t="n">
        <f aca="false">(CP96-CO96*CT96)*(CM96-0)+(CQ96-(1-CO96)*CT96)*(CM96-CJ96)+CR96*(CM96-CK96)+CS96*(CM96-CL96)</f>
        <v>1114954.61756516</v>
      </c>
      <c r="CW96" s="88" t="n">
        <f aca="false">INDEX(in_sel_fin_rate,1,C96)/365*(CU96+CV96)</f>
        <v>318.048618166132</v>
      </c>
      <c r="CX96" s="85" t="n">
        <f aca="false">CP96-IF(CN96&lt;=0,CT96,0)</f>
        <v>5152.07883307942</v>
      </c>
      <c r="CY96" s="85" t="n">
        <f aca="false">CP96+CQ96-IF(CN96&lt;=CJ96,CT96,0)</f>
        <v>12150.7553226161</v>
      </c>
      <c r="CZ96" s="85" t="n">
        <f aca="false">CP96+CQ96+CR96-IF(CN96&lt;=CK96,CT96,0)</f>
        <v>13297.5475202938</v>
      </c>
      <c r="DA96" s="85" t="n">
        <f aca="false">CP96+CQ96+CR96+CS96-IF(CN96&lt;=CL96,CT96,0)</f>
        <v>14947.5475202938</v>
      </c>
      <c r="DB96" s="88" t="n">
        <f aca="false">MAX(CX96,CY96,CZ96,DA96)</f>
        <v>14947.5475202938</v>
      </c>
      <c r="DC96" s="88" t="n">
        <f aca="false">CP96+CQ96+CR96+CS96</f>
        <v>14947.5475202938</v>
      </c>
      <c r="DD96" s="88" t="n">
        <f aca="false">CE96-CH96-CI96-CW96</f>
        <v>-7944.18571689654</v>
      </c>
      <c r="DE96" s="87" t="n">
        <f aca="false">IF(CD96&gt;0,DD96/CD96,0)</f>
        <v>-1.04370980722649</v>
      </c>
      <c r="DF96" s="86" t="n">
        <f aca="false">IF(CD96&gt;0,(BM96+CI96+CW96)/(CD96*(1-CG96)),0)</f>
        <v>2.10797219450795</v>
      </c>
      <c r="DG96" s="90" t="n">
        <f aca="false">IF(BW96&gt;0,BM96/BW96,0)</f>
        <v>0.37659738009547</v>
      </c>
      <c r="DH96" s="90" t="n">
        <f aca="false">IF(BW96&gt;0,CD96/BW96,0)</f>
        <v>0.243</v>
      </c>
      <c r="DI96" s="90" t="n">
        <f aca="false">IF(AI96&gt;0,(AI96*IF(K96=3,INDEX(in_sup_vat_rate,1,C96),0)+AV96*BA96+(BC96+BD96)*AV96/AY96+AZ96*AI96/AL96)/AI96,0)</f>
        <v>0.149801562352117</v>
      </c>
      <c r="DJ96" s="90" t="n">
        <f aca="false">IF(AJ96&gt;0,(AJ96*IF(K96=3,INDEX(in_sup_vat_rate,1,C96),0)+AW96*BA96+(BC96+BD96)*AW96/AY96+AZ96*AJ96/AL96)/AJ96,0)</f>
        <v>0.149801562352117</v>
      </c>
      <c r="DK96" s="90" t="n">
        <f aca="false">IF(AK96&gt;0,(AK96*IF(K96=3,INDEX(in_sup_vat_rate,1,C96),0)+AX96*BA96+(BC96+BD96)*AX96/AY96+AZ96*AK96/AL96)/AK96,0)</f>
        <v>0.149801562352117</v>
      </c>
      <c r="DL96" s="90" t="n">
        <f aca="false">IF(Y96&gt;0,(BP96-AI96*(1+DI96))/Y96,0)</f>
        <v>0.201519109663824</v>
      </c>
      <c r="DM96" s="90" t="n">
        <f aca="false">IF(Z96&gt;0,(BQ96-AJ96*(1+DJ96))/Z96,0)</f>
        <v>0.237201505289865</v>
      </c>
      <c r="DN96" s="90" t="n">
        <f aca="false">IF(AA96&gt;0,(BR96-AK96*(1+DK96))/AA96,0)</f>
        <v>0.169430107353598</v>
      </c>
      <c r="DO96" s="86" t="n">
        <f aca="false">IF(Y96&gt;0,(CA96*(1-thr_gm_go)*(1-R96)-DL96)/(1+DI96)*I96/((1+AH96)*J96),"")</f>
        <v>-1.31508167947969</v>
      </c>
      <c r="DP96" s="86" t="n">
        <f aca="false">IF(Z96&gt;0,(CB96*(1-thr_gm_go)*(1-R96)-DM96)/(1+DJ96)*I96/((1+AH96)*J96),"")</f>
        <v>-1.73218451042742</v>
      </c>
      <c r="DQ96" s="86" t="n">
        <f aca="false">IF(AA96&gt;0,(CC96*(1-thr_gm_go)*(1-R96)-DN96)/(1+DK96)*I96/((1+AH96)*J96),"")</f>
        <v>-0.147398253415108</v>
      </c>
      <c r="DR96" s="92" t="n">
        <f aca="false">IF(AND(AY96*INDEX(in_cus_mpf_rate,1,C96)&gt;INDEX(in_cus_mpf_min,1,C96),AY96*INDEX(in_cus_mpf_rate,1,C96)&lt;INDEX(in_cus_mpf_max,1,C96)),INDEX(in_cus_mpf_rate,1,C96),0)</f>
        <v>0</v>
      </c>
      <c r="DS96" s="88" t="n">
        <f aca="false">IF(AZ96&gt;INDEX(in_oce_ins_min,1,C96),INDEX(in_oce_ins_rate,1,C96)*(1+INDEX(in_oce_ins_uplift,1,C96))*AL96,0)</f>
        <v>0</v>
      </c>
      <c r="DT96" s="88" t="n">
        <f aca="false">(AL96+AN96)*(1+BA96+INDEX(in_cus_hmf,1,C96)+DR96)+DS96</f>
        <v>5240.18208027316</v>
      </c>
      <c r="DU96" s="86" t="n">
        <f aca="false">IF(DT96&gt;0,(CD96*(1-thr_gm_go)-(BM96-DT96))/DT96,0)</f>
        <v>-0.161704477721712</v>
      </c>
      <c r="DV96" s="86" t="n">
        <f aca="false">IF(DT96&gt;0,(CD96-(BM96-DT96))/DT96,0)</f>
        <v>0.20142646331246</v>
      </c>
      <c r="DW96" s="87" t="n">
        <f aca="false">(1+AH96)*J96*DU96-1</f>
        <v>-1.16170447772171</v>
      </c>
      <c r="DX96" s="87" t="n">
        <f aca="false">(1+AH96)*J96*DV96-1</f>
        <v>-0.79857353668754</v>
      </c>
      <c r="DY96" s="85" t="n">
        <f aca="false">IF(G96&gt;0,(CD96*(1-thr_gm_go)-(BM96-AT96))/G96,"")</f>
        <v>-3087.54298673041</v>
      </c>
      <c r="DZ96" s="90" t="n">
        <f aca="false">IF(AB96&gt;0,(AL96+AN96+BB96+BC96+BD96)/AB96,0)</f>
        <v>0.165873021392238</v>
      </c>
      <c r="EA96" s="88" t="n">
        <f aca="false">BM96-DZ96*AB96</f>
        <v>6521.39765645725</v>
      </c>
      <c r="EB96" s="90" t="n">
        <f aca="false">IF(AB96&gt;0,CD96/AB96,0)</f>
        <v>0.239355</v>
      </c>
      <c r="EC96" s="85" t="n">
        <f aca="false">IF(EB96*(1-thr_gm_go)-DZ96&gt;0,EA96/(EB96*(1-thr_gm_go)-DZ96),"n/a")</f>
        <v>477995.190430725</v>
      </c>
      <c r="ED96" s="85" t="n">
        <f aca="false">IF(EB96-DZ96&gt;0,EA96/(EB96-DZ96),"n/a")</f>
        <v>88748.2588250333</v>
      </c>
      <c r="EE96" s="93" t="b">
        <f aca="false">INDEX(cfg_fits,D96,C96)</f>
        <v>1</v>
      </c>
      <c r="EF96" s="87" t="n">
        <f aca="false">IF(F96=4,"",INDEX(cfg_lenutil,D96,C96))</f>
        <v>0.972413793103448</v>
      </c>
      <c r="EG96" s="31" t="str">
        <f aca="false">IF(O96&gt;1,"Check fit (units scaled up)","")</f>
        <v/>
      </c>
    </row>
    <row r="97" customFormat="false" ht="15" hidden="false" customHeight="false" outlineLevel="0" collapsed="false">
      <c r="A97" s="78" t="n">
        <v>2093</v>
      </c>
      <c r="B97" s="9" t="s">
        <v>3245</v>
      </c>
      <c r="C97" s="78" t="n">
        <v>2</v>
      </c>
      <c r="D97" s="78" t="n">
        <v>9</v>
      </c>
      <c r="E97" s="78" t="n">
        <v>3</v>
      </c>
      <c r="F97" s="79" t="n">
        <f aca="false">INDEX(cfg_ct,D97)</f>
        <v>1</v>
      </c>
      <c r="G97" s="79" t="n">
        <f aca="false">INDEX(cfg_n,D97)</f>
        <v>1</v>
      </c>
      <c r="H97" s="79" t="n">
        <f aca="false">INDEX(dest_port,E97)</f>
        <v>2</v>
      </c>
      <c r="I97" s="80" t="n">
        <f aca="false">INDEX(in_fx_cbe,1,C97)*(1-INDEX(in_fx_spread,1,C97))</f>
        <v>52.7748</v>
      </c>
      <c r="J97" s="81" t="n">
        <f aca="false">1</f>
        <v>1</v>
      </c>
      <c r="K97" s="82" t="n">
        <f aca="false">INDEX(in_sup_vat_mode,1,C97)</f>
        <v>2</v>
      </c>
      <c r="L97" s="83" t="n">
        <f aca="false">INDEX(in_cus_s301,1,C97)</f>
        <v>0.125</v>
      </c>
      <c r="M97" s="84" t="n">
        <f aca="false">1</f>
        <v>1</v>
      </c>
      <c r="N97" s="81" t="n">
        <f aca="false">1</f>
        <v>1</v>
      </c>
      <c r="O97" s="81" t="n">
        <f aca="false">1</f>
        <v>1</v>
      </c>
      <c r="P97" s="81" t="n">
        <f aca="false">1</f>
        <v>1</v>
      </c>
      <c r="Q97" s="81" t="n">
        <f aca="false">1</f>
        <v>1</v>
      </c>
      <c r="R97" s="83" t="n">
        <f aca="false">INDEX(in_sel_damage,1,C97)</f>
        <v>0.015</v>
      </c>
      <c r="S97" s="83" t="n">
        <f aca="false">INDEX(in_mkt_dist_margin,1,C97)</f>
        <v>0.25</v>
      </c>
      <c r="T97" s="83" t="n">
        <f aca="false">INDEX(in_mkt_eflute_disc,1,C97)</f>
        <v>0.2</v>
      </c>
      <c r="U97" s="82" t="n">
        <f aca="false">INDEX(in_sel_credit_days,1,C97)</f>
        <v>45</v>
      </c>
      <c r="V97" s="81" t="n">
        <f aca="false">1</f>
        <v>1</v>
      </c>
      <c r="W97" s="83" t="n">
        <f aca="false">INDEX(in_sel_commission,1,C97)</f>
        <v>0.05</v>
      </c>
      <c r="X97" s="82" t="n">
        <f aca="false">1</f>
        <v>1</v>
      </c>
      <c r="Y97" s="85" t="n">
        <f aca="false">INDEX(cfg_u_3464,D97,C97)*O97</f>
        <v>10600</v>
      </c>
      <c r="Z97" s="85" t="n">
        <f aca="false">INDEX(cfg_u_3463,D97,C97)*O97</f>
        <v>10600</v>
      </c>
      <c r="AA97" s="85" t="n">
        <f aca="false">INDEX(cfg_u_3460,D97,C97)*O97</f>
        <v>10600</v>
      </c>
      <c r="AB97" s="85" t="n">
        <f aca="false">Y97+Z97+AA97</f>
        <v>31800</v>
      </c>
      <c r="AC97" s="86" t="n">
        <f aca="false">Y97*INDEX(lg_vpu_3464,C97)</f>
        <v>7.5407552</v>
      </c>
      <c r="AD97" s="86" t="n">
        <f aca="false">Z97*INDEX(lg_vpu_3463,C97)</f>
        <v>9.2248832</v>
      </c>
      <c r="AE97" s="86" t="n">
        <f aca="false">AA97*INDEX(lg_vpu_3460,C97)</f>
        <v>6.0262272</v>
      </c>
      <c r="AF97" s="86" t="n">
        <f aca="false">AC97+AD97+AE97</f>
        <v>22.7918656</v>
      </c>
      <c r="AG97" s="85" t="n">
        <f aca="false">Y97*INDEX(lg_kpu_3464,C97)+Z97*INDEX(lg_kpu_3463,C97)+AA97*INDEX(lg_kpu_3460,C97)</f>
        <v>5481.3314016</v>
      </c>
      <c r="AH97" s="87" t="n">
        <f aca="false">INDEX(in_sup_requote,1,C97)</f>
        <v>0</v>
      </c>
      <c r="AI97" s="88" t="n">
        <f aca="false">Y97*q_price_3464*(1+AH97)*J97/I97</f>
        <v>1680.13900573759</v>
      </c>
      <c r="AJ97" s="88" t="n">
        <f aca="false">Z97*q_price_3463*(1+AH97)*J97/I97</f>
        <v>1586.74215724171</v>
      </c>
      <c r="AK97" s="88" t="n">
        <f aca="false">AA97*q_price_3460*(1+AH97)*J97/I97</f>
        <v>1385.88871961618</v>
      </c>
      <c r="AL97" s="88" t="n">
        <f aca="false">AI97+AJ97+AK97</f>
        <v>4652.76988259548</v>
      </c>
      <c r="AM97" s="88" t="n">
        <f aca="false">IF(OR(K97=2,K97=3),AL97*INDEX(in_sup_vat_rate,1,C97),0)</f>
        <v>651.387783563367</v>
      </c>
      <c r="AN97" s="88" t="n">
        <f aca="false">IF(K97=3,AM97,0)</f>
        <v>0</v>
      </c>
      <c r="AO97" s="88" t="n">
        <f aca="false">INDEX(in_sup_tooling_egp,1,C97)/I97</f>
        <v>0</v>
      </c>
      <c r="AP97" s="88" t="n">
        <f aca="false">IF(F97=4,INDEX(in_ori_lcl_truck,1,C97)*V97/I97+INDEX(in_ori_lcl_cfs_o,1,C97),G97*(IF(F97=1,INDEX(in_ori_truck_20,1,C97),INDEX(in_ori_truck_40,1,C97))*V97/I97+INDEX(in_ori_terminal,1,C97)+IF(F97=1,INDEX(in_ori_othc_20,1,C97),INDEX(in_ori_othc_40,1,C97))*(1-INDEX(in_ori_othc_in_freight,1,C97))+INDEX(in_ori_seal,1,C97)+INDEX(in_ori_inspection,1,C97)+INDEX(in_ori_dd_days,1,C97)*IF(F97=1,INDEX(in_ori_dd_20,1,C97),INDEX(in_ori_dd_40,1,C97))+INDEX(in_ori_loading_egp,1,C97)/I97))</f>
        <v>418.958593874349</v>
      </c>
      <c r="AQ97" s="88" t="n">
        <f aca="false">(INDEX(in_ori_clearance,1,C97)+INDEX(in_ori_coo,1,C97))/I97+INDEX(in_ori_bl_fee,1,C97)+INDEX(in_ori_fwd_fee,1,C97)+INDEX(in_ori_qc,1,C97)+INDEX(in_ori_wires,1,C97)*INDEX(in_ori_wire_fee,1,C97)</f>
        <v>817.639062582899</v>
      </c>
      <c r="AR97" s="88" t="n">
        <f aca="false">AP97+AQ97</f>
        <v>1236.59765645725</v>
      </c>
      <c r="AS97" s="85" t="n">
        <f aca="false">INDEX(tbl_port_diff,H97,C97)</f>
        <v>150</v>
      </c>
      <c r="AT97" s="88" t="n">
        <f aca="false">IF(F97=4,MAX(AF97*INDEX(in_oce_lcl_factor,1,C97),AG97/1000,1)*INDEX(in_oce_lcl_rate,1,C97)*M97,G97*(INDEX(tbl_ocean_rate,MIN(F97,3),C97)+AS97)*M97)</f>
        <v>3150</v>
      </c>
      <c r="AU97" s="88" t="n">
        <f aca="false">AT97+INDEX(in_oce_ams,1,C97)</f>
        <v>3185</v>
      </c>
      <c r="AV97" s="88" t="n">
        <f aca="false">AI97*(1+IF(K97=3,INDEX(in_sup_vat_rate,1,C97),0))+AO97*Y97/AB97</f>
        <v>1680.13900573759</v>
      </c>
      <c r="AW97" s="88" t="n">
        <f aca="false">AJ97*(1+IF(K97=3,INDEX(in_sup_vat_rate,1,C97),0))+AO97*Z97/AB97</f>
        <v>1586.74215724171</v>
      </c>
      <c r="AX97" s="88" t="n">
        <f aca="false">AK97*(1+IF(K97=3,INDEX(in_sup_vat_rate,1,C97),0))+AO97*AA97/AB97</f>
        <v>1385.88871961618</v>
      </c>
      <c r="AY97" s="88" t="n">
        <f aca="false">AV97+AW97+AX97</f>
        <v>4652.76988259548</v>
      </c>
      <c r="AZ97" s="88" t="n">
        <f aca="false">MAX(INDEX(in_oce_ins_min,1,C97),INDEX(in_oce_ins_rate,1,C97)*(1+INDEX(in_oce_ins_uplift,1,C97))*(AL97+AO97+AR97+AU97))*(1-INDEX(in_oce_ins_in_other,1,C97))</f>
        <v>75</v>
      </c>
      <c r="BA97" s="87" t="n">
        <f aca="false">INDEX(in_cus_mfn,1,C97)+L97</f>
        <v>0.125</v>
      </c>
      <c r="BB97" s="88" t="n">
        <f aca="false">AY97*BA97</f>
        <v>581.596235324435</v>
      </c>
      <c r="BC97" s="88" t="n">
        <f aca="false">MIN(MAX(AY97*INDEX(in_cus_mpf_rate,1,C97),INDEX(in_cus_mpf_min,1,C97)),INDEX(in_cus_mpf_max,1,C97))</f>
        <v>34.58</v>
      </c>
      <c r="BD97" s="88" t="n">
        <f aca="false">AY97*INDEX(in_cus_hmf,1,C97)</f>
        <v>5.81596235324435</v>
      </c>
      <c r="BE97" s="88" t="n">
        <f aca="false">MAX(INDEX(in_cus_stb_min,1,C97),INDEX(in_cus_stb_rate,1,C97)/1000*(AY97+BB97+BC97+BD97))</f>
        <v>75</v>
      </c>
      <c r="BF97" s="88" t="n">
        <f aca="false">INDEX(in_cus_broker,1,C97)+INDEX(in_cus_isf,1,C97)+INDEX(in_cus_do_fee,1,C97)+BE97+INDEX(in_cus_isf_bond,1,C97)</f>
        <v>510</v>
      </c>
      <c r="BG97" s="88" t="n">
        <f aca="false">IF(H97=1,INDEX(in_cus_cfc,1,C97)*INDEX(ct_teu,F97)*G97*(1-INDEX(in_cus_cfc_in_freight,1,C97)),0)</f>
        <v>0</v>
      </c>
      <c r="BH97" s="88" t="n">
        <f aca="false">IF(F97=4,1,G97)*(INDEX(in_cus_exam,1,C97)+INDEX(in_cus_exam_dray,1,C97))</f>
        <v>0</v>
      </c>
      <c r="BI97" s="88" t="n">
        <f aca="false">IF(F97=4,1,G97)*INDEX(in_cus_dem_days,1,C97)*INDEX(in_cus_dem_rate,1,C97)</f>
        <v>0</v>
      </c>
      <c r="BJ97" s="88" t="n">
        <f aca="false">BG97+BH97+BI97</f>
        <v>0</v>
      </c>
      <c r="BK97" s="88" t="n">
        <f aca="false">IF(F97=4,(INDEX(in_dra_lcl_cfs_d,1,C97)+INDEX(in_dra_lcl_deliv,1,C97))*P97,G97*(INDEX(tbl_dest_line,E97,C97)*P97*(1+INDEX(in_dra_fsc,1,C97))+INDEX(tbl_dest_tolls,E97,C97)+INDEX(in_dra_chassis_days,1,C97)*INDEX(tbl_dest_chassis,E97,C97)*(1-INDEX(in_dra_chassis_in_dray,1,C97))+INDEX(in_dra_wait_hours,1,C97)*INDEX(in_dra_wait_rate,1,C97)+INDEX(in_dra_split,1,C97)+INDEX(in_dra_prepull,1,C97)+INDEX(in_dra_dryrun,1,C97)))</f>
        <v>904</v>
      </c>
      <c r="BL97" s="88" t="n">
        <f aca="false">IF(F97=4,0,G97*IF(F97=1,INDEX(in_dra_unload_20,1,C97),INDEX(in_dra_unload_40,1,C97))*Q97*(1-INDEX(in_dra_unload_in_dray,1,C97)))</f>
        <v>300</v>
      </c>
      <c r="BM97" s="88" t="n">
        <f aca="false">AL97+AN97+AO97+AR97+AU97+AZ97+BB97+BC97+BD97+BF97+BJ97+BK97+BL97</f>
        <v>11485.3597367304</v>
      </c>
      <c r="BN97" s="88" t="n">
        <f aca="false">AP97+AU97+BJ97+BK97+BL97</f>
        <v>4807.95859387435</v>
      </c>
      <c r="BO97" s="88" t="n">
        <f aca="false">AQ97+BF97</f>
        <v>1327.6390625829</v>
      </c>
      <c r="BP97" s="88" t="n">
        <f aca="false">AI97*(1+IF(K97=3,INDEX(in_sup_vat_rate,1,C97),0))+AO97*Y97/AB97+AV97*BA97+(BC97+BD97)*AV97/AY97+AZ97*AI97/AL97+BN97*AC97/AF97+BO97*Y97/AB97</f>
        <v>3965.09992983919</v>
      </c>
      <c r="BQ97" s="88" t="n">
        <f aca="false">AJ97*(1+IF(K97=3,INDEX(in_sup_vat_rate,1,C97),0))+AO97*Z97/AB97+AW97*BA97+(BC97+BD97)*AW97/AY97+AZ97*AJ97/AL97+BN97*AD97/AF97+BO97*Z97/AB97</f>
        <v>4212.97996391452</v>
      </c>
      <c r="BR97" s="88" t="n">
        <f aca="false">AK97*(1+IF(K97=3,INDEX(in_sup_vat_rate,1,C97),0))+AO97*AA97/AB97+AX97*BA97+(BC97+BD97)*AX97/AY97+AZ97*AK97/AL97+BN97*AE97/AF97+BO97*AA97/AB97</f>
        <v>3307.2798429767</v>
      </c>
      <c r="BS97" s="89" t="n">
        <f aca="false">BP97+BQ97+BR97-BM97</f>
        <v>0</v>
      </c>
      <c r="BT97" s="85" t="n">
        <f aca="false">Y97*(1-R97)</f>
        <v>10441</v>
      </c>
      <c r="BU97" s="85" t="n">
        <f aca="false">Z97*(1-R97)</f>
        <v>10441</v>
      </c>
      <c r="BV97" s="85" t="n">
        <f aca="false">AA97*(1-R97)</f>
        <v>10441</v>
      </c>
      <c r="BW97" s="85" t="n">
        <f aca="false">BT97+BU97+BV97</f>
        <v>31323</v>
      </c>
      <c r="BX97" s="90" t="n">
        <f aca="false">IF(BT97&gt;0,BP97/BT97,0)</f>
        <v>0.379762468138989</v>
      </c>
      <c r="BY97" s="90" t="n">
        <f aca="false">IF(BU97&gt;0,BQ97/BU97,0)</f>
        <v>0.4035034923776</v>
      </c>
      <c r="BZ97" s="90" t="n">
        <f aca="false">IF(BV97&gt;0,BR97/BV97,0)</f>
        <v>0.316758916097759</v>
      </c>
      <c r="CA97" s="90" t="n">
        <f aca="false">INDEX(in_mkt_listing_3464,1,C97)*(1-IF(sku_flute_3464="B",T97,0))*(1-S97)*N97</f>
        <v>0.234</v>
      </c>
      <c r="CB97" s="90" t="n">
        <f aca="false">INDEX(in_mkt_listing_3463,1,C97)*(1-IF(sku_flute_3463="B",T97,0))*(1-S97)*N97</f>
        <v>0.27</v>
      </c>
      <c r="CC97" s="90" t="n">
        <f aca="false">INDEX(in_mkt_listing_3460,1,C97)*(1-IF(sku_flute_3460="B",T97,0))*(1-S97)*N97</f>
        <v>0.225</v>
      </c>
      <c r="CD97" s="88" t="n">
        <f aca="false">BT97*CA97+BU97*CB97+BV97*CC97</f>
        <v>7611.489</v>
      </c>
      <c r="CE97" s="88" t="n">
        <f aca="false">CD97-BM97</f>
        <v>-3873.87073673041</v>
      </c>
      <c r="CF97" s="87" t="n">
        <f aca="false">IF(CD97&gt;0,CE97/CD97,0)</f>
        <v>-0.508950448030656</v>
      </c>
      <c r="CG97" s="87" t="n">
        <f aca="false">W97+INDEX(in_sel_processing,1,C97)+INDEX(in_sel_bad_debt,1,C97)</f>
        <v>0.058</v>
      </c>
      <c r="CH97" s="88" t="n">
        <f aca="false">CD97*CG97</f>
        <v>441.466362</v>
      </c>
      <c r="CI97" s="88" t="n">
        <f aca="false">INDEX(in_sel_testing,1,C97)*X97+INDEX(in_sel_admin,1,C97)</f>
        <v>3000</v>
      </c>
      <c r="CJ97" s="79" t="n">
        <f aca="false">INDEX(in_sup_lead_days,1,C97)</f>
        <v>21</v>
      </c>
      <c r="CK97" s="79" t="n">
        <f aca="false">CJ97+INDEX(in_oce_transit,1,C97)+IF(F97=4,INDEX(in_oce_lcl_extra_days,1,C97),0)</f>
        <v>51</v>
      </c>
      <c r="CL97" s="79" t="n">
        <f aca="false">CK97+2+INDEX(in_cus_dem_days,1,C97)</f>
        <v>53</v>
      </c>
      <c r="CM97" s="79" t="n">
        <f aca="false">CL97+U97</f>
        <v>98</v>
      </c>
      <c r="CN97" s="79" t="n">
        <f aca="false">CJ97+INDEX(in_sup_vat_lag,1,C97)</f>
        <v>81</v>
      </c>
      <c r="CO97" s="91" t="n">
        <f aca="false">INDEX(in_sup_advance,1,C97)</f>
        <v>0.5</v>
      </c>
      <c r="CP97" s="88" t="n">
        <f aca="false">CO97*(AL97+AM97)+AO97+INDEX(in_sel_testing,1,C97)*X97</f>
        <v>5152.07883307942</v>
      </c>
      <c r="CQ97" s="88" t="n">
        <f aca="false">(1-CO97)*(AL97+AM97)+AR97+AU97+AZ97</f>
        <v>7148.67648953667</v>
      </c>
      <c r="CR97" s="88" t="n">
        <f aca="false">BB97+BC97+BD97+BF97+BJ97</f>
        <v>1131.99219767768</v>
      </c>
      <c r="CS97" s="88" t="n">
        <f aca="false">BK97+BL97</f>
        <v>1204</v>
      </c>
      <c r="CT97" s="88" t="n">
        <f aca="false">IF(K97=2,AM97,0)</f>
        <v>651.387783563367</v>
      </c>
      <c r="CU97" s="85" t="n">
        <f aca="false">IF(K97=2,CO97*AM97*(CN97-0)+(1-CO97)*AM97*(CN97-CJ97),0)</f>
        <v>45922.8387412174</v>
      </c>
      <c r="CV97" s="85" t="n">
        <f aca="false">(CP97-CO97*CT97)*(CM97-0)+(CQ97-(1-CO97)*CT97)*(CM97-CJ97)+CR97*(CM97-CK97)+CS97*(CM97-CL97)</f>
        <v>1105739.01756516</v>
      </c>
      <c r="CW97" s="88" t="n">
        <f aca="false">INDEX(in_sel_fin_rate,1,C97)/365*(CU97+CV97)</f>
        <v>315.523796248324</v>
      </c>
      <c r="CX97" s="85" t="n">
        <f aca="false">CP97-IF(CN97&lt;=0,CT97,0)</f>
        <v>5152.07883307942</v>
      </c>
      <c r="CY97" s="85" t="n">
        <f aca="false">CP97+CQ97-IF(CN97&lt;=CJ97,CT97,0)</f>
        <v>12300.7553226161</v>
      </c>
      <c r="CZ97" s="85" t="n">
        <f aca="false">CP97+CQ97+CR97-IF(CN97&lt;=CK97,CT97,0)</f>
        <v>13432.7475202938</v>
      </c>
      <c r="DA97" s="85" t="n">
        <f aca="false">CP97+CQ97+CR97+CS97-IF(CN97&lt;=CL97,CT97,0)</f>
        <v>14636.7475202938</v>
      </c>
      <c r="DB97" s="88" t="n">
        <f aca="false">MAX(CX97,CY97,CZ97,DA97)</f>
        <v>14636.7475202938</v>
      </c>
      <c r="DC97" s="88" t="n">
        <f aca="false">CP97+CQ97+CR97+CS97</f>
        <v>14636.7475202938</v>
      </c>
      <c r="DD97" s="88" t="n">
        <f aca="false">CE97-CH97-CI97-CW97</f>
        <v>-7630.86089497873</v>
      </c>
      <c r="DE97" s="87" t="n">
        <f aca="false">IF(CD97&gt;0,DD97/CD97,0)</f>
        <v>-1.00254508611636</v>
      </c>
      <c r="DF97" s="86" t="n">
        <f aca="false">IF(CD97&gt;0,(BM97+CI97+CW97)/(CD97*(1-CG97)),0)</f>
        <v>2.06427291519784</v>
      </c>
      <c r="DG97" s="90" t="n">
        <f aca="false">IF(BW97&gt;0,BM97/BW97,0)</f>
        <v>0.366674958871449</v>
      </c>
      <c r="DH97" s="90" t="n">
        <f aca="false">IF(BW97&gt;0,CD97/BW97,0)</f>
        <v>0.243</v>
      </c>
      <c r="DI97" s="90" t="n">
        <f aca="false">IF(AI97&gt;0,(AI97*IF(K97=3,INDEX(in_sup_vat_rate,1,C97),0)+AV97*BA97+(BC97+BD97)*AV97/AY97+AZ97*AI97/AL97)/AI97,0)</f>
        <v>0.149801562352117</v>
      </c>
      <c r="DJ97" s="90" t="n">
        <f aca="false">IF(AJ97&gt;0,(AJ97*IF(K97=3,INDEX(in_sup_vat_rate,1,C97),0)+AW97*BA97+(BC97+BD97)*AW97/AY97+AZ97*AJ97/AL97)/AJ97,0)</f>
        <v>0.149801562352117</v>
      </c>
      <c r="DK97" s="90" t="n">
        <f aca="false">IF(AK97&gt;0,(AK97*IF(K97=3,INDEX(in_sup_vat_rate,1,C97),0)+AX97*BA97+(BC97+BD97)*AX97/AY97+AZ97*AK97/AL97)/AK97,0)</f>
        <v>0.149801562352117</v>
      </c>
      <c r="DL97" s="90" t="n">
        <f aca="false">IF(Y97&gt;0,(BP97-AI97*(1+DI97))/Y97,0)</f>
        <v>0.191818252459752</v>
      </c>
      <c r="DM97" s="90" t="n">
        <f aca="false">IF(Z97&gt;0,(BQ97-AJ97*(1+DJ97))/Z97,0)</f>
        <v>0.225334089855475</v>
      </c>
      <c r="DN97" s="90" t="n">
        <f aca="false">IF(AA97&gt;0,(BR97-AK97*(1+DK97))/AA97,0)</f>
        <v>0.16167762527508</v>
      </c>
      <c r="DO97" s="86" t="n">
        <f aca="false">IF(Y97&gt;0,(CA97*(1-thr_gm_go)*(1-R97)-DL97)/(1+DI97)*I97/((1+AH97)*J97),"")</f>
        <v>-0.869821544568971</v>
      </c>
      <c r="DP97" s="86" t="n">
        <f aca="false">IF(Z97&gt;0,(CB97*(1-thr_gm_go)*(1-R97)-DM97)/(1+DJ97)*I97/((1+AH97)*J97),"")</f>
        <v>-1.18748140984571</v>
      </c>
      <c r="DQ97" s="86" t="n">
        <f aca="false">IF(AA97&gt;0,(CC97*(1-thr_gm_go)*(1-R97)-DN97)/(1+DK97)*I97/((1+AH97)*J97),"")</f>
        <v>0.208433313173163</v>
      </c>
      <c r="DR97" s="92" t="n">
        <f aca="false">IF(AND(AY97*INDEX(in_cus_mpf_rate,1,C97)&gt;INDEX(in_cus_mpf_min,1,C97),AY97*INDEX(in_cus_mpf_rate,1,C97)&lt;INDEX(in_cus_mpf_max,1,C97)),INDEX(in_cus_mpf_rate,1,C97),0)</f>
        <v>0</v>
      </c>
      <c r="DS97" s="88" t="n">
        <f aca="false">IF(AZ97&gt;INDEX(in_oce_ins_min,1,C97),INDEX(in_oce_ins_rate,1,C97)*(1+INDEX(in_oce_ins_uplift,1,C97))*AL97,0)</f>
        <v>0</v>
      </c>
      <c r="DT97" s="88" t="n">
        <f aca="false">(AL97+AN97)*(1+BA97+INDEX(in_cus_hmf,1,C97)+DR97)+DS97</f>
        <v>5240.18208027316</v>
      </c>
      <c r="DU97" s="86" t="n">
        <f aca="false">IF(DT97&gt;0,(CD97*(1-thr_gm_go)-(BM97-DT97))/DT97,0)</f>
        <v>-0.102393561566715</v>
      </c>
      <c r="DV97" s="86" t="n">
        <f aca="false">IF(DT97&gt;0,(CD97-(BM97-DT97))/DT97,0)</f>
        <v>0.260737379467457</v>
      </c>
      <c r="DW97" s="87" t="n">
        <f aca="false">(1+AH97)*J97*DU97-1</f>
        <v>-1.10239356156672</v>
      </c>
      <c r="DX97" s="87" t="n">
        <f aca="false">(1+AH97)*J97*DV97-1</f>
        <v>-0.739262620532543</v>
      </c>
      <c r="DY97" s="85" t="n">
        <f aca="false">IF(G97&gt;0,(CD97*(1-thr_gm_go)-(BM97-AT97))/G97,"")</f>
        <v>-2626.74298673041</v>
      </c>
      <c r="DZ97" s="90" t="n">
        <f aca="false">IF(AB97&gt;0,(AL97+AN97+BB97+BC97+BD97)/AB97,0)</f>
        <v>0.165873021392238</v>
      </c>
      <c r="EA97" s="88" t="n">
        <f aca="false">BM97-DZ97*AB97</f>
        <v>6210.59765645725</v>
      </c>
      <c r="EB97" s="90" t="n">
        <f aca="false">IF(AB97&gt;0,CD97/AB97,0)</f>
        <v>0.239355</v>
      </c>
      <c r="EC97" s="85" t="n">
        <f aca="false">IF(EB97*(1-thr_gm_go)-DZ97&gt;0,EA97/(EB97*(1-thr_gm_go)-DZ97),"n/a")</f>
        <v>455214.658861887</v>
      </c>
      <c r="ED97" s="85" t="n">
        <f aca="false">IF(EB97-DZ97&gt;0,EA97/(EB97-DZ97),"n/a")</f>
        <v>84518.6503429453</v>
      </c>
      <c r="EE97" s="93" t="b">
        <f aca="false">INDEX(cfg_fits,D97,C97)</f>
        <v>1</v>
      </c>
      <c r="EF97" s="87" t="n">
        <f aca="false">IF(F97=4,"",INDEX(cfg_lenutil,D97,C97))</f>
        <v>0.972413793103448</v>
      </c>
      <c r="EG97" s="31" t="str">
        <f aca="false">IF(O97&gt;1,"Check fit (units scaled up)","")</f>
        <v/>
      </c>
    </row>
    <row r="98" customFormat="false" ht="15" hidden="false" customHeight="false" outlineLevel="0" collapsed="false">
      <c r="A98" s="78" t="n">
        <v>2094</v>
      </c>
      <c r="B98" s="9" t="s">
        <v>3246</v>
      </c>
      <c r="C98" s="78" t="n">
        <v>2</v>
      </c>
      <c r="D98" s="78" t="n">
        <v>9</v>
      </c>
      <c r="E98" s="78" t="n">
        <v>4</v>
      </c>
      <c r="F98" s="79" t="n">
        <f aca="false">INDEX(cfg_ct,D98)</f>
        <v>1</v>
      </c>
      <c r="G98" s="79" t="n">
        <f aca="false">INDEX(cfg_n,D98)</f>
        <v>1</v>
      </c>
      <c r="H98" s="79" t="n">
        <f aca="false">INDEX(dest_port,E98)</f>
        <v>3</v>
      </c>
      <c r="I98" s="80" t="n">
        <f aca="false">INDEX(in_fx_cbe,1,C98)*(1-INDEX(in_fx_spread,1,C98))</f>
        <v>52.7748</v>
      </c>
      <c r="J98" s="81" t="n">
        <f aca="false">1</f>
        <v>1</v>
      </c>
      <c r="K98" s="82" t="n">
        <f aca="false">INDEX(in_sup_vat_mode,1,C98)</f>
        <v>2</v>
      </c>
      <c r="L98" s="83" t="n">
        <f aca="false">INDEX(in_cus_s301,1,C98)</f>
        <v>0.125</v>
      </c>
      <c r="M98" s="84" t="n">
        <f aca="false">1</f>
        <v>1</v>
      </c>
      <c r="N98" s="81" t="n">
        <f aca="false">1</f>
        <v>1</v>
      </c>
      <c r="O98" s="81" t="n">
        <f aca="false">1</f>
        <v>1</v>
      </c>
      <c r="P98" s="81" t="n">
        <f aca="false">1</f>
        <v>1</v>
      </c>
      <c r="Q98" s="81" t="n">
        <f aca="false">1</f>
        <v>1</v>
      </c>
      <c r="R98" s="83" t="n">
        <f aca="false">INDEX(in_sel_damage,1,C98)</f>
        <v>0.015</v>
      </c>
      <c r="S98" s="83" t="n">
        <f aca="false">INDEX(in_mkt_dist_margin,1,C98)</f>
        <v>0.25</v>
      </c>
      <c r="T98" s="83" t="n">
        <f aca="false">INDEX(in_mkt_eflute_disc,1,C98)</f>
        <v>0.2</v>
      </c>
      <c r="U98" s="82" t="n">
        <f aca="false">INDEX(in_sel_credit_days,1,C98)</f>
        <v>45</v>
      </c>
      <c r="V98" s="81" t="n">
        <f aca="false">1</f>
        <v>1</v>
      </c>
      <c r="W98" s="83" t="n">
        <f aca="false">INDEX(in_sel_commission,1,C98)</f>
        <v>0.05</v>
      </c>
      <c r="X98" s="82" t="n">
        <f aca="false">1</f>
        <v>1</v>
      </c>
      <c r="Y98" s="85" t="n">
        <f aca="false">INDEX(cfg_u_3464,D98,C98)*O98</f>
        <v>10600</v>
      </c>
      <c r="Z98" s="85" t="n">
        <f aca="false">INDEX(cfg_u_3463,D98,C98)*O98</f>
        <v>10600</v>
      </c>
      <c r="AA98" s="85" t="n">
        <f aca="false">INDEX(cfg_u_3460,D98,C98)*O98</f>
        <v>10600</v>
      </c>
      <c r="AB98" s="85" t="n">
        <f aca="false">Y98+Z98+AA98</f>
        <v>31800</v>
      </c>
      <c r="AC98" s="86" t="n">
        <f aca="false">Y98*INDEX(lg_vpu_3464,C98)</f>
        <v>7.5407552</v>
      </c>
      <c r="AD98" s="86" t="n">
        <f aca="false">Z98*INDEX(lg_vpu_3463,C98)</f>
        <v>9.2248832</v>
      </c>
      <c r="AE98" s="86" t="n">
        <f aca="false">AA98*INDEX(lg_vpu_3460,C98)</f>
        <v>6.0262272</v>
      </c>
      <c r="AF98" s="86" t="n">
        <f aca="false">AC98+AD98+AE98</f>
        <v>22.7918656</v>
      </c>
      <c r="AG98" s="85" t="n">
        <f aca="false">Y98*INDEX(lg_kpu_3464,C98)+Z98*INDEX(lg_kpu_3463,C98)+AA98*INDEX(lg_kpu_3460,C98)</f>
        <v>5481.3314016</v>
      </c>
      <c r="AH98" s="87" t="n">
        <f aca="false">INDEX(in_sup_requote,1,C98)</f>
        <v>0</v>
      </c>
      <c r="AI98" s="88" t="n">
        <f aca="false">Y98*q_price_3464*(1+AH98)*J98/I98</f>
        <v>1680.13900573759</v>
      </c>
      <c r="AJ98" s="88" t="n">
        <f aca="false">Z98*q_price_3463*(1+AH98)*J98/I98</f>
        <v>1586.74215724171</v>
      </c>
      <c r="AK98" s="88" t="n">
        <f aca="false">AA98*q_price_3460*(1+AH98)*J98/I98</f>
        <v>1385.88871961618</v>
      </c>
      <c r="AL98" s="88" t="n">
        <f aca="false">AI98+AJ98+AK98</f>
        <v>4652.76988259548</v>
      </c>
      <c r="AM98" s="88" t="n">
        <f aca="false">IF(OR(K98=2,K98=3),AL98*INDEX(in_sup_vat_rate,1,C98),0)</f>
        <v>651.387783563367</v>
      </c>
      <c r="AN98" s="88" t="n">
        <f aca="false">IF(K98=3,AM98,0)</f>
        <v>0</v>
      </c>
      <c r="AO98" s="88" t="n">
        <f aca="false">INDEX(in_sup_tooling_egp,1,C98)/I98</f>
        <v>0</v>
      </c>
      <c r="AP98" s="88" t="n">
        <f aca="false">IF(F98=4,INDEX(in_ori_lcl_truck,1,C98)*V98/I98+INDEX(in_ori_lcl_cfs_o,1,C98),G98*(IF(F98=1,INDEX(in_ori_truck_20,1,C98),INDEX(in_ori_truck_40,1,C98))*V98/I98+INDEX(in_ori_terminal,1,C98)+IF(F98=1,INDEX(in_ori_othc_20,1,C98),INDEX(in_ori_othc_40,1,C98))*(1-INDEX(in_ori_othc_in_freight,1,C98))+INDEX(in_ori_seal,1,C98)+INDEX(in_ori_inspection,1,C98)+INDEX(in_ori_dd_days,1,C98)*IF(F98=1,INDEX(in_ori_dd_20,1,C98),INDEX(in_ori_dd_40,1,C98))+INDEX(in_ori_loading_egp,1,C98)/I98))</f>
        <v>418.958593874349</v>
      </c>
      <c r="AQ98" s="88" t="n">
        <f aca="false">(INDEX(in_ori_clearance,1,C98)+INDEX(in_ori_coo,1,C98))/I98+INDEX(in_ori_bl_fee,1,C98)+INDEX(in_ori_fwd_fee,1,C98)+INDEX(in_ori_qc,1,C98)+INDEX(in_ori_wires,1,C98)*INDEX(in_ori_wire_fee,1,C98)</f>
        <v>817.639062582899</v>
      </c>
      <c r="AR98" s="88" t="n">
        <f aca="false">AP98+AQ98</f>
        <v>1236.59765645725</v>
      </c>
      <c r="AS98" s="85" t="n">
        <f aca="false">INDEX(tbl_port_diff,H98,C98)</f>
        <v>0</v>
      </c>
      <c r="AT98" s="88" t="n">
        <f aca="false">IF(F98=4,MAX(AF98*INDEX(in_oce_lcl_factor,1,C98),AG98/1000,1)*INDEX(in_oce_lcl_rate,1,C98)*M98,G98*(INDEX(tbl_ocean_rate,MIN(F98,3),C98)+AS98)*M98)</f>
        <v>3000</v>
      </c>
      <c r="AU98" s="88" t="n">
        <f aca="false">AT98+INDEX(in_oce_ams,1,C98)</f>
        <v>3035</v>
      </c>
      <c r="AV98" s="88" t="n">
        <f aca="false">AI98*(1+IF(K98=3,INDEX(in_sup_vat_rate,1,C98),0))+AO98*Y98/AB98</f>
        <v>1680.13900573759</v>
      </c>
      <c r="AW98" s="88" t="n">
        <f aca="false">AJ98*(1+IF(K98=3,INDEX(in_sup_vat_rate,1,C98),0))+AO98*Z98/AB98</f>
        <v>1586.74215724171</v>
      </c>
      <c r="AX98" s="88" t="n">
        <f aca="false">AK98*(1+IF(K98=3,INDEX(in_sup_vat_rate,1,C98),0))+AO98*AA98/AB98</f>
        <v>1385.88871961618</v>
      </c>
      <c r="AY98" s="88" t="n">
        <f aca="false">AV98+AW98+AX98</f>
        <v>4652.76988259548</v>
      </c>
      <c r="AZ98" s="88" t="n">
        <f aca="false">MAX(INDEX(in_oce_ins_min,1,C98),INDEX(in_oce_ins_rate,1,C98)*(1+INDEX(in_oce_ins_uplift,1,C98))*(AL98+AO98+AR98+AU98))*(1-INDEX(in_oce_ins_in_other,1,C98))</f>
        <v>75</v>
      </c>
      <c r="BA98" s="87" t="n">
        <f aca="false">INDEX(in_cus_mfn,1,C98)+L98</f>
        <v>0.125</v>
      </c>
      <c r="BB98" s="88" t="n">
        <f aca="false">AY98*BA98</f>
        <v>581.596235324435</v>
      </c>
      <c r="BC98" s="88" t="n">
        <f aca="false">MIN(MAX(AY98*INDEX(in_cus_mpf_rate,1,C98),INDEX(in_cus_mpf_min,1,C98)),INDEX(in_cus_mpf_max,1,C98))</f>
        <v>34.58</v>
      </c>
      <c r="BD98" s="88" t="n">
        <f aca="false">AY98*INDEX(in_cus_hmf,1,C98)</f>
        <v>5.81596235324435</v>
      </c>
      <c r="BE98" s="88" t="n">
        <f aca="false">MAX(INDEX(in_cus_stb_min,1,C98),INDEX(in_cus_stb_rate,1,C98)/1000*(AY98+BB98+BC98+BD98))</f>
        <v>75</v>
      </c>
      <c r="BF98" s="88" t="n">
        <f aca="false">INDEX(in_cus_broker,1,C98)+INDEX(in_cus_isf,1,C98)+INDEX(in_cus_do_fee,1,C98)+BE98+INDEX(in_cus_isf_bond,1,C98)</f>
        <v>510</v>
      </c>
      <c r="BG98" s="88" t="n">
        <f aca="false">IF(H98=1,INDEX(in_cus_cfc,1,C98)*INDEX(ct_teu,F98)*G98*(1-INDEX(in_cus_cfc_in_freight,1,C98)),0)</f>
        <v>0</v>
      </c>
      <c r="BH98" s="88" t="n">
        <f aca="false">IF(F98=4,1,G98)*(INDEX(in_cus_exam,1,C98)+INDEX(in_cus_exam_dray,1,C98))</f>
        <v>0</v>
      </c>
      <c r="BI98" s="88" t="n">
        <f aca="false">IF(F98=4,1,G98)*INDEX(in_cus_dem_days,1,C98)*INDEX(in_cus_dem_rate,1,C98)</f>
        <v>0</v>
      </c>
      <c r="BJ98" s="88" t="n">
        <f aca="false">BG98+BH98+BI98</f>
        <v>0</v>
      </c>
      <c r="BK98" s="88" t="n">
        <f aca="false">IF(F98=4,(INDEX(in_dra_lcl_cfs_d,1,C98)+INDEX(in_dra_lcl_deliv,1,C98))*P98,G98*(INDEX(tbl_dest_line,E98,C98)*P98*(1+INDEX(in_dra_fsc,1,C98))+INDEX(tbl_dest_tolls,E98,C98)+INDEX(in_dra_chassis_days,1,C98)*INDEX(tbl_dest_chassis,E98,C98)*(1-INDEX(in_dra_chassis_in_dray,1,C98))+INDEX(in_dra_wait_hours,1,C98)*INDEX(in_dra_wait_rate,1,C98)+INDEX(in_dra_split,1,C98)+INDEX(in_dra_prepull,1,C98)+INDEX(in_dra_dryrun,1,C98)))</f>
        <v>1504</v>
      </c>
      <c r="BL98" s="88" t="n">
        <f aca="false">IF(F98=4,0,G98*IF(F98=1,INDEX(in_dra_unload_20,1,C98),INDEX(in_dra_unload_40,1,C98))*Q98*(1-INDEX(in_dra_unload_in_dray,1,C98)))</f>
        <v>300</v>
      </c>
      <c r="BM98" s="88" t="n">
        <f aca="false">AL98+AN98+AO98+AR98+AU98+AZ98+BB98+BC98+BD98+BF98+BJ98+BK98+BL98</f>
        <v>11935.3597367304</v>
      </c>
      <c r="BN98" s="88" t="n">
        <f aca="false">AP98+AU98+BJ98+BK98+BL98</f>
        <v>5257.95859387435</v>
      </c>
      <c r="BO98" s="88" t="n">
        <f aca="false">AQ98+BF98</f>
        <v>1327.6390625829</v>
      </c>
      <c r="BP98" s="88" t="n">
        <f aca="false">AI98*(1+IF(K98=3,INDEX(in_sup_vat_rate,1,C98),0))+AO98*Y98/AB98+AV98*BA98+(BC98+BD98)*AV98/AY98+AZ98*AI98/AL98+BN98*AC98/AF98+BO98*Y98/AB98</f>
        <v>4113.98374214106</v>
      </c>
      <c r="BQ98" s="88" t="n">
        <f aca="false">AJ98*(1+IF(K98=3,INDEX(in_sup_vat_rate,1,C98),0))+AO98*Z98/AB98+AW98*BA98+(BC98+BD98)*AW98/AY98+AZ98*AJ98/AL98+BN98*AD98/AF98+BO98*Z98/AB98</f>
        <v>4395.11500774349</v>
      </c>
      <c r="BR98" s="88" t="n">
        <f aca="false">AK98*(1+IF(K98=3,INDEX(in_sup_vat_rate,1,C98),0))+AO98*AA98/AB98+AX98*BA98+(BC98+BD98)*AX98/AY98+AZ98*AK98/AL98+BN98*AE98/AF98+BO98*AA98/AB98</f>
        <v>3426.26098684586</v>
      </c>
      <c r="BS98" s="89" t="n">
        <f aca="false">BP98+BQ98+BR98-BM98</f>
        <v>0</v>
      </c>
      <c r="BT98" s="85" t="n">
        <f aca="false">Y98*(1-R98)</f>
        <v>10441</v>
      </c>
      <c r="BU98" s="85" t="n">
        <f aca="false">Z98*(1-R98)</f>
        <v>10441</v>
      </c>
      <c r="BV98" s="85" t="n">
        <f aca="false">AA98*(1-R98)</f>
        <v>10441</v>
      </c>
      <c r="BW98" s="85" t="n">
        <f aca="false">BT98+BU98+BV98</f>
        <v>31323</v>
      </c>
      <c r="BX98" s="90" t="n">
        <f aca="false">IF(BT98&gt;0,BP98/BT98,0)</f>
        <v>0.394022003844561</v>
      </c>
      <c r="BY98" s="90" t="n">
        <f aca="false">IF(BU98&gt;0,BQ98/BU98,0)</f>
        <v>0.420947706900057</v>
      </c>
      <c r="BZ98" s="90" t="n">
        <f aca="false">IF(BV98&gt;0,BR98/BV98,0)</f>
        <v>0.328154485858237</v>
      </c>
      <c r="CA98" s="90" t="n">
        <f aca="false">INDEX(in_mkt_listing_3464,1,C98)*(1-IF(sku_flute_3464="B",T98,0))*(1-S98)*N98</f>
        <v>0.234</v>
      </c>
      <c r="CB98" s="90" t="n">
        <f aca="false">INDEX(in_mkt_listing_3463,1,C98)*(1-IF(sku_flute_3463="B",T98,0))*(1-S98)*N98</f>
        <v>0.27</v>
      </c>
      <c r="CC98" s="90" t="n">
        <f aca="false">INDEX(in_mkt_listing_3460,1,C98)*(1-IF(sku_flute_3460="B",T98,0))*(1-S98)*N98</f>
        <v>0.225</v>
      </c>
      <c r="CD98" s="88" t="n">
        <f aca="false">BT98*CA98+BU98*CB98+BV98*CC98</f>
        <v>7611.489</v>
      </c>
      <c r="CE98" s="88" t="n">
        <f aca="false">CD98-BM98</f>
        <v>-4323.87073673041</v>
      </c>
      <c r="CF98" s="87" t="n">
        <f aca="false">IF(CD98&gt;0,CE98/CD98,0)</f>
        <v>-0.568071600278265</v>
      </c>
      <c r="CG98" s="87" t="n">
        <f aca="false">W98+INDEX(in_sel_processing,1,C98)+INDEX(in_sel_bad_debt,1,C98)</f>
        <v>0.058</v>
      </c>
      <c r="CH98" s="88" t="n">
        <f aca="false">CD98*CG98</f>
        <v>441.466362</v>
      </c>
      <c r="CI98" s="88" t="n">
        <f aca="false">INDEX(in_sel_testing,1,C98)*X98+INDEX(in_sel_admin,1,C98)</f>
        <v>3000</v>
      </c>
      <c r="CJ98" s="79" t="n">
        <f aca="false">INDEX(in_sup_lead_days,1,C98)</f>
        <v>21</v>
      </c>
      <c r="CK98" s="79" t="n">
        <f aca="false">CJ98+INDEX(in_oce_transit,1,C98)+IF(F98=4,INDEX(in_oce_lcl_extra_days,1,C98),0)</f>
        <v>51</v>
      </c>
      <c r="CL98" s="79" t="n">
        <f aca="false">CK98+2+INDEX(in_cus_dem_days,1,C98)</f>
        <v>53</v>
      </c>
      <c r="CM98" s="79" t="n">
        <f aca="false">CL98+U98</f>
        <v>98</v>
      </c>
      <c r="CN98" s="79" t="n">
        <f aca="false">CJ98+INDEX(in_sup_vat_lag,1,C98)</f>
        <v>81</v>
      </c>
      <c r="CO98" s="91" t="n">
        <f aca="false">INDEX(in_sup_advance,1,C98)</f>
        <v>0.5</v>
      </c>
      <c r="CP98" s="88" t="n">
        <f aca="false">CO98*(AL98+AM98)+AO98+INDEX(in_sel_testing,1,C98)*X98</f>
        <v>5152.07883307942</v>
      </c>
      <c r="CQ98" s="88" t="n">
        <f aca="false">(1-CO98)*(AL98+AM98)+AR98+AU98+AZ98</f>
        <v>6998.67648953667</v>
      </c>
      <c r="CR98" s="88" t="n">
        <f aca="false">BB98+BC98+BD98+BF98+BJ98</f>
        <v>1131.99219767768</v>
      </c>
      <c r="CS98" s="88" t="n">
        <f aca="false">BK98+BL98</f>
        <v>1804</v>
      </c>
      <c r="CT98" s="88" t="n">
        <f aca="false">IF(K98=2,AM98,0)</f>
        <v>651.387783563367</v>
      </c>
      <c r="CU98" s="85" t="n">
        <f aca="false">IF(K98=2,CO98*AM98*(CN98-0)+(1-CO98)*AM98*(CN98-CJ98),0)</f>
        <v>45922.8387412174</v>
      </c>
      <c r="CV98" s="85" t="n">
        <f aca="false">(CP98-CO98*CT98)*(CM98-0)+(CQ98-(1-CO98)*CT98)*(CM98-CJ98)+CR98*(CM98-CK98)+CS98*(CM98-CL98)</f>
        <v>1121189.01756516</v>
      </c>
      <c r="CW98" s="88" t="n">
        <f aca="false">INDEX(in_sel_fin_rate,1,C98)/365*(CU98+CV98)</f>
        <v>319.756672960652</v>
      </c>
      <c r="CX98" s="85" t="n">
        <f aca="false">CP98-IF(CN98&lt;=0,CT98,0)</f>
        <v>5152.07883307942</v>
      </c>
      <c r="CY98" s="85" t="n">
        <f aca="false">CP98+CQ98-IF(CN98&lt;=CJ98,CT98,0)</f>
        <v>12150.7553226161</v>
      </c>
      <c r="CZ98" s="85" t="n">
        <f aca="false">CP98+CQ98+CR98-IF(CN98&lt;=CK98,CT98,0)</f>
        <v>13282.7475202938</v>
      </c>
      <c r="DA98" s="85" t="n">
        <f aca="false">CP98+CQ98+CR98+CS98-IF(CN98&lt;=CL98,CT98,0)</f>
        <v>15086.7475202938</v>
      </c>
      <c r="DB98" s="88" t="n">
        <f aca="false">MAX(CX98,CY98,CZ98,DA98)</f>
        <v>15086.7475202938</v>
      </c>
      <c r="DC98" s="88" t="n">
        <f aca="false">CP98+CQ98+CR98+CS98</f>
        <v>15086.7475202938</v>
      </c>
      <c r="DD98" s="88" t="n">
        <f aca="false">CE98-CH98-CI98-CW98</f>
        <v>-8085.09377169106</v>
      </c>
      <c r="DE98" s="87" t="n">
        <f aca="false">IF(CD98&gt;0,DD98/CD98,0)</f>
        <v>-1.06222235513854</v>
      </c>
      <c r="DF98" s="86" t="n">
        <f aca="false">IF(CD98&gt;0,(BM98+CI98+CW98)/(CD98*(1-CG98)),0)</f>
        <v>2.12762458082647</v>
      </c>
      <c r="DG98" s="90" t="n">
        <f aca="false">IF(BW98&gt;0,BM98/BW98,0)</f>
        <v>0.381041398867618</v>
      </c>
      <c r="DH98" s="90" t="n">
        <f aca="false">IF(BW98&gt;0,CD98/BW98,0)</f>
        <v>0.243</v>
      </c>
      <c r="DI98" s="90" t="n">
        <f aca="false">IF(AI98&gt;0,(AI98*IF(K98=3,INDEX(in_sup_vat_rate,1,C98),0)+AV98*BA98+(BC98+BD98)*AV98/AY98+AZ98*AI98/AL98)/AI98,0)</f>
        <v>0.149801562352117</v>
      </c>
      <c r="DJ98" s="90" t="n">
        <f aca="false">IF(AJ98&gt;0,(AJ98*IF(K98=3,INDEX(in_sup_vat_rate,1,C98),0)+AW98*BA98+(BC98+BD98)*AW98/AY98+AZ98*AJ98/AL98)/AJ98,0)</f>
        <v>0.149801562352117</v>
      </c>
      <c r="DK98" s="90" t="n">
        <f aca="false">IF(AK98&gt;0,(AK98*IF(K98=3,INDEX(in_sup_vat_rate,1,C98),0)+AX98*BA98+(BC98+BD98)*AX98/AY98+AZ98*AK98/AL98)/AK98,0)</f>
        <v>0.149801562352117</v>
      </c>
      <c r="DL98" s="90" t="n">
        <f aca="false">IF(Y98&gt;0,(BP98-AI98*(1+DI98))/Y98,0)</f>
        <v>0.205863895129741</v>
      </c>
      <c r="DM98" s="90" t="n">
        <f aca="false">IF(Z98&gt;0,(BQ98-AJ98*(1+DJ98))/Z98,0)</f>
        <v>0.242516641160094</v>
      </c>
      <c r="DN98" s="90" t="n">
        <f aca="false">IF(AA98&gt;0,(BR98-AK98*(1+DK98))/AA98,0)</f>
        <v>0.172902261489151</v>
      </c>
      <c r="DO98" s="86" t="n">
        <f aca="false">IF(Y98&gt;0,(CA98*(1-thr_gm_go)*(1-R98)-DL98)/(1+DI98)*I98/((1+AH98)*J98),"")</f>
        <v>-1.51450320708449</v>
      </c>
      <c r="DP98" s="86" t="n">
        <f aca="false">IF(Z98&gt;0,(CB98*(1-thr_gm_go)*(1-R98)-DM98)/(1+DJ98)*I98/((1+AH98)*J98),"")</f>
        <v>-1.97614420026324</v>
      </c>
      <c r="DQ98" s="86" t="n">
        <f aca="false">IF(AA98&gt;0,(CC98*(1-thr_gm_go)*(1-R98)-DN98)/(1+DK98)*I98/((1+AH98)*J98),"")</f>
        <v>-0.306766831500973</v>
      </c>
      <c r="DR98" s="92" t="n">
        <f aca="false">IF(AND(AY98*INDEX(in_cus_mpf_rate,1,C98)&gt;INDEX(in_cus_mpf_min,1,C98),AY98*INDEX(in_cus_mpf_rate,1,C98)&lt;INDEX(in_cus_mpf_max,1,C98)),INDEX(in_cus_mpf_rate,1,C98),0)</f>
        <v>0</v>
      </c>
      <c r="DS98" s="88" t="n">
        <f aca="false">IF(AZ98&gt;INDEX(in_oce_ins_min,1,C98),INDEX(in_oce_ins_rate,1,C98)*(1+INDEX(in_oce_ins_uplift,1,C98))*AL98,0)</f>
        <v>0</v>
      </c>
      <c r="DT98" s="88" t="n">
        <f aca="false">(AL98+AN98)*(1+BA98+INDEX(in_cus_hmf,1,C98)+DR98)+DS98</f>
        <v>5240.18208027316</v>
      </c>
      <c r="DU98" s="86" t="n">
        <f aca="false">IF(DT98&gt;0,(CD98*(1-thr_gm_go)-(BM98-DT98))/DT98,0)</f>
        <v>-0.18826844016951</v>
      </c>
      <c r="DV98" s="86" t="n">
        <f aca="false">IF(DT98&gt;0,(CD98-(BM98-DT98))/DT98,0)</f>
        <v>0.174862500864662</v>
      </c>
      <c r="DW98" s="87" t="n">
        <f aca="false">(1+AH98)*J98*DU98-1</f>
        <v>-1.18826844016951</v>
      </c>
      <c r="DX98" s="87" t="n">
        <f aca="false">(1+AH98)*J98*DV98-1</f>
        <v>-0.825137499135338</v>
      </c>
      <c r="DY98" s="85" t="n">
        <f aca="false">IF(G98&gt;0,(CD98*(1-thr_gm_go)-(BM98-AT98))/G98,"")</f>
        <v>-3226.74298673041</v>
      </c>
      <c r="DZ98" s="90" t="n">
        <f aca="false">IF(AB98&gt;0,(AL98+AN98+BB98+BC98+BD98)/AB98,0)</f>
        <v>0.165873021392238</v>
      </c>
      <c r="EA98" s="88" t="n">
        <f aca="false">BM98-DZ98*AB98</f>
        <v>6660.59765645725</v>
      </c>
      <c r="EB98" s="90" t="n">
        <f aca="false">IF(AB98&gt;0,CD98/AB98,0)</f>
        <v>0.239355</v>
      </c>
      <c r="EC98" s="85" t="n">
        <f aca="false">IF(EB98*(1-thr_gm_go)-DZ98&gt;0,EA98/(EB98*(1-thr_gm_go)-DZ98),"n/a")</f>
        <v>488198.053990513</v>
      </c>
      <c r="ED98" s="85" t="n">
        <f aca="false">IF(EB98-DZ98&gt;0,EA98/(EB98-DZ98),"n/a")</f>
        <v>90642.600847899</v>
      </c>
      <c r="EE98" s="93" t="b">
        <f aca="false">INDEX(cfg_fits,D98,C98)</f>
        <v>1</v>
      </c>
      <c r="EF98" s="87" t="n">
        <f aca="false">IF(F98=4,"",INDEX(cfg_lenutil,D98,C98))</f>
        <v>0.972413793103448</v>
      </c>
      <c r="EG98" s="31" t="str">
        <f aca="false">IF(O98&gt;1,"Check fit (units scaled up)","")</f>
        <v/>
      </c>
    </row>
    <row r="99" customFormat="false" ht="15" hidden="false" customHeight="false" outlineLevel="0" collapsed="false">
      <c r="A99" s="78" t="n">
        <v>2095</v>
      </c>
      <c r="B99" s="9" t="s">
        <v>3247</v>
      </c>
      <c r="C99" s="78" t="n">
        <v>2</v>
      </c>
      <c r="D99" s="78" t="n">
        <v>9</v>
      </c>
      <c r="E99" s="78" t="n">
        <v>5</v>
      </c>
      <c r="F99" s="79" t="n">
        <f aca="false">INDEX(cfg_ct,D99)</f>
        <v>1</v>
      </c>
      <c r="G99" s="79" t="n">
        <f aca="false">INDEX(cfg_n,D99)</f>
        <v>1</v>
      </c>
      <c r="H99" s="79" t="n">
        <f aca="false">INDEX(dest_port,E99)</f>
        <v>4</v>
      </c>
      <c r="I99" s="80" t="n">
        <f aca="false">INDEX(in_fx_cbe,1,C99)*(1-INDEX(in_fx_spread,1,C99))</f>
        <v>52.7748</v>
      </c>
      <c r="J99" s="81" t="n">
        <f aca="false">1</f>
        <v>1</v>
      </c>
      <c r="K99" s="82" t="n">
        <f aca="false">INDEX(in_sup_vat_mode,1,C99)</f>
        <v>2</v>
      </c>
      <c r="L99" s="83" t="n">
        <f aca="false">INDEX(in_cus_s301,1,C99)</f>
        <v>0.125</v>
      </c>
      <c r="M99" s="84" t="n">
        <f aca="false">1</f>
        <v>1</v>
      </c>
      <c r="N99" s="81" t="n">
        <f aca="false">1</f>
        <v>1</v>
      </c>
      <c r="O99" s="81" t="n">
        <f aca="false">1</f>
        <v>1</v>
      </c>
      <c r="P99" s="81" t="n">
        <f aca="false">1</f>
        <v>1</v>
      </c>
      <c r="Q99" s="81" t="n">
        <f aca="false">1</f>
        <v>1</v>
      </c>
      <c r="R99" s="83" t="n">
        <f aca="false">INDEX(in_sel_damage,1,C99)</f>
        <v>0.015</v>
      </c>
      <c r="S99" s="83" t="n">
        <f aca="false">INDEX(in_mkt_dist_margin,1,C99)</f>
        <v>0.25</v>
      </c>
      <c r="T99" s="83" t="n">
        <f aca="false">INDEX(in_mkt_eflute_disc,1,C99)</f>
        <v>0.2</v>
      </c>
      <c r="U99" s="82" t="n">
        <f aca="false">INDEX(in_sel_credit_days,1,C99)</f>
        <v>45</v>
      </c>
      <c r="V99" s="81" t="n">
        <f aca="false">1</f>
        <v>1</v>
      </c>
      <c r="W99" s="83" t="n">
        <f aca="false">INDEX(in_sel_commission,1,C99)</f>
        <v>0.05</v>
      </c>
      <c r="X99" s="82" t="n">
        <f aca="false">1</f>
        <v>1</v>
      </c>
      <c r="Y99" s="85" t="n">
        <f aca="false">INDEX(cfg_u_3464,D99,C99)*O99</f>
        <v>10600</v>
      </c>
      <c r="Z99" s="85" t="n">
        <f aca="false">INDEX(cfg_u_3463,D99,C99)*O99</f>
        <v>10600</v>
      </c>
      <c r="AA99" s="85" t="n">
        <f aca="false">INDEX(cfg_u_3460,D99,C99)*O99</f>
        <v>10600</v>
      </c>
      <c r="AB99" s="85" t="n">
        <f aca="false">Y99+Z99+AA99</f>
        <v>31800</v>
      </c>
      <c r="AC99" s="86" t="n">
        <f aca="false">Y99*INDEX(lg_vpu_3464,C99)</f>
        <v>7.5407552</v>
      </c>
      <c r="AD99" s="86" t="n">
        <f aca="false">Z99*INDEX(lg_vpu_3463,C99)</f>
        <v>9.2248832</v>
      </c>
      <c r="AE99" s="86" t="n">
        <f aca="false">AA99*INDEX(lg_vpu_3460,C99)</f>
        <v>6.0262272</v>
      </c>
      <c r="AF99" s="86" t="n">
        <f aca="false">AC99+AD99+AE99</f>
        <v>22.7918656</v>
      </c>
      <c r="AG99" s="85" t="n">
        <f aca="false">Y99*INDEX(lg_kpu_3464,C99)+Z99*INDEX(lg_kpu_3463,C99)+AA99*INDEX(lg_kpu_3460,C99)</f>
        <v>5481.3314016</v>
      </c>
      <c r="AH99" s="87" t="n">
        <f aca="false">INDEX(in_sup_requote,1,C99)</f>
        <v>0</v>
      </c>
      <c r="AI99" s="88" t="n">
        <f aca="false">Y99*q_price_3464*(1+AH99)*J99/I99</f>
        <v>1680.13900573759</v>
      </c>
      <c r="AJ99" s="88" t="n">
        <f aca="false">Z99*q_price_3463*(1+AH99)*J99/I99</f>
        <v>1586.74215724171</v>
      </c>
      <c r="AK99" s="88" t="n">
        <f aca="false">AA99*q_price_3460*(1+AH99)*J99/I99</f>
        <v>1385.88871961618</v>
      </c>
      <c r="AL99" s="88" t="n">
        <f aca="false">AI99+AJ99+AK99</f>
        <v>4652.76988259548</v>
      </c>
      <c r="AM99" s="88" t="n">
        <f aca="false">IF(OR(K99=2,K99=3),AL99*INDEX(in_sup_vat_rate,1,C99),0)</f>
        <v>651.387783563367</v>
      </c>
      <c r="AN99" s="88" t="n">
        <f aca="false">IF(K99=3,AM99,0)</f>
        <v>0</v>
      </c>
      <c r="AO99" s="88" t="n">
        <f aca="false">INDEX(in_sup_tooling_egp,1,C99)/I99</f>
        <v>0</v>
      </c>
      <c r="AP99" s="88" t="n">
        <f aca="false">IF(F99=4,INDEX(in_ori_lcl_truck,1,C99)*V99/I99+INDEX(in_ori_lcl_cfs_o,1,C99),G99*(IF(F99=1,INDEX(in_ori_truck_20,1,C99),INDEX(in_ori_truck_40,1,C99))*V99/I99+INDEX(in_ori_terminal,1,C99)+IF(F99=1,INDEX(in_ori_othc_20,1,C99),INDEX(in_ori_othc_40,1,C99))*(1-INDEX(in_ori_othc_in_freight,1,C99))+INDEX(in_ori_seal,1,C99)+INDEX(in_ori_inspection,1,C99)+INDEX(in_ori_dd_days,1,C99)*IF(F99=1,INDEX(in_ori_dd_20,1,C99),INDEX(in_ori_dd_40,1,C99))+INDEX(in_ori_loading_egp,1,C99)/I99))</f>
        <v>418.958593874349</v>
      </c>
      <c r="AQ99" s="88" t="n">
        <f aca="false">(INDEX(in_ori_clearance,1,C99)+INDEX(in_ori_coo,1,C99))/I99+INDEX(in_ori_bl_fee,1,C99)+INDEX(in_ori_fwd_fee,1,C99)+INDEX(in_ori_qc,1,C99)+INDEX(in_ori_wires,1,C99)*INDEX(in_ori_wire_fee,1,C99)</f>
        <v>817.639062582899</v>
      </c>
      <c r="AR99" s="88" t="n">
        <f aca="false">AP99+AQ99</f>
        <v>1236.59765645725</v>
      </c>
      <c r="AS99" s="85" t="n">
        <f aca="false">INDEX(tbl_port_diff,H99,C99)</f>
        <v>100</v>
      </c>
      <c r="AT99" s="88" t="n">
        <f aca="false">IF(F99=4,MAX(AF99*INDEX(in_oce_lcl_factor,1,C99),AG99/1000,1)*INDEX(in_oce_lcl_rate,1,C99)*M99,G99*(INDEX(tbl_ocean_rate,MIN(F99,3),C99)+AS99)*M99)</f>
        <v>3100</v>
      </c>
      <c r="AU99" s="88" t="n">
        <f aca="false">AT99+INDEX(in_oce_ams,1,C99)</f>
        <v>3135</v>
      </c>
      <c r="AV99" s="88" t="n">
        <f aca="false">AI99*(1+IF(K99=3,INDEX(in_sup_vat_rate,1,C99),0))+AO99*Y99/AB99</f>
        <v>1680.13900573759</v>
      </c>
      <c r="AW99" s="88" t="n">
        <f aca="false">AJ99*(1+IF(K99=3,INDEX(in_sup_vat_rate,1,C99),0))+AO99*Z99/AB99</f>
        <v>1586.74215724171</v>
      </c>
      <c r="AX99" s="88" t="n">
        <f aca="false">AK99*(1+IF(K99=3,INDEX(in_sup_vat_rate,1,C99),0))+AO99*AA99/AB99</f>
        <v>1385.88871961618</v>
      </c>
      <c r="AY99" s="88" t="n">
        <f aca="false">AV99+AW99+AX99</f>
        <v>4652.76988259548</v>
      </c>
      <c r="AZ99" s="88" t="n">
        <f aca="false">MAX(INDEX(in_oce_ins_min,1,C99),INDEX(in_oce_ins_rate,1,C99)*(1+INDEX(in_oce_ins_uplift,1,C99))*(AL99+AO99+AR99+AU99))*(1-INDEX(in_oce_ins_in_other,1,C99))</f>
        <v>75</v>
      </c>
      <c r="BA99" s="87" t="n">
        <f aca="false">INDEX(in_cus_mfn,1,C99)+L99</f>
        <v>0.125</v>
      </c>
      <c r="BB99" s="88" t="n">
        <f aca="false">AY99*BA99</f>
        <v>581.596235324435</v>
      </c>
      <c r="BC99" s="88" t="n">
        <f aca="false">MIN(MAX(AY99*INDEX(in_cus_mpf_rate,1,C99),INDEX(in_cus_mpf_min,1,C99)),INDEX(in_cus_mpf_max,1,C99))</f>
        <v>34.58</v>
      </c>
      <c r="BD99" s="88" t="n">
        <f aca="false">AY99*INDEX(in_cus_hmf,1,C99)</f>
        <v>5.81596235324435</v>
      </c>
      <c r="BE99" s="88" t="n">
        <f aca="false">MAX(INDEX(in_cus_stb_min,1,C99),INDEX(in_cus_stb_rate,1,C99)/1000*(AY99+BB99+BC99+BD99))</f>
        <v>75</v>
      </c>
      <c r="BF99" s="88" t="n">
        <f aca="false">INDEX(in_cus_broker,1,C99)+INDEX(in_cus_isf,1,C99)+INDEX(in_cus_do_fee,1,C99)+BE99+INDEX(in_cus_isf_bond,1,C99)</f>
        <v>510</v>
      </c>
      <c r="BG99" s="88" t="n">
        <f aca="false">IF(H99=1,INDEX(in_cus_cfc,1,C99)*INDEX(ct_teu,F99)*G99*(1-INDEX(in_cus_cfc_in_freight,1,C99)),0)</f>
        <v>0</v>
      </c>
      <c r="BH99" s="88" t="n">
        <f aca="false">IF(F99=4,1,G99)*(INDEX(in_cus_exam,1,C99)+INDEX(in_cus_exam_dray,1,C99))</f>
        <v>0</v>
      </c>
      <c r="BI99" s="88" t="n">
        <f aca="false">IF(F99=4,1,G99)*INDEX(in_cus_dem_days,1,C99)*INDEX(in_cus_dem_rate,1,C99)</f>
        <v>0</v>
      </c>
      <c r="BJ99" s="88" t="n">
        <f aca="false">BG99+BH99+BI99</f>
        <v>0</v>
      </c>
      <c r="BK99" s="88" t="n">
        <f aca="false">IF(F99=4,(INDEX(in_dra_lcl_cfs_d,1,C99)+INDEX(in_dra_lcl_deliv,1,C99))*P99,G99*(INDEX(tbl_dest_line,E99,C99)*P99*(1+INDEX(in_dra_fsc,1,C99))+INDEX(tbl_dest_tolls,E99,C99)+INDEX(in_dra_chassis_days,1,C99)*INDEX(tbl_dest_chassis,E99,C99)*(1-INDEX(in_dra_chassis_in_dray,1,C99))+INDEX(in_dra_wait_hours,1,C99)*INDEX(in_dra_wait_rate,1,C99)+INDEX(in_dra_split,1,C99)+INDEX(in_dra_prepull,1,C99)+INDEX(in_dra_dryrun,1,C99)))</f>
        <v>1970</v>
      </c>
      <c r="BL99" s="88" t="n">
        <f aca="false">IF(F99=4,0,G99*IF(F99=1,INDEX(in_dra_unload_20,1,C99),INDEX(in_dra_unload_40,1,C99))*Q99*(1-INDEX(in_dra_unload_in_dray,1,C99)))</f>
        <v>300</v>
      </c>
      <c r="BM99" s="88" t="n">
        <f aca="false">AL99+AN99+AO99+AR99+AU99+AZ99+BB99+BC99+BD99+BF99+BJ99+BK99+BL99</f>
        <v>12501.3597367304</v>
      </c>
      <c r="BN99" s="88" t="n">
        <f aca="false">AP99+AU99+BJ99+BK99+BL99</f>
        <v>5823.95859387435</v>
      </c>
      <c r="BO99" s="88" t="n">
        <f aca="false">AQ99+BF99</f>
        <v>1327.6390625829</v>
      </c>
      <c r="BP99" s="88" t="n">
        <f aca="false">AI99*(1+IF(K99=3,INDEX(in_sup_vat_rate,1,C99),0))+AO99*Y99/AB99+AV99*BA99+(BC99+BD99)*AV99/AY99+AZ99*AI99/AL99+BN99*AC99/AF99+BO99*Y99/AB99</f>
        <v>4301.2464927252</v>
      </c>
      <c r="BQ99" s="88" t="n">
        <f aca="false">AJ99*(1+IF(K99=3,INDEX(in_sup_vat_rate,1,C99),0))+AO99*Z99/AB99+AW99*BA99+(BC99+BD99)*AW99/AY99+AZ99*AJ99/AL99+BN99*AD99/AF99+BO99*Z99/AB99</f>
        <v>4624.20041842615</v>
      </c>
      <c r="BR99" s="88" t="n">
        <f aca="false">AK99*(1+IF(K99=3,INDEX(in_sup_vat_rate,1,C99),0))+AO99*AA99/AB99+AX99*BA99+(BC99+BD99)*AX99/AY99+AZ99*AK99/AL99+BN99*AE99/AF99+BO99*AA99/AB99</f>
        <v>3575.91282557906</v>
      </c>
      <c r="BS99" s="89" t="n">
        <f aca="false">BP99+BQ99+BR99-BM99</f>
        <v>0</v>
      </c>
      <c r="BT99" s="85" t="n">
        <f aca="false">Y99*(1-R99)</f>
        <v>10441</v>
      </c>
      <c r="BU99" s="85" t="n">
        <f aca="false">Z99*(1-R99)</f>
        <v>10441</v>
      </c>
      <c r="BV99" s="85" t="n">
        <f aca="false">AA99*(1-R99)</f>
        <v>10441</v>
      </c>
      <c r="BW99" s="85" t="n">
        <f aca="false">BT99+BU99+BV99</f>
        <v>31323</v>
      </c>
      <c r="BX99" s="90" t="n">
        <f aca="false">IF(BT99&gt;0,BP99/BT99,0)</f>
        <v>0.411957330976458</v>
      </c>
      <c r="BY99" s="90" t="n">
        <f aca="false">IF(BU99&gt;0,BQ99/BU99,0)</f>
        <v>0.442888652277191</v>
      </c>
      <c r="BZ99" s="90" t="n">
        <f aca="false">IF(BV99&gt;0,BR99/BV99,0)</f>
        <v>0.342487580268083</v>
      </c>
      <c r="CA99" s="90" t="n">
        <f aca="false">INDEX(in_mkt_listing_3464,1,C99)*(1-IF(sku_flute_3464="B",T99,0))*(1-S99)*N99</f>
        <v>0.234</v>
      </c>
      <c r="CB99" s="90" t="n">
        <f aca="false">INDEX(in_mkt_listing_3463,1,C99)*(1-IF(sku_flute_3463="B",T99,0))*(1-S99)*N99</f>
        <v>0.27</v>
      </c>
      <c r="CC99" s="90" t="n">
        <f aca="false">INDEX(in_mkt_listing_3460,1,C99)*(1-IF(sku_flute_3460="B",T99,0))*(1-S99)*N99</f>
        <v>0.225</v>
      </c>
      <c r="CD99" s="88" t="n">
        <f aca="false">BT99*CA99+BU99*CB99+BV99*CC99</f>
        <v>7611.489</v>
      </c>
      <c r="CE99" s="88" t="n">
        <f aca="false">CD99-BM99</f>
        <v>-4889.87073673041</v>
      </c>
      <c r="CF99" s="87" t="n">
        <f aca="false">IF(CD99&gt;0,CE99/CD99,0)</f>
        <v>-0.642432871771924</v>
      </c>
      <c r="CG99" s="87" t="n">
        <f aca="false">W99+INDEX(in_sel_processing,1,C99)+INDEX(in_sel_bad_debt,1,C99)</f>
        <v>0.058</v>
      </c>
      <c r="CH99" s="88" t="n">
        <f aca="false">CD99*CG99</f>
        <v>441.466362</v>
      </c>
      <c r="CI99" s="88" t="n">
        <f aca="false">INDEX(in_sel_testing,1,C99)*X99+INDEX(in_sel_admin,1,C99)</f>
        <v>3000</v>
      </c>
      <c r="CJ99" s="79" t="n">
        <f aca="false">INDEX(in_sup_lead_days,1,C99)</f>
        <v>21</v>
      </c>
      <c r="CK99" s="79" t="n">
        <f aca="false">CJ99+INDEX(in_oce_transit,1,C99)+IF(F99=4,INDEX(in_oce_lcl_extra_days,1,C99),0)</f>
        <v>51</v>
      </c>
      <c r="CL99" s="79" t="n">
        <f aca="false">CK99+2+INDEX(in_cus_dem_days,1,C99)</f>
        <v>53</v>
      </c>
      <c r="CM99" s="79" t="n">
        <f aca="false">CL99+U99</f>
        <v>98</v>
      </c>
      <c r="CN99" s="79" t="n">
        <f aca="false">CJ99+INDEX(in_sup_vat_lag,1,C99)</f>
        <v>81</v>
      </c>
      <c r="CO99" s="91" t="n">
        <f aca="false">INDEX(in_sup_advance,1,C99)</f>
        <v>0.5</v>
      </c>
      <c r="CP99" s="88" t="n">
        <f aca="false">CO99*(AL99+AM99)+AO99+INDEX(in_sel_testing,1,C99)*X99</f>
        <v>5152.07883307942</v>
      </c>
      <c r="CQ99" s="88" t="n">
        <f aca="false">(1-CO99)*(AL99+AM99)+AR99+AU99+AZ99</f>
        <v>7098.67648953667</v>
      </c>
      <c r="CR99" s="88" t="n">
        <f aca="false">BB99+BC99+BD99+BF99+BJ99</f>
        <v>1131.99219767768</v>
      </c>
      <c r="CS99" s="88" t="n">
        <f aca="false">BK99+BL99</f>
        <v>2270</v>
      </c>
      <c r="CT99" s="88" t="n">
        <f aca="false">IF(K99=2,AM99,0)</f>
        <v>651.387783563367</v>
      </c>
      <c r="CU99" s="85" t="n">
        <f aca="false">IF(K99=2,CO99*AM99*(CN99-0)+(1-CO99)*AM99*(CN99-CJ99),0)</f>
        <v>45922.8387412174</v>
      </c>
      <c r="CV99" s="85" t="n">
        <f aca="false">(CP99-CO99*CT99)*(CM99-0)+(CQ99-(1-CO99)*CT99)*(CM99-CJ99)+CR99*(CM99-CK99)+CS99*(CM99-CL99)</f>
        <v>1149859.01756516</v>
      </c>
      <c r="CW99" s="88" t="n">
        <f aca="false">INDEX(in_sel_fin_rate,1,C99)/365*(CU99+CV99)</f>
        <v>327.6114674812</v>
      </c>
      <c r="CX99" s="85" t="n">
        <f aca="false">CP99-IF(CN99&lt;=0,CT99,0)</f>
        <v>5152.07883307942</v>
      </c>
      <c r="CY99" s="85" t="n">
        <f aca="false">CP99+CQ99-IF(CN99&lt;=CJ99,CT99,0)</f>
        <v>12250.7553226161</v>
      </c>
      <c r="CZ99" s="85" t="n">
        <f aca="false">CP99+CQ99+CR99-IF(CN99&lt;=CK99,CT99,0)</f>
        <v>13382.7475202938</v>
      </c>
      <c r="DA99" s="85" t="n">
        <f aca="false">CP99+CQ99+CR99+CS99-IF(CN99&lt;=CL99,CT99,0)</f>
        <v>15652.7475202938</v>
      </c>
      <c r="DB99" s="88" t="n">
        <f aca="false">MAX(CX99,CY99,CZ99,DA99)</f>
        <v>15652.7475202938</v>
      </c>
      <c r="DC99" s="88" t="n">
        <f aca="false">CP99+CQ99+CR99+CS99</f>
        <v>15652.7475202938</v>
      </c>
      <c r="DD99" s="88" t="n">
        <f aca="false">CE99-CH99-CI99-CW99</f>
        <v>-8658.94856621161</v>
      </c>
      <c r="DE99" s="87" t="n">
        <f aca="false">IF(CD99&gt;0,DD99/CD99,0)</f>
        <v>-1.1376155921938</v>
      </c>
      <c r="DF99" s="86" t="n">
        <f aca="false">IF(CD99&gt;0,(BM99+CI99+CW99)/(CD99*(1-CG99)),0)</f>
        <v>2.20765986432463</v>
      </c>
      <c r="DG99" s="90" t="n">
        <f aca="false">IF(BW99&gt;0,BM99/BW99,0)</f>
        <v>0.399111187840578</v>
      </c>
      <c r="DH99" s="90" t="n">
        <f aca="false">IF(BW99&gt;0,CD99/BW99,0)</f>
        <v>0.243</v>
      </c>
      <c r="DI99" s="90" t="n">
        <f aca="false">IF(AI99&gt;0,(AI99*IF(K99=3,INDEX(in_sup_vat_rate,1,C99),0)+AV99*BA99+(BC99+BD99)*AV99/AY99+AZ99*AI99/AL99)/AI99,0)</f>
        <v>0.149801562352117</v>
      </c>
      <c r="DJ99" s="90" t="n">
        <f aca="false">IF(AJ99&gt;0,(AJ99*IF(K99=3,INDEX(in_sup_vat_rate,1,C99),0)+AW99*BA99+(BC99+BD99)*AW99/AY99+AZ99*AJ99/AL99)/AJ99,0)</f>
        <v>0.149801562352117</v>
      </c>
      <c r="DK99" s="90" t="n">
        <f aca="false">IF(AK99&gt;0,(AK99*IF(K99=3,INDEX(in_sup_vat_rate,1,C99),0)+AX99*BA99+(BC99+BD99)*AX99/AY99+AZ99*AK99/AL99)/AK99,0)</f>
        <v>0.149801562352117</v>
      </c>
      <c r="DL99" s="90" t="n">
        <f aca="false">IF(Y99&gt;0,(BP99-AI99*(1+DI99))/Y99,0)</f>
        <v>0.223530192354659</v>
      </c>
      <c r="DM99" s="90" t="n">
        <f aca="false">IF(Z99&gt;0,(BQ99-AJ99*(1+DJ99))/Z99,0)</f>
        <v>0.264128472356572</v>
      </c>
      <c r="DN99" s="90" t="n">
        <f aca="false">IF(AA99&gt;0,(BR99-AK99*(1+DK99))/AA99,0)</f>
        <v>0.187020359482849</v>
      </c>
      <c r="DO99" s="86" t="n">
        <f aca="false">IF(Y99&gt;0,(CA99*(1-thr_gm_go)*(1-R99)-DL99)/(1+DI99)*I99/((1+AH99)*J99),"")</f>
        <v>-2.32536947593734</v>
      </c>
      <c r="DP99" s="86" t="n">
        <f aca="false">IF(Z99&gt;0,(CB99*(1-thr_gm_go)*(1-R99)-DM99)/(1+DJ99)*I99/((1+AH99)*J99),"")</f>
        <v>-2.96810673221062</v>
      </c>
      <c r="DQ99" s="86" t="n">
        <f aca="false">IF(AA99&gt;0,(CC99*(1-thr_gm_go)*(1-R99)-DN99)/(1+DK99)*I99/((1+AH99)*J99),"")</f>
        <v>-0.954774124579996</v>
      </c>
      <c r="DR99" s="92" t="n">
        <f aca="false">IF(AND(AY99*INDEX(in_cus_mpf_rate,1,C99)&gt;INDEX(in_cus_mpf_min,1,C99),AY99*INDEX(in_cus_mpf_rate,1,C99)&lt;INDEX(in_cus_mpf_max,1,C99)),INDEX(in_cus_mpf_rate,1,C99),0)</f>
        <v>0</v>
      </c>
      <c r="DS99" s="88" t="n">
        <f aca="false">IF(AZ99&gt;INDEX(in_oce_ins_min,1,C99),INDEX(in_oce_ins_rate,1,C99)*(1+INDEX(in_oce_ins_uplift,1,C99))*AL99,0)</f>
        <v>0</v>
      </c>
      <c r="DT99" s="88" t="n">
        <f aca="false">(AL99+AN99)*(1+BA99+INDEX(in_cus_hmf,1,C99)+DR99)+DS99</f>
        <v>5240.18208027316</v>
      </c>
      <c r="DU99" s="86" t="n">
        <f aca="false">IF(DT99&gt;0,(CD99*(1-thr_gm_go)-(BM99-DT99))/DT99,0)</f>
        <v>-0.296279954145471</v>
      </c>
      <c r="DV99" s="86" t="n">
        <f aca="false">IF(DT99&gt;0,(CD99-(BM99-DT99))/DT99,0)</f>
        <v>0.066850986888702</v>
      </c>
      <c r="DW99" s="87" t="n">
        <f aca="false">(1+AH99)*J99*DU99-1</f>
        <v>-1.29627995414547</v>
      </c>
      <c r="DX99" s="87" t="n">
        <f aca="false">(1+AH99)*J99*DV99-1</f>
        <v>-0.933149013111298</v>
      </c>
      <c r="DY99" s="85" t="n">
        <f aca="false">IF(G99&gt;0,(CD99*(1-thr_gm_go)-(BM99-AT99))/G99,"")</f>
        <v>-3692.74298673041</v>
      </c>
      <c r="DZ99" s="90" t="n">
        <f aca="false">IF(AB99&gt;0,(AL99+AN99+BB99+BC99+BD99)/AB99,0)</f>
        <v>0.165873021392238</v>
      </c>
      <c r="EA99" s="88" t="n">
        <f aca="false">BM99-DZ99*AB99</f>
        <v>7226.59765645725</v>
      </c>
      <c r="EB99" s="90" t="n">
        <f aca="false">IF(AB99&gt;0,CD99/AB99,0)</f>
        <v>0.239355</v>
      </c>
      <c r="EC99" s="85" t="n">
        <f aca="false">IF(EB99*(1-thr_gm_go)-DZ99&gt;0,EA99/(EB99*(1-thr_gm_go)-DZ99),"n/a")</f>
        <v>529683.835418963</v>
      </c>
      <c r="ED99" s="85" t="n">
        <f aca="false">IF(EB99-DZ99&gt;0,EA99/(EB99-DZ99),"n/a")</f>
        <v>98345.1697052407</v>
      </c>
      <c r="EE99" s="93" t="b">
        <f aca="false">INDEX(cfg_fits,D99,C99)</f>
        <v>1</v>
      </c>
      <c r="EF99" s="87" t="n">
        <f aca="false">IF(F99=4,"",INDEX(cfg_lenutil,D99,C99))</f>
        <v>0.972413793103448</v>
      </c>
      <c r="EG99" s="31" t="str">
        <f aca="false">IF(O99&gt;1,"Check fit (units scaled up)","")</f>
        <v/>
      </c>
    </row>
    <row r="100" customFormat="false" ht="15" hidden="false" customHeight="false" outlineLevel="0" collapsed="false">
      <c r="A100" s="78" t="n">
        <v>2101</v>
      </c>
      <c r="B100" s="9" t="s">
        <v>3248</v>
      </c>
      <c r="C100" s="78" t="n">
        <v>2</v>
      </c>
      <c r="D100" s="78" t="n">
        <v>10</v>
      </c>
      <c r="E100" s="78" t="n">
        <v>1</v>
      </c>
      <c r="F100" s="79" t="n">
        <f aca="false">INDEX(cfg_ct,D100)</f>
        <v>4</v>
      </c>
      <c r="G100" s="79" t="n">
        <f aca="false">INDEX(cfg_n,D100)</f>
        <v>0</v>
      </c>
      <c r="H100" s="79" t="n">
        <f aca="false">INDEX(dest_port,E100)</f>
        <v>1</v>
      </c>
      <c r="I100" s="80" t="n">
        <f aca="false">INDEX(in_fx_cbe,1,C100)*(1-INDEX(in_fx_spread,1,C100))</f>
        <v>52.7748</v>
      </c>
      <c r="J100" s="81" t="n">
        <f aca="false">1</f>
        <v>1</v>
      </c>
      <c r="K100" s="82" t="n">
        <f aca="false">INDEX(in_sup_vat_mode,1,C100)</f>
        <v>2</v>
      </c>
      <c r="L100" s="83" t="n">
        <f aca="false">INDEX(in_cus_s301,1,C100)</f>
        <v>0.125</v>
      </c>
      <c r="M100" s="84" t="n">
        <f aca="false">1</f>
        <v>1</v>
      </c>
      <c r="N100" s="81" t="n">
        <f aca="false">1</f>
        <v>1</v>
      </c>
      <c r="O100" s="81" t="n">
        <f aca="false">1</f>
        <v>1</v>
      </c>
      <c r="P100" s="81" t="n">
        <f aca="false">1</f>
        <v>1</v>
      </c>
      <c r="Q100" s="81" t="n">
        <f aca="false">1</f>
        <v>1</v>
      </c>
      <c r="R100" s="83" t="n">
        <f aca="false">INDEX(in_sel_damage,1,C100)</f>
        <v>0.015</v>
      </c>
      <c r="S100" s="83" t="n">
        <f aca="false">INDEX(in_mkt_dist_margin,1,C100)</f>
        <v>0.25</v>
      </c>
      <c r="T100" s="83" t="n">
        <f aca="false">INDEX(in_mkt_eflute_disc,1,C100)</f>
        <v>0.2</v>
      </c>
      <c r="U100" s="82" t="n">
        <f aca="false">INDEX(in_sel_credit_days,1,C100)</f>
        <v>45</v>
      </c>
      <c r="V100" s="81" t="n">
        <f aca="false">1</f>
        <v>1</v>
      </c>
      <c r="W100" s="83" t="n">
        <f aca="false">INDEX(in_sel_commission,1,C100)</f>
        <v>0.05</v>
      </c>
      <c r="X100" s="82" t="n">
        <f aca="false">1</f>
        <v>1</v>
      </c>
      <c r="Y100" s="85" t="n">
        <f aca="false">INDEX(cfg_u_3464,D100,C100)*O100</f>
        <v>3350</v>
      </c>
      <c r="Z100" s="85" t="n">
        <f aca="false">INDEX(cfg_u_3463,D100,C100)*O100</f>
        <v>3350</v>
      </c>
      <c r="AA100" s="85" t="n">
        <f aca="false">INDEX(cfg_u_3460,D100,C100)*O100</f>
        <v>3300</v>
      </c>
      <c r="AB100" s="85" t="n">
        <f aca="false">Y100+Z100+AA100</f>
        <v>10000</v>
      </c>
      <c r="AC100" s="86" t="n">
        <f aca="false">Y100*INDEX(lg_vpu_3464,C100)</f>
        <v>2.3831632</v>
      </c>
      <c r="AD100" s="86" t="n">
        <f aca="false">Z100*INDEX(lg_vpu_3463,C100)</f>
        <v>2.9154112</v>
      </c>
      <c r="AE100" s="86" t="n">
        <f aca="false">AA100*INDEX(lg_vpu_3460,C100)</f>
        <v>1.8760896</v>
      </c>
      <c r="AF100" s="86" t="n">
        <f aca="false">AC100+AD100+AE100</f>
        <v>7.174664</v>
      </c>
      <c r="AG100" s="85" t="n">
        <f aca="false">Y100*INDEX(lg_kpu_3464,C100)+Z100*INDEX(lg_kpu_3463,C100)+AA100*INDEX(lg_kpu_3460,C100)</f>
        <v>1725.464306</v>
      </c>
      <c r="AH100" s="87" t="n">
        <f aca="false">INDEX(in_sup_requote,1,C100)</f>
        <v>0</v>
      </c>
      <c r="AI100" s="88" t="n">
        <f aca="false">Y100*q_price_3464*(1+AH100)*J100/I100</f>
        <v>530.987327284992</v>
      </c>
      <c r="AJ100" s="88" t="n">
        <f aca="false">Z100*q_price_3463*(1+AH100)*J100/I100</f>
        <v>501.470398750919</v>
      </c>
      <c r="AK100" s="88" t="n">
        <f aca="false">AA100*q_price_3460*(1+AH100)*J100/I100</f>
        <v>431.45592214466</v>
      </c>
      <c r="AL100" s="88" t="n">
        <f aca="false">AI100+AJ100+AK100</f>
        <v>1463.91364818057</v>
      </c>
      <c r="AM100" s="88" t="n">
        <f aca="false">IF(OR(K100=2,K100=3),AL100*INDEX(in_sup_vat_rate,1,C100),0)</f>
        <v>204.94791074528</v>
      </c>
      <c r="AN100" s="88" t="n">
        <f aca="false">IF(K100=3,AM100,0)</f>
        <v>0</v>
      </c>
      <c r="AO100" s="88" t="n">
        <f aca="false">INDEX(in_sup_tooling_egp,1,C100)/I100</f>
        <v>0</v>
      </c>
      <c r="AP100" s="88" t="n">
        <f aca="false">IF(F100=4,INDEX(in_ori_lcl_truck,1,C100)*V100/I100+INDEX(in_ori_lcl_cfs_o,1,C100),G100*(IF(F100=1,INDEX(in_ori_truck_20,1,C100),INDEX(in_ori_truck_40,1,C100))*V100/I100+INDEX(in_ori_terminal,1,C100)+IF(F100=1,INDEX(in_ori_othc_20,1,C100),INDEX(in_ori_othc_40,1,C100))*(1-INDEX(in_ori_othc_in_freight,1,C100))+INDEX(in_ori_seal,1,C100)+INDEX(in_ori_inspection,1,C100)+INDEX(in_ori_dd_days,1,C100)*IF(F100=1,INDEX(in_ori_dd_20,1,C100),INDEX(in_ori_dd_40,1,C100))+INDEX(in_ori_loading_egp,1,C100)/I100))</f>
        <v>282.639062582899</v>
      </c>
      <c r="AQ100" s="88" t="n">
        <f aca="false">(INDEX(in_ori_clearance,1,C100)+INDEX(in_ori_coo,1,C100))/I100+INDEX(in_ori_bl_fee,1,C100)+INDEX(in_ori_fwd_fee,1,C100)+INDEX(in_ori_qc,1,C100)+INDEX(in_ori_wires,1,C100)*INDEX(in_ori_wire_fee,1,C100)</f>
        <v>817.639062582899</v>
      </c>
      <c r="AR100" s="88" t="n">
        <f aca="false">AP100+AQ100</f>
        <v>1100.2781251658</v>
      </c>
      <c r="AS100" s="85" t="n">
        <f aca="false">INDEX(tbl_port_diff,H100,C100)</f>
        <v>0</v>
      </c>
      <c r="AT100" s="88" t="n">
        <f aca="false">IF(F100=4,MAX(AF100*INDEX(in_oce_lcl_factor,1,C100),AG100/1000,1)*INDEX(in_oce_lcl_rate,1,C100)*M100,G100*(INDEX(tbl_ocean_rate,MIN(F100,3),C100)+AS100)*M100)</f>
        <v>1341.662168</v>
      </c>
      <c r="AU100" s="88" t="n">
        <f aca="false">AT100+INDEX(in_oce_ams,1,C100)</f>
        <v>1376.662168</v>
      </c>
      <c r="AV100" s="88" t="n">
        <f aca="false">AI100*(1+IF(K100=3,INDEX(in_sup_vat_rate,1,C100),0))+AO100*Y100/AB100</f>
        <v>530.987327284992</v>
      </c>
      <c r="AW100" s="88" t="n">
        <f aca="false">AJ100*(1+IF(K100=3,INDEX(in_sup_vat_rate,1,C100),0))+AO100*Z100/AB100</f>
        <v>501.470398750919</v>
      </c>
      <c r="AX100" s="88" t="n">
        <f aca="false">AK100*(1+IF(K100=3,INDEX(in_sup_vat_rate,1,C100),0))+AO100*AA100/AB100</f>
        <v>431.45592214466</v>
      </c>
      <c r="AY100" s="88" t="n">
        <f aca="false">AV100+AW100+AX100</f>
        <v>1463.91364818057</v>
      </c>
      <c r="AZ100" s="88" t="n">
        <f aca="false">MAX(INDEX(in_oce_ins_min,1,C100),INDEX(in_oce_ins_rate,1,C100)*(1+INDEX(in_oce_ins_uplift,1,C100))*(AL100+AO100+AR100+AU100))*(1-INDEX(in_oce_ins_in_other,1,C100))</f>
        <v>75</v>
      </c>
      <c r="BA100" s="87" t="n">
        <f aca="false">INDEX(in_cus_mfn,1,C100)+L100</f>
        <v>0.125</v>
      </c>
      <c r="BB100" s="88" t="n">
        <f aca="false">AY100*BA100</f>
        <v>182.989206022571</v>
      </c>
      <c r="BC100" s="88" t="n">
        <f aca="false">MIN(MAX(AY100*INDEX(in_cus_mpf_rate,1,C100),INDEX(in_cus_mpf_min,1,C100)),INDEX(in_cus_mpf_max,1,C100))</f>
        <v>34.58</v>
      </c>
      <c r="BD100" s="88" t="n">
        <f aca="false">AY100*INDEX(in_cus_hmf,1,C100)</f>
        <v>1.82989206022571</v>
      </c>
      <c r="BE100" s="88" t="n">
        <f aca="false">MAX(INDEX(in_cus_stb_min,1,C100),INDEX(in_cus_stb_rate,1,C100)/1000*(AY100+BB100+BC100+BD100))</f>
        <v>75</v>
      </c>
      <c r="BF100" s="88" t="n">
        <f aca="false">INDEX(in_cus_broker,1,C100)+INDEX(in_cus_isf,1,C100)+INDEX(in_cus_do_fee,1,C100)+BE100+INDEX(in_cus_isf_bond,1,C100)</f>
        <v>510</v>
      </c>
      <c r="BG100" s="88" t="n">
        <f aca="false">IF(H100=1,INDEX(in_cus_cfc,1,C100)*INDEX(ct_teu,F100)*G100*(1-INDEX(in_cus_cfc_in_freight,1,C100)),0)</f>
        <v>0</v>
      </c>
      <c r="BH100" s="88" t="n">
        <f aca="false">IF(F100=4,1,G100)*(INDEX(in_cus_exam,1,C100)+INDEX(in_cus_exam_dray,1,C100))</f>
        <v>0</v>
      </c>
      <c r="BI100" s="88" t="n">
        <f aca="false">IF(F100=4,1,G100)*INDEX(in_cus_dem_days,1,C100)*INDEX(in_cus_dem_rate,1,C100)</f>
        <v>0</v>
      </c>
      <c r="BJ100" s="88" t="n">
        <f aca="false">BG100+BH100+BI100</f>
        <v>0</v>
      </c>
      <c r="BK100" s="88" t="n">
        <f aca="false">IF(F100=4,(INDEX(in_dra_lcl_cfs_d,1,C100)+INDEX(in_dra_lcl_deliv,1,C100))*P100,G100*(INDEX(tbl_dest_line,E100,C100)*P100*(1+INDEX(in_dra_fsc,1,C100))+INDEX(tbl_dest_tolls,E100,C100)+INDEX(in_dra_chassis_days,1,C100)*INDEX(tbl_dest_chassis,E100,C100)*(1-INDEX(in_dra_chassis_in_dray,1,C100))+INDEX(in_dra_wait_hours,1,C100)*INDEX(in_dra_wait_rate,1,C100)+INDEX(in_dra_split,1,C100)+INDEX(in_dra_prepull,1,C100)+INDEX(in_dra_dryrun,1,C100)))</f>
        <v>700</v>
      </c>
      <c r="BL100" s="88" t="n">
        <f aca="false">IF(F100=4,0,G100*IF(F100=1,INDEX(in_dra_unload_20,1,C100),INDEX(in_dra_unload_40,1,C100))*Q100*(1-INDEX(in_dra_unload_in_dray,1,C100)))</f>
        <v>0</v>
      </c>
      <c r="BM100" s="88" t="n">
        <f aca="false">AL100+AN100+AO100+AR100+AU100+AZ100+BB100+BC100+BD100+BF100+BJ100+BK100+BL100</f>
        <v>5445.25303942917</v>
      </c>
      <c r="BN100" s="88" t="n">
        <f aca="false">AP100+AU100+BJ100+BK100+BL100</f>
        <v>2359.3012305829</v>
      </c>
      <c r="BO100" s="88" t="n">
        <f aca="false">AQ100+BF100</f>
        <v>1327.6390625829</v>
      </c>
      <c r="BP100" s="88" t="n">
        <f aca="false">AI100*(1+IF(K100=3,INDEX(in_sup_vat_rate,1,C100),0))+AO100*Y100/AB100+AV100*BA100+(BC100+BD100)*AV100/AY100+AZ100*AI100/AL100+BN100*AC100/AF100+BO100*Y100/AB100</f>
        <v>1866.20447558118</v>
      </c>
      <c r="BQ100" s="88" t="n">
        <f aca="false">AJ100*(1+IF(K100=3,INDEX(in_sup_vat_rate,1,C100),0))+AO100*Z100/AB100+AW100*BA100+(BC100+BD100)*AW100/AY100+AZ100*AJ100/AL100+BN100*AD100/AF100+BO100*Z100/AB100</f>
        <v>2005.77486930546</v>
      </c>
      <c r="BR100" s="88" t="n">
        <f aca="false">AK100*(1+IF(K100=3,INDEX(in_sup_vat_rate,1,C100),0))+AO100*AA100/AB100+AX100*BA100+(BC100+BD100)*AX100/AY100+AZ100*AK100/AL100+BN100*AE100/AF100+BO100*AA100/AB100</f>
        <v>1573.27369454253</v>
      </c>
      <c r="BS100" s="89" t="n">
        <f aca="false">BP100+BQ100+BR100-BM100</f>
        <v>0</v>
      </c>
      <c r="BT100" s="85" t="n">
        <f aca="false">Y100*(1-R100)</f>
        <v>3299.75</v>
      </c>
      <c r="BU100" s="85" t="n">
        <f aca="false">Z100*(1-R100)</f>
        <v>3299.75</v>
      </c>
      <c r="BV100" s="85" t="n">
        <f aca="false">AA100*(1-R100)</f>
        <v>3250.5</v>
      </c>
      <c r="BW100" s="85" t="n">
        <f aca="false">BT100+BU100+BV100</f>
        <v>9850</v>
      </c>
      <c r="BX100" s="90" t="n">
        <f aca="false">IF(BT100&gt;0,BP100/BT100,0)</f>
        <v>0.565559353157415</v>
      </c>
      <c r="BY100" s="90" t="n">
        <f aca="false">IF(BU100&gt;0,BQ100/BU100,0)</f>
        <v>0.60785661619985</v>
      </c>
      <c r="BZ100" s="90" t="n">
        <f aca="false">IF(BV100&gt;0,BR100/BV100,0)</f>
        <v>0.484009750666831</v>
      </c>
      <c r="CA100" s="90" t="n">
        <f aca="false">INDEX(in_mkt_listing_3464,1,C100)*(1-IF(sku_flute_3464="B",T100,0))*(1-S100)*N100</f>
        <v>0.234</v>
      </c>
      <c r="CB100" s="90" t="n">
        <f aca="false">INDEX(in_mkt_listing_3463,1,C100)*(1-IF(sku_flute_3463="B",T100,0))*(1-S100)*N100</f>
        <v>0.27</v>
      </c>
      <c r="CC100" s="90" t="n">
        <f aca="false">INDEX(in_mkt_listing_3460,1,C100)*(1-IF(sku_flute_3460="B",T100,0))*(1-S100)*N100</f>
        <v>0.225</v>
      </c>
      <c r="CD100" s="88" t="n">
        <f aca="false">BT100*CA100+BU100*CB100+BV100*CC100</f>
        <v>2394.4365</v>
      </c>
      <c r="CE100" s="88" t="n">
        <f aca="false">CD100-BM100</f>
        <v>-3050.81653942917</v>
      </c>
      <c r="CF100" s="87" t="n">
        <f aca="false">IF(CD100&gt;0,CE100/CD100,0)</f>
        <v>-1.27412714408136</v>
      </c>
      <c r="CG100" s="87" t="n">
        <f aca="false">W100+INDEX(in_sel_processing,1,C100)+INDEX(in_sel_bad_debt,1,C100)</f>
        <v>0.058</v>
      </c>
      <c r="CH100" s="88" t="n">
        <f aca="false">CD100*CG100</f>
        <v>138.877317</v>
      </c>
      <c r="CI100" s="88" t="n">
        <f aca="false">INDEX(in_sel_testing,1,C100)*X100+INDEX(in_sel_admin,1,C100)</f>
        <v>3000</v>
      </c>
      <c r="CJ100" s="79" t="n">
        <f aca="false">INDEX(in_sup_lead_days,1,C100)</f>
        <v>21</v>
      </c>
      <c r="CK100" s="79" t="n">
        <f aca="false">CJ100+INDEX(in_oce_transit,1,C100)+IF(F100=4,INDEX(in_oce_lcl_extra_days,1,C100),0)</f>
        <v>58</v>
      </c>
      <c r="CL100" s="79" t="n">
        <f aca="false">CK100+2+INDEX(in_cus_dem_days,1,C100)</f>
        <v>60</v>
      </c>
      <c r="CM100" s="79" t="n">
        <f aca="false">CL100+U100</f>
        <v>105</v>
      </c>
      <c r="CN100" s="79" t="n">
        <f aca="false">CJ100+INDEX(in_sup_vat_lag,1,C100)</f>
        <v>81</v>
      </c>
      <c r="CO100" s="91" t="n">
        <f aca="false">INDEX(in_sup_advance,1,C100)</f>
        <v>0.5</v>
      </c>
      <c r="CP100" s="88" t="n">
        <f aca="false">CO100*(AL100+AM100)+AO100+INDEX(in_sel_testing,1,C100)*X100</f>
        <v>3334.43077946293</v>
      </c>
      <c r="CQ100" s="88" t="n">
        <f aca="false">(1-CO100)*(AL100+AM100)+AR100+AU100+AZ100</f>
        <v>3386.37107262872</v>
      </c>
      <c r="CR100" s="88" t="n">
        <f aca="false">BB100+BC100+BD100+BF100+BJ100</f>
        <v>729.399098082797</v>
      </c>
      <c r="CS100" s="88" t="n">
        <f aca="false">BK100+BL100</f>
        <v>700</v>
      </c>
      <c r="CT100" s="88" t="n">
        <f aca="false">IF(K100=2,AM100,0)</f>
        <v>204.94791074528</v>
      </c>
      <c r="CU100" s="85" t="n">
        <f aca="false">IF(K100=2,CO100*AM100*(CN100-0)+(1-CO100)*AM100*(CN100-CJ100),0)</f>
        <v>14448.8277075422</v>
      </c>
      <c r="CV100" s="85" t="n">
        <f aca="false">(CP100-CO100*CT100)*(CM100-0)+(CQ100-(1-CO100)*CT100)*(CM100-CJ100)+CR100*(CM100-CK100)+CS100*(CM100-CL100)</f>
        <v>680984.581988883</v>
      </c>
      <c r="CW100" s="88" t="n">
        <f aca="false">INDEX(in_sel_fin_rate,1,C100)/365*(CU100+CV100)</f>
        <v>190.529701286692</v>
      </c>
      <c r="CX100" s="85" t="n">
        <f aca="false">CP100-IF(CN100&lt;=0,CT100,0)</f>
        <v>3334.43077946293</v>
      </c>
      <c r="CY100" s="85" t="n">
        <f aca="false">CP100+CQ100-IF(CN100&lt;=CJ100,CT100,0)</f>
        <v>6720.80185209165</v>
      </c>
      <c r="CZ100" s="85" t="n">
        <f aca="false">CP100+CQ100+CR100-IF(CN100&lt;=CK100,CT100,0)</f>
        <v>7450.20095017445</v>
      </c>
      <c r="DA100" s="85" t="n">
        <f aca="false">CP100+CQ100+CR100+CS100-IF(CN100&lt;=CL100,CT100,0)</f>
        <v>8150.20095017445</v>
      </c>
      <c r="DB100" s="88" t="n">
        <f aca="false">MAX(CX100,CY100,CZ100,DA100)</f>
        <v>8150.20095017445</v>
      </c>
      <c r="DC100" s="88" t="n">
        <f aca="false">CP100+CQ100+CR100+CS100</f>
        <v>8150.20095017445</v>
      </c>
      <c r="DD100" s="88" t="n">
        <f aca="false">CE100-CH100-CI100-CW100</f>
        <v>-6380.22355771586</v>
      </c>
      <c r="DE100" s="87" t="n">
        <f aca="false">IF(CD100&gt;0,DD100/CD100,0)</f>
        <v>-2.66460336605955</v>
      </c>
      <c r="DF100" s="86" t="n">
        <f aca="false">IF(CD100&gt;0,(BM100+CI100+CW100)/(CD100*(1-CG100)),0)</f>
        <v>3.8286659936938</v>
      </c>
      <c r="DG100" s="90" t="n">
        <f aca="false">IF(BW100&gt;0,BM100/BW100,0)</f>
        <v>0.552817567454738</v>
      </c>
      <c r="DH100" s="90" t="n">
        <f aca="false">IF(BW100&gt;0,CD100/BW100,0)</f>
        <v>0.24309</v>
      </c>
      <c r="DI100" s="90" t="n">
        <f aca="false">IF(AI100&gt;0,(AI100*IF(K100=3,INDEX(in_sup_vat_rate,1,C100),0)+AV100*BA100+(BC100+BD100)*AV100/AY100+AZ100*AI100/AL100)/AI100,0)</f>
        <v>0.201104141933981</v>
      </c>
      <c r="DJ100" s="90" t="n">
        <f aca="false">IF(AJ100&gt;0,(AJ100*IF(K100=3,INDEX(in_sup_vat_rate,1,C100),0)+AW100*BA100+(BC100+BD100)*AW100/AY100+AZ100*AJ100/AL100)/AJ100,0)</f>
        <v>0.201104141933981</v>
      </c>
      <c r="DK100" s="90" t="n">
        <f aca="false">IF(AK100&gt;0,(AK100*IF(K100=3,INDEX(in_sup_vat_rate,1,C100),0)+AX100*BA100+(BC100+BD100)*AX100/AY100+AZ100*AK100/AL100)/AK100,0)</f>
        <v>0.201104141933981</v>
      </c>
      <c r="DL100" s="90" t="n">
        <f aca="false">IF(Y100&gt;0,(BP100-AI100*(1+DI100))/Y100,0)</f>
        <v>0.366696536556633</v>
      </c>
      <c r="DM100" s="90" t="n">
        <f aca="false">IF(Z100&gt;0,(BQ100-AJ100*(1+DJ100))/Z100,0)</f>
        <v>0.418942297405505</v>
      </c>
      <c r="DN100" s="90" t="n">
        <f aca="false">IF(AA100&gt;0,(BR100-AK100*(1+DK100))/AA100,0)</f>
        <v>0.319712181634133</v>
      </c>
      <c r="DO100" s="86" t="n">
        <f aca="false">IF(Y100&gt;0,(CA100*(1-thr_gm_go)*(1-R100)-DL100)/(1+DI100)*I100/((1+AH100)*J100),"")</f>
        <v>-8.51657094612804</v>
      </c>
      <c r="DP100" s="86" t="n">
        <f aca="false">IF(Z100&gt;0,(CB100*(1-thr_gm_go)*(1-R100)-DM100)/(1+DJ100)*I100/((1+AH100)*J100),"")</f>
        <v>-9.64362873103197</v>
      </c>
      <c r="DQ100" s="86" t="n">
        <f aca="false">IF(AA100&gt;0,(CC100*(1-thr_gm_go)*(1-R100)-DN100)/(1+DK100)*I100/((1+AH100)*J100),"")</f>
        <v>-6.74428209260998</v>
      </c>
      <c r="DR100" s="92" t="n">
        <f aca="false">IF(AND(AY100*INDEX(in_cus_mpf_rate,1,C100)&gt;INDEX(in_cus_mpf_min,1,C100),AY100*INDEX(in_cus_mpf_rate,1,C100)&lt;INDEX(in_cus_mpf_max,1,C100)),INDEX(in_cus_mpf_rate,1,C100),0)</f>
        <v>0</v>
      </c>
      <c r="DS100" s="88" t="n">
        <f aca="false">IF(AZ100&gt;INDEX(in_oce_ins_min,1,C100),INDEX(in_oce_ins_rate,1,C100)*(1+INDEX(in_oce_ins_uplift,1,C100))*AL100,0)</f>
        <v>0</v>
      </c>
      <c r="DT100" s="88" t="n">
        <f aca="false">(AL100+AN100)*(1+BA100+INDEX(in_cus_hmf,1,C100)+DR100)+DS100</f>
        <v>1648.73274626337</v>
      </c>
      <c r="DU100" s="86" t="n">
        <f aca="false">IF(DT100&gt;0,(CD100*(1-thr_gm_go)-(BM100-DT100))/DT100,0)</f>
        <v>-1.21347314942346</v>
      </c>
      <c r="DV100" s="86" t="n">
        <f aca="false">IF(DT100&gt;0,(CD100-(BM100-DT100))/DT100,0)</f>
        <v>-0.850400889012142</v>
      </c>
      <c r="DW100" s="87" t="n">
        <f aca="false">(1+AH100)*J100*DU100-1</f>
        <v>-2.21347314942346</v>
      </c>
      <c r="DX100" s="87" t="n">
        <f aca="false">(1+AH100)*J100*DV100-1</f>
        <v>-1.85040088901214</v>
      </c>
      <c r="DY100" s="85" t="str">
        <f aca="false">IF(G100&gt;0,(CD100*(1-thr_gm_go)-(BM100-AT100))/G100,"")</f>
        <v/>
      </c>
      <c r="DZ100" s="90" t="n">
        <f aca="false">IF(AB100&gt;0,(AL100+AN100+BB100+BC100+BD100)/AB100,0)</f>
        <v>0.168331274626337</v>
      </c>
      <c r="EA100" s="88" t="n">
        <f aca="false">BM100-DZ100*AB100</f>
        <v>3761.9402931658</v>
      </c>
      <c r="EB100" s="90" t="n">
        <f aca="false">IF(AB100&gt;0,CD100/AB100,0)</f>
        <v>0.23944365</v>
      </c>
      <c r="EC100" s="85" t="n">
        <f aca="false">IF(EB100*(1-thr_gm_go)-DZ100&gt;0,EA100/(EB100*(1-thr_gm_go)-DZ100),"n/a")</f>
        <v>334351.215962464</v>
      </c>
      <c r="ED100" s="85" t="n">
        <f aca="false">IF(EB100-DZ100&gt;0,EA100/(EB100-DZ100),"n/a")</f>
        <v>52901.3448559201</v>
      </c>
      <c r="EE100" s="93" t="b">
        <f aca="false">INDEX(cfg_fits,D100,C100)</f>
        <v>1</v>
      </c>
      <c r="EF100" s="87" t="str">
        <f aca="false">IF(F100=4,"",INDEX(cfg_lenutil,D100,C100))</f>
        <v/>
      </c>
      <c r="EG100" s="31" t="str">
        <f aca="false">IF(O100&gt;1,"Check fit (units scaled up)","")</f>
        <v/>
      </c>
    </row>
    <row r="101" customFormat="false" ht="15" hidden="false" customHeight="false" outlineLevel="0" collapsed="false">
      <c r="A101" s="78" t="n">
        <v>2102</v>
      </c>
      <c r="B101" s="9" t="s">
        <v>3249</v>
      </c>
      <c r="C101" s="78" t="n">
        <v>2</v>
      </c>
      <c r="D101" s="78" t="n">
        <v>10</v>
      </c>
      <c r="E101" s="78" t="n">
        <v>2</v>
      </c>
      <c r="F101" s="79" t="n">
        <f aca="false">INDEX(cfg_ct,D101)</f>
        <v>4</v>
      </c>
      <c r="G101" s="79" t="n">
        <f aca="false">INDEX(cfg_n,D101)</f>
        <v>0</v>
      </c>
      <c r="H101" s="79" t="n">
        <f aca="false">INDEX(dest_port,E101)</f>
        <v>1</v>
      </c>
      <c r="I101" s="80" t="n">
        <f aca="false">INDEX(in_fx_cbe,1,C101)*(1-INDEX(in_fx_spread,1,C101))</f>
        <v>52.7748</v>
      </c>
      <c r="J101" s="81" t="n">
        <f aca="false">1</f>
        <v>1</v>
      </c>
      <c r="K101" s="82" t="n">
        <f aca="false">INDEX(in_sup_vat_mode,1,C101)</f>
        <v>2</v>
      </c>
      <c r="L101" s="83" t="n">
        <f aca="false">INDEX(in_cus_s301,1,C101)</f>
        <v>0.125</v>
      </c>
      <c r="M101" s="84" t="n">
        <f aca="false">1</f>
        <v>1</v>
      </c>
      <c r="N101" s="81" t="n">
        <f aca="false">1</f>
        <v>1</v>
      </c>
      <c r="O101" s="81" t="n">
        <f aca="false">1</f>
        <v>1</v>
      </c>
      <c r="P101" s="81" t="n">
        <f aca="false">1</f>
        <v>1</v>
      </c>
      <c r="Q101" s="81" t="n">
        <f aca="false">1</f>
        <v>1</v>
      </c>
      <c r="R101" s="83" t="n">
        <f aca="false">INDEX(in_sel_damage,1,C101)</f>
        <v>0.015</v>
      </c>
      <c r="S101" s="83" t="n">
        <f aca="false">INDEX(in_mkt_dist_margin,1,C101)</f>
        <v>0.25</v>
      </c>
      <c r="T101" s="83" t="n">
        <f aca="false">INDEX(in_mkt_eflute_disc,1,C101)</f>
        <v>0.2</v>
      </c>
      <c r="U101" s="82" t="n">
        <f aca="false">INDEX(in_sel_credit_days,1,C101)</f>
        <v>45</v>
      </c>
      <c r="V101" s="81" t="n">
        <f aca="false">1</f>
        <v>1</v>
      </c>
      <c r="W101" s="83" t="n">
        <f aca="false">INDEX(in_sel_commission,1,C101)</f>
        <v>0.05</v>
      </c>
      <c r="X101" s="82" t="n">
        <f aca="false">1</f>
        <v>1</v>
      </c>
      <c r="Y101" s="85" t="n">
        <f aca="false">INDEX(cfg_u_3464,D101,C101)*O101</f>
        <v>3350</v>
      </c>
      <c r="Z101" s="85" t="n">
        <f aca="false">INDEX(cfg_u_3463,D101,C101)*O101</f>
        <v>3350</v>
      </c>
      <c r="AA101" s="85" t="n">
        <f aca="false">INDEX(cfg_u_3460,D101,C101)*O101</f>
        <v>3300</v>
      </c>
      <c r="AB101" s="85" t="n">
        <f aca="false">Y101+Z101+AA101</f>
        <v>10000</v>
      </c>
      <c r="AC101" s="86" t="n">
        <f aca="false">Y101*INDEX(lg_vpu_3464,C101)</f>
        <v>2.3831632</v>
      </c>
      <c r="AD101" s="86" t="n">
        <f aca="false">Z101*INDEX(lg_vpu_3463,C101)</f>
        <v>2.9154112</v>
      </c>
      <c r="AE101" s="86" t="n">
        <f aca="false">AA101*INDEX(lg_vpu_3460,C101)</f>
        <v>1.8760896</v>
      </c>
      <c r="AF101" s="86" t="n">
        <f aca="false">AC101+AD101+AE101</f>
        <v>7.174664</v>
      </c>
      <c r="AG101" s="85" t="n">
        <f aca="false">Y101*INDEX(lg_kpu_3464,C101)+Z101*INDEX(lg_kpu_3463,C101)+AA101*INDEX(lg_kpu_3460,C101)</f>
        <v>1725.464306</v>
      </c>
      <c r="AH101" s="87" t="n">
        <f aca="false">INDEX(in_sup_requote,1,C101)</f>
        <v>0</v>
      </c>
      <c r="AI101" s="88" t="n">
        <f aca="false">Y101*q_price_3464*(1+AH101)*J101/I101</f>
        <v>530.987327284992</v>
      </c>
      <c r="AJ101" s="88" t="n">
        <f aca="false">Z101*q_price_3463*(1+AH101)*J101/I101</f>
        <v>501.470398750919</v>
      </c>
      <c r="AK101" s="88" t="n">
        <f aca="false">AA101*q_price_3460*(1+AH101)*J101/I101</f>
        <v>431.45592214466</v>
      </c>
      <c r="AL101" s="88" t="n">
        <f aca="false">AI101+AJ101+AK101</f>
        <v>1463.91364818057</v>
      </c>
      <c r="AM101" s="88" t="n">
        <f aca="false">IF(OR(K101=2,K101=3),AL101*INDEX(in_sup_vat_rate,1,C101),0)</f>
        <v>204.94791074528</v>
      </c>
      <c r="AN101" s="88" t="n">
        <f aca="false">IF(K101=3,AM101,0)</f>
        <v>0</v>
      </c>
      <c r="AO101" s="88" t="n">
        <f aca="false">INDEX(in_sup_tooling_egp,1,C101)/I101</f>
        <v>0</v>
      </c>
      <c r="AP101" s="88" t="n">
        <f aca="false">IF(F101=4,INDEX(in_ori_lcl_truck,1,C101)*V101/I101+INDEX(in_ori_lcl_cfs_o,1,C101),G101*(IF(F101=1,INDEX(in_ori_truck_20,1,C101),INDEX(in_ori_truck_40,1,C101))*V101/I101+INDEX(in_ori_terminal,1,C101)+IF(F101=1,INDEX(in_ori_othc_20,1,C101),INDEX(in_ori_othc_40,1,C101))*(1-INDEX(in_ori_othc_in_freight,1,C101))+INDEX(in_ori_seal,1,C101)+INDEX(in_ori_inspection,1,C101)+INDEX(in_ori_dd_days,1,C101)*IF(F101=1,INDEX(in_ori_dd_20,1,C101),INDEX(in_ori_dd_40,1,C101))+INDEX(in_ori_loading_egp,1,C101)/I101))</f>
        <v>282.639062582899</v>
      </c>
      <c r="AQ101" s="88" t="n">
        <f aca="false">(INDEX(in_ori_clearance,1,C101)+INDEX(in_ori_coo,1,C101))/I101+INDEX(in_ori_bl_fee,1,C101)+INDEX(in_ori_fwd_fee,1,C101)+INDEX(in_ori_qc,1,C101)+INDEX(in_ori_wires,1,C101)*INDEX(in_ori_wire_fee,1,C101)</f>
        <v>817.639062582899</v>
      </c>
      <c r="AR101" s="88" t="n">
        <f aca="false">AP101+AQ101</f>
        <v>1100.2781251658</v>
      </c>
      <c r="AS101" s="85" t="n">
        <f aca="false">INDEX(tbl_port_diff,H101,C101)</f>
        <v>0</v>
      </c>
      <c r="AT101" s="88" t="n">
        <f aca="false">IF(F101=4,MAX(AF101*INDEX(in_oce_lcl_factor,1,C101),AG101/1000,1)*INDEX(in_oce_lcl_rate,1,C101)*M101,G101*(INDEX(tbl_ocean_rate,MIN(F101,3),C101)+AS101)*M101)</f>
        <v>1341.662168</v>
      </c>
      <c r="AU101" s="88" t="n">
        <f aca="false">AT101+INDEX(in_oce_ams,1,C101)</f>
        <v>1376.662168</v>
      </c>
      <c r="AV101" s="88" t="n">
        <f aca="false">AI101*(1+IF(K101=3,INDEX(in_sup_vat_rate,1,C101),0))+AO101*Y101/AB101</f>
        <v>530.987327284992</v>
      </c>
      <c r="AW101" s="88" t="n">
        <f aca="false">AJ101*(1+IF(K101=3,INDEX(in_sup_vat_rate,1,C101),0))+AO101*Z101/AB101</f>
        <v>501.470398750919</v>
      </c>
      <c r="AX101" s="88" t="n">
        <f aca="false">AK101*(1+IF(K101=3,INDEX(in_sup_vat_rate,1,C101),0))+AO101*AA101/AB101</f>
        <v>431.45592214466</v>
      </c>
      <c r="AY101" s="88" t="n">
        <f aca="false">AV101+AW101+AX101</f>
        <v>1463.91364818057</v>
      </c>
      <c r="AZ101" s="88" t="n">
        <f aca="false">MAX(INDEX(in_oce_ins_min,1,C101),INDEX(in_oce_ins_rate,1,C101)*(1+INDEX(in_oce_ins_uplift,1,C101))*(AL101+AO101+AR101+AU101))*(1-INDEX(in_oce_ins_in_other,1,C101))</f>
        <v>75</v>
      </c>
      <c r="BA101" s="87" t="n">
        <f aca="false">INDEX(in_cus_mfn,1,C101)+L101</f>
        <v>0.125</v>
      </c>
      <c r="BB101" s="88" t="n">
        <f aca="false">AY101*BA101</f>
        <v>182.989206022571</v>
      </c>
      <c r="BC101" s="88" t="n">
        <f aca="false">MIN(MAX(AY101*INDEX(in_cus_mpf_rate,1,C101),INDEX(in_cus_mpf_min,1,C101)),INDEX(in_cus_mpf_max,1,C101))</f>
        <v>34.58</v>
      </c>
      <c r="BD101" s="88" t="n">
        <f aca="false">AY101*INDEX(in_cus_hmf,1,C101)</f>
        <v>1.82989206022571</v>
      </c>
      <c r="BE101" s="88" t="n">
        <f aca="false">MAX(INDEX(in_cus_stb_min,1,C101),INDEX(in_cus_stb_rate,1,C101)/1000*(AY101+BB101+BC101+BD101))</f>
        <v>75</v>
      </c>
      <c r="BF101" s="88" t="n">
        <f aca="false">INDEX(in_cus_broker,1,C101)+INDEX(in_cus_isf,1,C101)+INDEX(in_cus_do_fee,1,C101)+BE101+INDEX(in_cus_isf_bond,1,C101)</f>
        <v>510</v>
      </c>
      <c r="BG101" s="88" t="n">
        <f aca="false">IF(H101=1,INDEX(in_cus_cfc,1,C101)*INDEX(ct_teu,F101)*G101*(1-INDEX(in_cus_cfc_in_freight,1,C101)),0)</f>
        <v>0</v>
      </c>
      <c r="BH101" s="88" t="n">
        <f aca="false">IF(F101=4,1,G101)*(INDEX(in_cus_exam,1,C101)+INDEX(in_cus_exam_dray,1,C101))</f>
        <v>0</v>
      </c>
      <c r="BI101" s="88" t="n">
        <f aca="false">IF(F101=4,1,G101)*INDEX(in_cus_dem_days,1,C101)*INDEX(in_cus_dem_rate,1,C101)</f>
        <v>0</v>
      </c>
      <c r="BJ101" s="88" t="n">
        <f aca="false">BG101+BH101+BI101</f>
        <v>0</v>
      </c>
      <c r="BK101" s="88" t="n">
        <f aca="false">IF(F101=4,(INDEX(in_dra_lcl_cfs_d,1,C101)+INDEX(in_dra_lcl_deliv,1,C101))*P101,G101*(INDEX(tbl_dest_line,E101,C101)*P101*(1+INDEX(in_dra_fsc,1,C101))+INDEX(tbl_dest_tolls,E101,C101)+INDEX(in_dra_chassis_days,1,C101)*INDEX(tbl_dest_chassis,E101,C101)*(1-INDEX(in_dra_chassis_in_dray,1,C101))+INDEX(in_dra_wait_hours,1,C101)*INDEX(in_dra_wait_rate,1,C101)+INDEX(in_dra_split,1,C101)+INDEX(in_dra_prepull,1,C101)+INDEX(in_dra_dryrun,1,C101)))</f>
        <v>700</v>
      </c>
      <c r="BL101" s="88" t="n">
        <f aca="false">IF(F101=4,0,G101*IF(F101=1,INDEX(in_dra_unload_20,1,C101),INDEX(in_dra_unload_40,1,C101))*Q101*(1-INDEX(in_dra_unload_in_dray,1,C101)))</f>
        <v>0</v>
      </c>
      <c r="BM101" s="88" t="n">
        <f aca="false">AL101+AN101+AO101+AR101+AU101+AZ101+BB101+BC101+BD101+BF101+BJ101+BK101+BL101</f>
        <v>5445.25303942917</v>
      </c>
      <c r="BN101" s="88" t="n">
        <f aca="false">AP101+AU101+BJ101+BK101+BL101</f>
        <v>2359.3012305829</v>
      </c>
      <c r="BO101" s="88" t="n">
        <f aca="false">AQ101+BF101</f>
        <v>1327.6390625829</v>
      </c>
      <c r="BP101" s="88" t="n">
        <f aca="false">AI101*(1+IF(K101=3,INDEX(in_sup_vat_rate,1,C101),0))+AO101*Y101/AB101+AV101*BA101+(BC101+BD101)*AV101/AY101+AZ101*AI101/AL101+BN101*AC101/AF101+BO101*Y101/AB101</f>
        <v>1866.20447558118</v>
      </c>
      <c r="BQ101" s="88" t="n">
        <f aca="false">AJ101*(1+IF(K101=3,INDEX(in_sup_vat_rate,1,C101),0))+AO101*Z101/AB101+AW101*BA101+(BC101+BD101)*AW101/AY101+AZ101*AJ101/AL101+BN101*AD101/AF101+BO101*Z101/AB101</f>
        <v>2005.77486930546</v>
      </c>
      <c r="BR101" s="88" t="n">
        <f aca="false">AK101*(1+IF(K101=3,INDEX(in_sup_vat_rate,1,C101),0))+AO101*AA101/AB101+AX101*BA101+(BC101+BD101)*AX101/AY101+AZ101*AK101/AL101+BN101*AE101/AF101+BO101*AA101/AB101</f>
        <v>1573.27369454253</v>
      </c>
      <c r="BS101" s="89" t="n">
        <f aca="false">BP101+BQ101+BR101-BM101</f>
        <v>0</v>
      </c>
      <c r="BT101" s="85" t="n">
        <f aca="false">Y101*(1-R101)</f>
        <v>3299.75</v>
      </c>
      <c r="BU101" s="85" t="n">
        <f aca="false">Z101*(1-R101)</f>
        <v>3299.75</v>
      </c>
      <c r="BV101" s="85" t="n">
        <f aca="false">AA101*(1-R101)</f>
        <v>3250.5</v>
      </c>
      <c r="BW101" s="85" t="n">
        <f aca="false">BT101+BU101+BV101</f>
        <v>9850</v>
      </c>
      <c r="BX101" s="90" t="n">
        <f aca="false">IF(BT101&gt;0,BP101/BT101,0)</f>
        <v>0.565559353157415</v>
      </c>
      <c r="BY101" s="90" t="n">
        <f aca="false">IF(BU101&gt;0,BQ101/BU101,0)</f>
        <v>0.60785661619985</v>
      </c>
      <c r="BZ101" s="90" t="n">
        <f aca="false">IF(BV101&gt;0,BR101/BV101,0)</f>
        <v>0.484009750666831</v>
      </c>
      <c r="CA101" s="90" t="n">
        <f aca="false">INDEX(in_mkt_listing_3464,1,C101)*(1-IF(sku_flute_3464="B",T101,0))*(1-S101)*N101</f>
        <v>0.234</v>
      </c>
      <c r="CB101" s="90" t="n">
        <f aca="false">INDEX(in_mkt_listing_3463,1,C101)*(1-IF(sku_flute_3463="B",T101,0))*(1-S101)*N101</f>
        <v>0.27</v>
      </c>
      <c r="CC101" s="90" t="n">
        <f aca="false">INDEX(in_mkt_listing_3460,1,C101)*(1-IF(sku_flute_3460="B",T101,0))*(1-S101)*N101</f>
        <v>0.225</v>
      </c>
      <c r="CD101" s="88" t="n">
        <f aca="false">BT101*CA101+BU101*CB101+BV101*CC101</f>
        <v>2394.4365</v>
      </c>
      <c r="CE101" s="88" t="n">
        <f aca="false">CD101-BM101</f>
        <v>-3050.81653942917</v>
      </c>
      <c r="CF101" s="87" t="n">
        <f aca="false">IF(CD101&gt;0,CE101/CD101,0)</f>
        <v>-1.27412714408136</v>
      </c>
      <c r="CG101" s="87" t="n">
        <f aca="false">W101+INDEX(in_sel_processing,1,C101)+INDEX(in_sel_bad_debt,1,C101)</f>
        <v>0.058</v>
      </c>
      <c r="CH101" s="88" t="n">
        <f aca="false">CD101*CG101</f>
        <v>138.877317</v>
      </c>
      <c r="CI101" s="88" t="n">
        <f aca="false">INDEX(in_sel_testing,1,C101)*X101+INDEX(in_sel_admin,1,C101)</f>
        <v>3000</v>
      </c>
      <c r="CJ101" s="79" t="n">
        <f aca="false">INDEX(in_sup_lead_days,1,C101)</f>
        <v>21</v>
      </c>
      <c r="CK101" s="79" t="n">
        <f aca="false">CJ101+INDEX(in_oce_transit,1,C101)+IF(F101=4,INDEX(in_oce_lcl_extra_days,1,C101),0)</f>
        <v>58</v>
      </c>
      <c r="CL101" s="79" t="n">
        <f aca="false">CK101+2+INDEX(in_cus_dem_days,1,C101)</f>
        <v>60</v>
      </c>
      <c r="CM101" s="79" t="n">
        <f aca="false">CL101+U101</f>
        <v>105</v>
      </c>
      <c r="CN101" s="79" t="n">
        <f aca="false">CJ101+INDEX(in_sup_vat_lag,1,C101)</f>
        <v>81</v>
      </c>
      <c r="CO101" s="91" t="n">
        <f aca="false">INDEX(in_sup_advance,1,C101)</f>
        <v>0.5</v>
      </c>
      <c r="CP101" s="88" t="n">
        <f aca="false">CO101*(AL101+AM101)+AO101+INDEX(in_sel_testing,1,C101)*X101</f>
        <v>3334.43077946293</v>
      </c>
      <c r="CQ101" s="88" t="n">
        <f aca="false">(1-CO101)*(AL101+AM101)+AR101+AU101+AZ101</f>
        <v>3386.37107262872</v>
      </c>
      <c r="CR101" s="88" t="n">
        <f aca="false">BB101+BC101+BD101+BF101+BJ101</f>
        <v>729.399098082797</v>
      </c>
      <c r="CS101" s="88" t="n">
        <f aca="false">BK101+BL101</f>
        <v>700</v>
      </c>
      <c r="CT101" s="88" t="n">
        <f aca="false">IF(K101=2,AM101,0)</f>
        <v>204.94791074528</v>
      </c>
      <c r="CU101" s="85" t="n">
        <f aca="false">IF(K101=2,CO101*AM101*(CN101-0)+(1-CO101)*AM101*(CN101-CJ101),0)</f>
        <v>14448.8277075422</v>
      </c>
      <c r="CV101" s="85" t="n">
        <f aca="false">(CP101-CO101*CT101)*(CM101-0)+(CQ101-(1-CO101)*CT101)*(CM101-CJ101)+CR101*(CM101-CK101)+CS101*(CM101-CL101)</f>
        <v>680984.581988883</v>
      </c>
      <c r="CW101" s="88" t="n">
        <f aca="false">INDEX(in_sel_fin_rate,1,C101)/365*(CU101+CV101)</f>
        <v>190.529701286692</v>
      </c>
      <c r="CX101" s="85" t="n">
        <f aca="false">CP101-IF(CN101&lt;=0,CT101,0)</f>
        <v>3334.43077946293</v>
      </c>
      <c r="CY101" s="85" t="n">
        <f aca="false">CP101+CQ101-IF(CN101&lt;=CJ101,CT101,0)</f>
        <v>6720.80185209165</v>
      </c>
      <c r="CZ101" s="85" t="n">
        <f aca="false">CP101+CQ101+CR101-IF(CN101&lt;=CK101,CT101,0)</f>
        <v>7450.20095017445</v>
      </c>
      <c r="DA101" s="85" t="n">
        <f aca="false">CP101+CQ101+CR101+CS101-IF(CN101&lt;=CL101,CT101,0)</f>
        <v>8150.20095017445</v>
      </c>
      <c r="DB101" s="88" t="n">
        <f aca="false">MAX(CX101,CY101,CZ101,DA101)</f>
        <v>8150.20095017445</v>
      </c>
      <c r="DC101" s="88" t="n">
        <f aca="false">CP101+CQ101+CR101+CS101</f>
        <v>8150.20095017445</v>
      </c>
      <c r="DD101" s="88" t="n">
        <f aca="false">CE101-CH101-CI101-CW101</f>
        <v>-6380.22355771586</v>
      </c>
      <c r="DE101" s="87" t="n">
        <f aca="false">IF(CD101&gt;0,DD101/CD101,0)</f>
        <v>-2.66460336605955</v>
      </c>
      <c r="DF101" s="86" t="n">
        <f aca="false">IF(CD101&gt;0,(BM101+CI101+CW101)/(CD101*(1-CG101)),0)</f>
        <v>3.8286659936938</v>
      </c>
      <c r="DG101" s="90" t="n">
        <f aca="false">IF(BW101&gt;0,BM101/BW101,0)</f>
        <v>0.552817567454738</v>
      </c>
      <c r="DH101" s="90" t="n">
        <f aca="false">IF(BW101&gt;0,CD101/BW101,0)</f>
        <v>0.24309</v>
      </c>
      <c r="DI101" s="90" t="n">
        <f aca="false">IF(AI101&gt;0,(AI101*IF(K101=3,INDEX(in_sup_vat_rate,1,C101),0)+AV101*BA101+(BC101+BD101)*AV101/AY101+AZ101*AI101/AL101)/AI101,0)</f>
        <v>0.201104141933981</v>
      </c>
      <c r="DJ101" s="90" t="n">
        <f aca="false">IF(AJ101&gt;0,(AJ101*IF(K101=3,INDEX(in_sup_vat_rate,1,C101),0)+AW101*BA101+(BC101+BD101)*AW101/AY101+AZ101*AJ101/AL101)/AJ101,0)</f>
        <v>0.201104141933981</v>
      </c>
      <c r="DK101" s="90" t="n">
        <f aca="false">IF(AK101&gt;0,(AK101*IF(K101=3,INDEX(in_sup_vat_rate,1,C101),0)+AX101*BA101+(BC101+BD101)*AX101/AY101+AZ101*AK101/AL101)/AK101,0)</f>
        <v>0.201104141933981</v>
      </c>
      <c r="DL101" s="90" t="n">
        <f aca="false">IF(Y101&gt;0,(BP101-AI101*(1+DI101))/Y101,0)</f>
        <v>0.366696536556633</v>
      </c>
      <c r="DM101" s="90" t="n">
        <f aca="false">IF(Z101&gt;0,(BQ101-AJ101*(1+DJ101))/Z101,0)</f>
        <v>0.418942297405505</v>
      </c>
      <c r="DN101" s="90" t="n">
        <f aca="false">IF(AA101&gt;0,(BR101-AK101*(1+DK101))/AA101,0)</f>
        <v>0.319712181634133</v>
      </c>
      <c r="DO101" s="86" t="n">
        <f aca="false">IF(Y101&gt;0,(CA101*(1-thr_gm_go)*(1-R101)-DL101)/(1+DI101)*I101/((1+AH101)*J101),"")</f>
        <v>-8.51657094612804</v>
      </c>
      <c r="DP101" s="86" t="n">
        <f aca="false">IF(Z101&gt;0,(CB101*(1-thr_gm_go)*(1-R101)-DM101)/(1+DJ101)*I101/((1+AH101)*J101),"")</f>
        <v>-9.64362873103197</v>
      </c>
      <c r="DQ101" s="86" t="n">
        <f aca="false">IF(AA101&gt;0,(CC101*(1-thr_gm_go)*(1-R101)-DN101)/(1+DK101)*I101/((1+AH101)*J101),"")</f>
        <v>-6.74428209260998</v>
      </c>
      <c r="DR101" s="92" t="n">
        <f aca="false">IF(AND(AY101*INDEX(in_cus_mpf_rate,1,C101)&gt;INDEX(in_cus_mpf_min,1,C101),AY101*INDEX(in_cus_mpf_rate,1,C101)&lt;INDEX(in_cus_mpf_max,1,C101)),INDEX(in_cus_mpf_rate,1,C101),0)</f>
        <v>0</v>
      </c>
      <c r="DS101" s="88" t="n">
        <f aca="false">IF(AZ101&gt;INDEX(in_oce_ins_min,1,C101),INDEX(in_oce_ins_rate,1,C101)*(1+INDEX(in_oce_ins_uplift,1,C101))*AL101,0)</f>
        <v>0</v>
      </c>
      <c r="DT101" s="88" t="n">
        <f aca="false">(AL101+AN101)*(1+BA101+INDEX(in_cus_hmf,1,C101)+DR101)+DS101</f>
        <v>1648.73274626337</v>
      </c>
      <c r="DU101" s="86" t="n">
        <f aca="false">IF(DT101&gt;0,(CD101*(1-thr_gm_go)-(BM101-DT101))/DT101,0)</f>
        <v>-1.21347314942346</v>
      </c>
      <c r="DV101" s="86" t="n">
        <f aca="false">IF(DT101&gt;0,(CD101-(BM101-DT101))/DT101,0)</f>
        <v>-0.850400889012142</v>
      </c>
      <c r="DW101" s="87" t="n">
        <f aca="false">(1+AH101)*J101*DU101-1</f>
        <v>-2.21347314942346</v>
      </c>
      <c r="DX101" s="87" t="n">
        <f aca="false">(1+AH101)*J101*DV101-1</f>
        <v>-1.85040088901214</v>
      </c>
      <c r="DY101" s="85" t="str">
        <f aca="false">IF(G101&gt;0,(CD101*(1-thr_gm_go)-(BM101-AT101))/G101,"")</f>
        <v/>
      </c>
      <c r="DZ101" s="90" t="n">
        <f aca="false">IF(AB101&gt;0,(AL101+AN101+BB101+BC101+BD101)/AB101,0)</f>
        <v>0.168331274626337</v>
      </c>
      <c r="EA101" s="88" t="n">
        <f aca="false">BM101-DZ101*AB101</f>
        <v>3761.9402931658</v>
      </c>
      <c r="EB101" s="90" t="n">
        <f aca="false">IF(AB101&gt;0,CD101/AB101,0)</f>
        <v>0.23944365</v>
      </c>
      <c r="EC101" s="85" t="n">
        <f aca="false">IF(EB101*(1-thr_gm_go)-DZ101&gt;0,EA101/(EB101*(1-thr_gm_go)-DZ101),"n/a")</f>
        <v>334351.215962464</v>
      </c>
      <c r="ED101" s="85" t="n">
        <f aca="false">IF(EB101-DZ101&gt;0,EA101/(EB101-DZ101),"n/a")</f>
        <v>52901.3448559201</v>
      </c>
      <c r="EE101" s="93" t="b">
        <f aca="false">INDEX(cfg_fits,D101,C101)</f>
        <v>1</v>
      </c>
      <c r="EF101" s="87" t="str">
        <f aca="false">IF(F101=4,"",INDEX(cfg_lenutil,D101,C101))</f>
        <v/>
      </c>
      <c r="EG101" s="31" t="str">
        <f aca="false">IF(O101&gt;1,"Check fit (units scaled up)","")</f>
        <v/>
      </c>
    </row>
    <row r="102" customFormat="false" ht="15" hidden="false" customHeight="false" outlineLevel="0" collapsed="false">
      <c r="A102" s="78" t="n">
        <v>2103</v>
      </c>
      <c r="B102" s="9" t="s">
        <v>3250</v>
      </c>
      <c r="C102" s="78" t="n">
        <v>2</v>
      </c>
      <c r="D102" s="78" t="n">
        <v>10</v>
      </c>
      <c r="E102" s="78" t="n">
        <v>3</v>
      </c>
      <c r="F102" s="79" t="n">
        <f aca="false">INDEX(cfg_ct,D102)</f>
        <v>4</v>
      </c>
      <c r="G102" s="79" t="n">
        <f aca="false">INDEX(cfg_n,D102)</f>
        <v>0</v>
      </c>
      <c r="H102" s="79" t="n">
        <f aca="false">INDEX(dest_port,E102)</f>
        <v>2</v>
      </c>
      <c r="I102" s="80" t="n">
        <f aca="false">INDEX(in_fx_cbe,1,C102)*(1-INDEX(in_fx_spread,1,C102))</f>
        <v>52.7748</v>
      </c>
      <c r="J102" s="81" t="n">
        <f aca="false">1</f>
        <v>1</v>
      </c>
      <c r="K102" s="82" t="n">
        <f aca="false">INDEX(in_sup_vat_mode,1,C102)</f>
        <v>2</v>
      </c>
      <c r="L102" s="83" t="n">
        <f aca="false">INDEX(in_cus_s301,1,C102)</f>
        <v>0.125</v>
      </c>
      <c r="M102" s="84" t="n">
        <f aca="false">1</f>
        <v>1</v>
      </c>
      <c r="N102" s="81" t="n">
        <f aca="false">1</f>
        <v>1</v>
      </c>
      <c r="O102" s="81" t="n">
        <f aca="false">1</f>
        <v>1</v>
      </c>
      <c r="P102" s="81" t="n">
        <f aca="false">1</f>
        <v>1</v>
      </c>
      <c r="Q102" s="81" t="n">
        <f aca="false">1</f>
        <v>1</v>
      </c>
      <c r="R102" s="83" t="n">
        <f aca="false">INDEX(in_sel_damage,1,C102)</f>
        <v>0.015</v>
      </c>
      <c r="S102" s="83" t="n">
        <f aca="false">INDEX(in_mkt_dist_margin,1,C102)</f>
        <v>0.25</v>
      </c>
      <c r="T102" s="83" t="n">
        <f aca="false">INDEX(in_mkt_eflute_disc,1,C102)</f>
        <v>0.2</v>
      </c>
      <c r="U102" s="82" t="n">
        <f aca="false">INDEX(in_sel_credit_days,1,C102)</f>
        <v>45</v>
      </c>
      <c r="V102" s="81" t="n">
        <f aca="false">1</f>
        <v>1</v>
      </c>
      <c r="W102" s="83" t="n">
        <f aca="false">INDEX(in_sel_commission,1,C102)</f>
        <v>0.05</v>
      </c>
      <c r="X102" s="82" t="n">
        <f aca="false">1</f>
        <v>1</v>
      </c>
      <c r="Y102" s="85" t="n">
        <f aca="false">INDEX(cfg_u_3464,D102,C102)*O102</f>
        <v>3350</v>
      </c>
      <c r="Z102" s="85" t="n">
        <f aca="false">INDEX(cfg_u_3463,D102,C102)*O102</f>
        <v>3350</v>
      </c>
      <c r="AA102" s="85" t="n">
        <f aca="false">INDEX(cfg_u_3460,D102,C102)*O102</f>
        <v>3300</v>
      </c>
      <c r="AB102" s="85" t="n">
        <f aca="false">Y102+Z102+AA102</f>
        <v>10000</v>
      </c>
      <c r="AC102" s="86" t="n">
        <f aca="false">Y102*INDEX(lg_vpu_3464,C102)</f>
        <v>2.3831632</v>
      </c>
      <c r="AD102" s="86" t="n">
        <f aca="false">Z102*INDEX(lg_vpu_3463,C102)</f>
        <v>2.9154112</v>
      </c>
      <c r="AE102" s="86" t="n">
        <f aca="false">AA102*INDEX(lg_vpu_3460,C102)</f>
        <v>1.8760896</v>
      </c>
      <c r="AF102" s="86" t="n">
        <f aca="false">AC102+AD102+AE102</f>
        <v>7.174664</v>
      </c>
      <c r="AG102" s="85" t="n">
        <f aca="false">Y102*INDEX(lg_kpu_3464,C102)+Z102*INDEX(lg_kpu_3463,C102)+AA102*INDEX(lg_kpu_3460,C102)</f>
        <v>1725.464306</v>
      </c>
      <c r="AH102" s="87" t="n">
        <f aca="false">INDEX(in_sup_requote,1,C102)</f>
        <v>0</v>
      </c>
      <c r="AI102" s="88" t="n">
        <f aca="false">Y102*q_price_3464*(1+AH102)*J102/I102</f>
        <v>530.987327284992</v>
      </c>
      <c r="AJ102" s="88" t="n">
        <f aca="false">Z102*q_price_3463*(1+AH102)*J102/I102</f>
        <v>501.470398750919</v>
      </c>
      <c r="AK102" s="88" t="n">
        <f aca="false">AA102*q_price_3460*(1+AH102)*J102/I102</f>
        <v>431.45592214466</v>
      </c>
      <c r="AL102" s="88" t="n">
        <f aca="false">AI102+AJ102+AK102</f>
        <v>1463.91364818057</v>
      </c>
      <c r="AM102" s="88" t="n">
        <f aca="false">IF(OR(K102=2,K102=3),AL102*INDEX(in_sup_vat_rate,1,C102),0)</f>
        <v>204.94791074528</v>
      </c>
      <c r="AN102" s="88" t="n">
        <f aca="false">IF(K102=3,AM102,0)</f>
        <v>0</v>
      </c>
      <c r="AO102" s="88" t="n">
        <f aca="false">INDEX(in_sup_tooling_egp,1,C102)/I102</f>
        <v>0</v>
      </c>
      <c r="AP102" s="88" t="n">
        <f aca="false">IF(F102=4,INDEX(in_ori_lcl_truck,1,C102)*V102/I102+INDEX(in_ori_lcl_cfs_o,1,C102),G102*(IF(F102=1,INDEX(in_ori_truck_20,1,C102),INDEX(in_ori_truck_40,1,C102))*V102/I102+INDEX(in_ori_terminal,1,C102)+IF(F102=1,INDEX(in_ori_othc_20,1,C102),INDEX(in_ori_othc_40,1,C102))*(1-INDEX(in_ori_othc_in_freight,1,C102))+INDEX(in_ori_seal,1,C102)+INDEX(in_ori_inspection,1,C102)+INDEX(in_ori_dd_days,1,C102)*IF(F102=1,INDEX(in_ori_dd_20,1,C102),INDEX(in_ori_dd_40,1,C102))+INDEX(in_ori_loading_egp,1,C102)/I102))</f>
        <v>282.639062582899</v>
      </c>
      <c r="AQ102" s="88" t="n">
        <f aca="false">(INDEX(in_ori_clearance,1,C102)+INDEX(in_ori_coo,1,C102))/I102+INDEX(in_ori_bl_fee,1,C102)+INDEX(in_ori_fwd_fee,1,C102)+INDEX(in_ori_qc,1,C102)+INDEX(in_ori_wires,1,C102)*INDEX(in_ori_wire_fee,1,C102)</f>
        <v>817.639062582899</v>
      </c>
      <c r="AR102" s="88" t="n">
        <f aca="false">AP102+AQ102</f>
        <v>1100.2781251658</v>
      </c>
      <c r="AS102" s="85" t="n">
        <f aca="false">INDEX(tbl_port_diff,H102,C102)</f>
        <v>150</v>
      </c>
      <c r="AT102" s="88" t="n">
        <f aca="false">IF(F102=4,MAX(AF102*INDEX(in_oce_lcl_factor,1,C102),AG102/1000,1)*INDEX(in_oce_lcl_rate,1,C102)*M102,G102*(INDEX(tbl_ocean_rate,MIN(F102,3),C102)+AS102)*M102)</f>
        <v>1341.662168</v>
      </c>
      <c r="AU102" s="88" t="n">
        <f aca="false">AT102+INDEX(in_oce_ams,1,C102)</f>
        <v>1376.662168</v>
      </c>
      <c r="AV102" s="88" t="n">
        <f aca="false">AI102*(1+IF(K102=3,INDEX(in_sup_vat_rate,1,C102),0))+AO102*Y102/AB102</f>
        <v>530.987327284992</v>
      </c>
      <c r="AW102" s="88" t="n">
        <f aca="false">AJ102*(1+IF(K102=3,INDEX(in_sup_vat_rate,1,C102),0))+AO102*Z102/AB102</f>
        <v>501.470398750919</v>
      </c>
      <c r="AX102" s="88" t="n">
        <f aca="false">AK102*(1+IF(K102=3,INDEX(in_sup_vat_rate,1,C102),0))+AO102*AA102/AB102</f>
        <v>431.45592214466</v>
      </c>
      <c r="AY102" s="88" t="n">
        <f aca="false">AV102+AW102+AX102</f>
        <v>1463.91364818057</v>
      </c>
      <c r="AZ102" s="88" t="n">
        <f aca="false">MAX(INDEX(in_oce_ins_min,1,C102),INDEX(in_oce_ins_rate,1,C102)*(1+INDEX(in_oce_ins_uplift,1,C102))*(AL102+AO102+AR102+AU102))*(1-INDEX(in_oce_ins_in_other,1,C102))</f>
        <v>75</v>
      </c>
      <c r="BA102" s="87" t="n">
        <f aca="false">INDEX(in_cus_mfn,1,C102)+L102</f>
        <v>0.125</v>
      </c>
      <c r="BB102" s="88" t="n">
        <f aca="false">AY102*BA102</f>
        <v>182.989206022571</v>
      </c>
      <c r="BC102" s="88" t="n">
        <f aca="false">MIN(MAX(AY102*INDEX(in_cus_mpf_rate,1,C102),INDEX(in_cus_mpf_min,1,C102)),INDEX(in_cus_mpf_max,1,C102))</f>
        <v>34.58</v>
      </c>
      <c r="BD102" s="88" t="n">
        <f aca="false">AY102*INDEX(in_cus_hmf,1,C102)</f>
        <v>1.82989206022571</v>
      </c>
      <c r="BE102" s="88" t="n">
        <f aca="false">MAX(INDEX(in_cus_stb_min,1,C102),INDEX(in_cus_stb_rate,1,C102)/1000*(AY102+BB102+BC102+BD102))</f>
        <v>75</v>
      </c>
      <c r="BF102" s="88" t="n">
        <f aca="false">INDEX(in_cus_broker,1,C102)+INDEX(in_cus_isf,1,C102)+INDEX(in_cus_do_fee,1,C102)+BE102+INDEX(in_cus_isf_bond,1,C102)</f>
        <v>510</v>
      </c>
      <c r="BG102" s="88" t="n">
        <f aca="false">IF(H102=1,INDEX(in_cus_cfc,1,C102)*INDEX(ct_teu,F102)*G102*(1-INDEX(in_cus_cfc_in_freight,1,C102)),0)</f>
        <v>0</v>
      </c>
      <c r="BH102" s="88" t="n">
        <f aca="false">IF(F102=4,1,G102)*(INDEX(in_cus_exam,1,C102)+INDEX(in_cus_exam_dray,1,C102))</f>
        <v>0</v>
      </c>
      <c r="BI102" s="88" t="n">
        <f aca="false">IF(F102=4,1,G102)*INDEX(in_cus_dem_days,1,C102)*INDEX(in_cus_dem_rate,1,C102)</f>
        <v>0</v>
      </c>
      <c r="BJ102" s="88" t="n">
        <f aca="false">BG102+BH102+BI102</f>
        <v>0</v>
      </c>
      <c r="BK102" s="88" t="n">
        <f aca="false">IF(F102=4,(INDEX(in_dra_lcl_cfs_d,1,C102)+INDEX(in_dra_lcl_deliv,1,C102))*P102,G102*(INDEX(tbl_dest_line,E102,C102)*P102*(1+INDEX(in_dra_fsc,1,C102))+INDEX(tbl_dest_tolls,E102,C102)+INDEX(in_dra_chassis_days,1,C102)*INDEX(tbl_dest_chassis,E102,C102)*(1-INDEX(in_dra_chassis_in_dray,1,C102))+INDEX(in_dra_wait_hours,1,C102)*INDEX(in_dra_wait_rate,1,C102)+INDEX(in_dra_split,1,C102)+INDEX(in_dra_prepull,1,C102)+INDEX(in_dra_dryrun,1,C102)))</f>
        <v>700</v>
      </c>
      <c r="BL102" s="88" t="n">
        <f aca="false">IF(F102=4,0,G102*IF(F102=1,INDEX(in_dra_unload_20,1,C102),INDEX(in_dra_unload_40,1,C102))*Q102*(1-INDEX(in_dra_unload_in_dray,1,C102)))</f>
        <v>0</v>
      </c>
      <c r="BM102" s="88" t="n">
        <f aca="false">AL102+AN102+AO102+AR102+AU102+AZ102+BB102+BC102+BD102+BF102+BJ102+BK102+BL102</f>
        <v>5445.25303942917</v>
      </c>
      <c r="BN102" s="88" t="n">
        <f aca="false">AP102+AU102+BJ102+BK102+BL102</f>
        <v>2359.3012305829</v>
      </c>
      <c r="BO102" s="88" t="n">
        <f aca="false">AQ102+BF102</f>
        <v>1327.6390625829</v>
      </c>
      <c r="BP102" s="88" t="n">
        <f aca="false">AI102*(1+IF(K102=3,INDEX(in_sup_vat_rate,1,C102),0))+AO102*Y102/AB102+AV102*BA102+(BC102+BD102)*AV102/AY102+AZ102*AI102/AL102+BN102*AC102/AF102+BO102*Y102/AB102</f>
        <v>1866.20447558118</v>
      </c>
      <c r="BQ102" s="88" t="n">
        <f aca="false">AJ102*(1+IF(K102=3,INDEX(in_sup_vat_rate,1,C102),0))+AO102*Z102/AB102+AW102*BA102+(BC102+BD102)*AW102/AY102+AZ102*AJ102/AL102+BN102*AD102/AF102+BO102*Z102/AB102</f>
        <v>2005.77486930546</v>
      </c>
      <c r="BR102" s="88" t="n">
        <f aca="false">AK102*(1+IF(K102=3,INDEX(in_sup_vat_rate,1,C102),0))+AO102*AA102/AB102+AX102*BA102+(BC102+BD102)*AX102/AY102+AZ102*AK102/AL102+BN102*AE102/AF102+BO102*AA102/AB102</f>
        <v>1573.27369454253</v>
      </c>
      <c r="BS102" s="89" t="n">
        <f aca="false">BP102+BQ102+BR102-BM102</f>
        <v>0</v>
      </c>
      <c r="BT102" s="85" t="n">
        <f aca="false">Y102*(1-R102)</f>
        <v>3299.75</v>
      </c>
      <c r="BU102" s="85" t="n">
        <f aca="false">Z102*(1-R102)</f>
        <v>3299.75</v>
      </c>
      <c r="BV102" s="85" t="n">
        <f aca="false">AA102*(1-R102)</f>
        <v>3250.5</v>
      </c>
      <c r="BW102" s="85" t="n">
        <f aca="false">BT102+BU102+BV102</f>
        <v>9850</v>
      </c>
      <c r="BX102" s="90" t="n">
        <f aca="false">IF(BT102&gt;0,BP102/BT102,0)</f>
        <v>0.565559353157415</v>
      </c>
      <c r="BY102" s="90" t="n">
        <f aca="false">IF(BU102&gt;0,BQ102/BU102,0)</f>
        <v>0.60785661619985</v>
      </c>
      <c r="BZ102" s="90" t="n">
        <f aca="false">IF(BV102&gt;0,BR102/BV102,0)</f>
        <v>0.484009750666831</v>
      </c>
      <c r="CA102" s="90" t="n">
        <f aca="false">INDEX(in_mkt_listing_3464,1,C102)*(1-IF(sku_flute_3464="B",T102,0))*(1-S102)*N102</f>
        <v>0.234</v>
      </c>
      <c r="CB102" s="90" t="n">
        <f aca="false">INDEX(in_mkt_listing_3463,1,C102)*(1-IF(sku_flute_3463="B",T102,0))*(1-S102)*N102</f>
        <v>0.27</v>
      </c>
      <c r="CC102" s="90" t="n">
        <f aca="false">INDEX(in_mkt_listing_3460,1,C102)*(1-IF(sku_flute_3460="B",T102,0))*(1-S102)*N102</f>
        <v>0.225</v>
      </c>
      <c r="CD102" s="88" t="n">
        <f aca="false">BT102*CA102+BU102*CB102+BV102*CC102</f>
        <v>2394.4365</v>
      </c>
      <c r="CE102" s="88" t="n">
        <f aca="false">CD102-BM102</f>
        <v>-3050.81653942917</v>
      </c>
      <c r="CF102" s="87" t="n">
        <f aca="false">IF(CD102&gt;0,CE102/CD102,0)</f>
        <v>-1.27412714408136</v>
      </c>
      <c r="CG102" s="87" t="n">
        <f aca="false">W102+INDEX(in_sel_processing,1,C102)+INDEX(in_sel_bad_debt,1,C102)</f>
        <v>0.058</v>
      </c>
      <c r="CH102" s="88" t="n">
        <f aca="false">CD102*CG102</f>
        <v>138.877317</v>
      </c>
      <c r="CI102" s="88" t="n">
        <f aca="false">INDEX(in_sel_testing,1,C102)*X102+INDEX(in_sel_admin,1,C102)</f>
        <v>3000</v>
      </c>
      <c r="CJ102" s="79" t="n">
        <f aca="false">INDEX(in_sup_lead_days,1,C102)</f>
        <v>21</v>
      </c>
      <c r="CK102" s="79" t="n">
        <f aca="false">CJ102+INDEX(in_oce_transit,1,C102)+IF(F102=4,INDEX(in_oce_lcl_extra_days,1,C102),0)</f>
        <v>58</v>
      </c>
      <c r="CL102" s="79" t="n">
        <f aca="false">CK102+2+INDEX(in_cus_dem_days,1,C102)</f>
        <v>60</v>
      </c>
      <c r="CM102" s="79" t="n">
        <f aca="false">CL102+U102</f>
        <v>105</v>
      </c>
      <c r="CN102" s="79" t="n">
        <f aca="false">CJ102+INDEX(in_sup_vat_lag,1,C102)</f>
        <v>81</v>
      </c>
      <c r="CO102" s="91" t="n">
        <f aca="false">INDEX(in_sup_advance,1,C102)</f>
        <v>0.5</v>
      </c>
      <c r="CP102" s="88" t="n">
        <f aca="false">CO102*(AL102+AM102)+AO102+INDEX(in_sel_testing,1,C102)*X102</f>
        <v>3334.43077946293</v>
      </c>
      <c r="CQ102" s="88" t="n">
        <f aca="false">(1-CO102)*(AL102+AM102)+AR102+AU102+AZ102</f>
        <v>3386.37107262872</v>
      </c>
      <c r="CR102" s="88" t="n">
        <f aca="false">BB102+BC102+BD102+BF102+BJ102</f>
        <v>729.399098082797</v>
      </c>
      <c r="CS102" s="88" t="n">
        <f aca="false">BK102+BL102</f>
        <v>700</v>
      </c>
      <c r="CT102" s="88" t="n">
        <f aca="false">IF(K102=2,AM102,0)</f>
        <v>204.94791074528</v>
      </c>
      <c r="CU102" s="85" t="n">
        <f aca="false">IF(K102=2,CO102*AM102*(CN102-0)+(1-CO102)*AM102*(CN102-CJ102),0)</f>
        <v>14448.8277075422</v>
      </c>
      <c r="CV102" s="85" t="n">
        <f aca="false">(CP102-CO102*CT102)*(CM102-0)+(CQ102-(1-CO102)*CT102)*(CM102-CJ102)+CR102*(CM102-CK102)+CS102*(CM102-CL102)</f>
        <v>680984.581988883</v>
      </c>
      <c r="CW102" s="88" t="n">
        <f aca="false">INDEX(in_sel_fin_rate,1,C102)/365*(CU102+CV102)</f>
        <v>190.529701286692</v>
      </c>
      <c r="CX102" s="85" t="n">
        <f aca="false">CP102-IF(CN102&lt;=0,CT102,0)</f>
        <v>3334.43077946293</v>
      </c>
      <c r="CY102" s="85" t="n">
        <f aca="false">CP102+CQ102-IF(CN102&lt;=CJ102,CT102,0)</f>
        <v>6720.80185209165</v>
      </c>
      <c r="CZ102" s="85" t="n">
        <f aca="false">CP102+CQ102+CR102-IF(CN102&lt;=CK102,CT102,0)</f>
        <v>7450.20095017445</v>
      </c>
      <c r="DA102" s="85" t="n">
        <f aca="false">CP102+CQ102+CR102+CS102-IF(CN102&lt;=CL102,CT102,0)</f>
        <v>8150.20095017445</v>
      </c>
      <c r="DB102" s="88" t="n">
        <f aca="false">MAX(CX102,CY102,CZ102,DA102)</f>
        <v>8150.20095017445</v>
      </c>
      <c r="DC102" s="88" t="n">
        <f aca="false">CP102+CQ102+CR102+CS102</f>
        <v>8150.20095017445</v>
      </c>
      <c r="DD102" s="88" t="n">
        <f aca="false">CE102-CH102-CI102-CW102</f>
        <v>-6380.22355771586</v>
      </c>
      <c r="DE102" s="87" t="n">
        <f aca="false">IF(CD102&gt;0,DD102/CD102,0)</f>
        <v>-2.66460336605955</v>
      </c>
      <c r="DF102" s="86" t="n">
        <f aca="false">IF(CD102&gt;0,(BM102+CI102+CW102)/(CD102*(1-CG102)),0)</f>
        <v>3.8286659936938</v>
      </c>
      <c r="DG102" s="90" t="n">
        <f aca="false">IF(BW102&gt;0,BM102/BW102,0)</f>
        <v>0.552817567454738</v>
      </c>
      <c r="DH102" s="90" t="n">
        <f aca="false">IF(BW102&gt;0,CD102/BW102,0)</f>
        <v>0.24309</v>
      </c>
      <c r="DI102" s="90" t="n">
        <f aca="false">IF(AI102&gt;0,(AI102*IF(K102=3,INDEX(in_sup_vat_rate,1,C102),0)+AV102*BA102+(BC102+BD102)*AV102/AY102+AZ102*AI102/AL102)/AI102,0)</f>
        <v>0.201104141933981</v>
      </c>
      <c r="DJ102" s="90" t="n">
        <f aca="false">IF(AJ102&gt;0,(AJ102*IF(K102=3,INDEX(in_sup_vat_rate,1,C102),0)+AW102*BA102+(BC102+BD102)*AW102/AY102+AZ102*AJ102/AL102)/AJ102,0)</f>
        <v>0.201104141933981</v>
      </c>
      <c r="DK102" s="90" t="n">
        <f aca="false">IF(AK102&gt;0,(AK102*IF(K102=3,INDEX(in_sup_vat_rate,1,C102),0)+AX102*BA102+(BC102+BD102)*AX102/AY102+AZ102*AK102/AL102)/AK102,0)</f>
        <v>0.201104141933981</v>
      </c>
      <c r="DL102" s="90" t="n">
        <f aca="false">IF(Y102&gt;0,(BP102-AI102*(1+DI102))/Y102,0)</f>
        <v>0.366696536556633</v>
      </c>
      <c r="DM102" s="90" t="n">
        <f aca="false">IF(Z102&gt;0,(BQ102-AJ102*(1+DJ102))/Z102,0)</f>
        <v>0.418942297405505</v>
      </c>
      <c r="DN102" s="90" t="n">
        <f aca="false">IF(AA102&gt;0,(BR102-AK102*(1+DK102))/AA102,0)</f>
        <v>0.319712181634133</v>
      </c>
      <c r="DO102" s="86" t="n">
        <f aca="false">IF(Y102&gt;0,(CA102*(1-thr_gm_go)*(1-R102)-DL102)/(1+DI102)*I102/((1+AH102)*J102),"")</f>
        <v>-8.51657094612804</v>
      </c>
      <c r="DP102" s="86" t="n">
        <f aca="false">IF(Z102&gt;0,(CB102*(1-thr_gm_go)*(1-R102)-DM102)/(1+DJ102)*I102/((1+AH102)*J102),"")</f>
        <v>-9.64362873103197</v>
      </c>
      <c r="DQ102" s="86" t="n">
        <f aca="false">IF(AA102&gt;0,(CC102*(1-thr_gm_go)*(1-R102)-DN102)/(1+DK102)*I102/((1+AH102)*J102),"")</f>
        <v>-6.74428209260998</v>
      </c>
      <c r="DR102" s="92" t="n">
        <f aca="false">IF(AND(AY102*INDEX(in_cus_mpf_rate,1,C102)&gt;INDEX(in_cus_mpf_min,1,C102),AY102*INDEX(in_cus_mpf_rate,1,C102)&lt;INDEX(in_cus_mpf_max,1,C102)),INDEX(in_cus_mpf_rate,1,C102),0)</f>
        <v>0</v>
      </c>
      <c r="DS102" s="88" t="n">
        <f aca="false">IF(AZ102&gt;INDEX(in_oce_ins_min,1,C102),INDEX(in_oce_ins_rate,1,C102)*(1+INDEX(in_oce_ins_uplift,1,C102))*AL102,0)</f>
        <v>0</v>
      </c>
      <c r="DT102" s="88" t="n">
        <f aca="false">(AL102+AN102)*(1+BA102+INDEX(in_cus_hmf,1,C102)+DR102)+DS102</f>
        <v>1648.73274626337</v>
      </c>
      <c r="DU102" s="86" t="n">
        <f aca="false">IF(DT102&gt;0,(CD102*(1-thr_gm_go)-(BM102-DT102))/DT102,0)</f>
        <v>-1.21347314942346</v>
      </c>
      <c r="DV102" s="86" t="n">
        <f aca="false">IF(DT102&gt;0,(CD102-(BM102-DT102))/DT102,0)</f>
        <v>-0.850400889012142</v>
      </c>
      <c r="DW102" s="87" t="n">
        <f aca="false">(1+AH102)*J102*DU102-1</f>
        <v>-2.21347314942346</v>
      </c>
      <c r="DX102" s="87" t="n">
        <f aca="false">(1+AH102)*J102*DV102-1</f>
        <v>-1.85040088901214</v>
      </c>
      <c r="DY102" s="85" t="str">
        <f aca="false">IF(G102&gt;0,(CD102*(1-thr_gm_go)-(BM102-AT102))/G102,"")</f>
        <v/>
      </c>
      <c r="DZ102" s="90" t="n">
        <f aca="false">IF(AB102&gt;0,(AL102+AN102+BB102+BC102+BD102)/AB102,0)</f>
        <v>0.168331274626337</v>
      </c>
      <c r="EA102" s="88" t="n">
        <f aca="false">BM102-DZ102*AB102</f>
        <v>3761.9402931658</v>
      </c>
      <c r="EB102" s="90" t="n">
        <f aca="false">IF(AB102&gt;0,CD102/AB102,0)</f>
        <v>0.23944365</v>
      </c>
      <c r="EC102" s="85" t="n">
        <f aca="false">IF(EB102*(1-thr_gm_go)-DZ102&gt;0,EA102/(EB102*(1-thr_gm_go)-DZ102),"n/a")</f>
        <v>334351.215962464</v>
      </c>
      <c r="ED102" s="85" t="n">
        <f aca="false">IF(EB102-DZ102&gt;0,EA102/(EB102-DZ102),"n/a")</f>
        <v>52901.3448559201</v>
      </c>
      <c r="EE102" s="93" t="b">
        <f aca="false">INDEX(cfg_fits,D102,C102)</f>
        <v>1</v>
      </c>
      <c r="EF102" s="87" t="str">
        <f aca="false">IF(F102=4,"",INDEX(cfg_lenutil,D102,C102))</f>
        <v/>
      </c>
      <c r="EG102" s="31" t="str">
        <f aca="false">IF(O102&gt;1,"Check fit (units scaled up)","")</f>
        <v/>
      </c>
    </row>
    <row r="103" customFormat="false" ht="15" hidden="false" customHeight="false" outlineLevel="0" collapsed="false">
      <c r="A103" s="78" t="n">
        <v>2104</v>
      </c>
      <c r="B103" s="9" t="s">
        <v>3251</v>
      </c>
      <c r="C103" s="78" t="n">
        <v>2</v>
      </c>
      <c r="D103" s="78" t="n">
        <v>10</v>
      </c>
      <c r="E103" s="78" t="n">
        <v>4</v>
      </c>
      <c r="F103" s="79" t="n">
        <f aca="false">INDEX(cfg_ct,D103)</f>
        <v>4</v>
      </c>
      <c r="G103" s="79" t="n">
        <f aca="false">INDEX(cfg_n,D103)</f>
        <v>0</v>
      </c>
      <c r="H103" s="79" t="n">
        <f aca="false">INDEX(dest_port,E103)</f>
        <v>3</v>
      </c>
      <c r="I103" s="80" t="n">
        <f aca="false">INDEX(in_fx_cbe,1,C103)*(1-INDEX(in_fx_spread,1,C103))</f>
        <v>52.7748</v>
      </c>
      <c r="J103" s="81" t="n">
        <f aca="false">1</f>
        <v>1</v>
      </c>
      <c r="K103" s="82" t="n">
        <f aca="false">INDEX(in_sup_vat_mode,1,C103)</f>
        <v>2</v>
      </c>
      <c r="L103" s="83" t="n">
        <f aca="false">INDEX(in_cus_s301,1,C103)</f>
        <v>0.125</v>
      </c>
      <c r="M103" s="84" t="n">
        <f aca="false">1</f>
        <v>1</v>
      </c>
      <c r="N103" s="81" t="n">
        <f aca="false">1</f>
        <v>1</v>
      </c>
      <c r="O103" s="81" t="n">
        <f aca="false">1</f>
        <v>1</v>
      </c>
      <c r="P103" s="81" t="n">
        <f aca="false">1</f>
        <v>1</v>
      </c>
      <c r="Q103" s="81" t="n">
        <f aca="false">1</f>
        <v>1</v>
      </c>
      <c r="R103" s="83" t="n">
        <f aca="false">INDEX(in_sel_damage,1,C103)</f>
        <v>0.015</v>
      </c>
      <c r="S103" s="83" t="n">
        <f aca="false">INDEX(in_mkt_dist_margin,1,C103)</f>
        <v>0.25</v>
      </c>
      <c r="T103" s="83" t="n">
        <f aca="false">INDEX(in_mkt_eflute_disc,1,C103)</f>
        <v>0.2</v>
      </c>
      <c r="U103" s="82" t="n">
        <f aca="false">INDEX(in_sel_credit_days,1,C103)</f>
        <v>45</v>
      </c>
      <c r="V103" s="81" t="n">
        <f aca="false">1</f>
        <v>1</v>
      </c>
      <c r="W103" s="83" t="n">
        <f aca="false">INDEX(in_sel_commission,1,C103)</f>
        <v>0.05</v>
      </c>
      <c r="X103" s="82" t="n">
        <f aca="false">1</f>
        <v>1</v>
      </c>
      <c r="Y103" s="85" t="n">
        <f aca="false">INDEX(cfg_u_3464,D103,C103)*O103</f>
        <v>3350</v>
      </c>
      <c r="Z103" s="85" t="n">
        <f aca="false">INDEX(cfg_u_3463,D103,C103)*O103</f>
        <v>3350</v>
      </c>
      <c r="AA103" s="85" t="n">
        <f aca="false">INDEX(cfg_u_3460,D103,C103)*O103</f>
        <v>3300</v>
      </c>
      <c r="AB103" s="85" t="n">
        <f aca="false">Y103+Z103+AA103</f>
        <v>10000</v>
      </c>
      <c r="AC103" s="86" t="n">
        <f aca="false">Y103*INDEX(lg_vpu_3464,C103)</f>
        <v>2.3831632</v>
      </c>
      <c r="AD103" s="86" t="n">
        <f aca="false">Z103*INDEX(lg_vpu_3463,C103)</f>
        <v>2.9154112</v>
      </c>
      <c r="AE103" s="86" t="n">
        <f aca="false">AA103*INDEX(lg_vpu_3460,C103)</f>
        <v>1.8760896</v>
      </c>
      <c r="AF103" s="86" t="n">
        <f aca="false">AC103+AD103+AE103</f>
        <v>7.174664</v>
      </c>
      <c r="AG103" s="85" t="n">
        <f aca="false">Y103*INDEX(lg_kpu_3464,C103)+Z103*INDEX(lg_kpu_3463,C103)+AA103*INDEX(lg_kpu_3460,C103)</f>
        <v>1725.464306</v>
      </c>
      <c r="AH103" s="87" t="n">
        <f aca="false">INDEX(in_sup_requote,1,C103)</f>
        <v>0</v>
      </c>
      <c r="AI103" s="88" t="n">
        <f aca="false">Y103*q_price_3464*(1+AH103)*J103/I103</f>
        <v>530.987327284992</v>
      </c>
      <c r="AJ103" s="88" t="n">
        <f aca="false">Z103*q_price_3463*(1+AH103)*J103/I103</f>
        <v>501.470398750919</v>
      </c>
      <c r="AK103" s="88" t="n">
        <f aca="false">AA103*q_price_3460*(1+AH103)*J103/I103</f>
        <v>431.45592214466</v>
      </c>
      <c r="AL103" s="88" t="n">
        <f aca="false">AI103+AJ103+AK103</f>
        <v>1463.91364818057</v>
      </c>
      <c r="AM103" s="88" t="n">
        <f aca="false">IF(OR(K103=2,K103=3),AL103*INDEX(in_sup_vat_rate,1,C103),0)</f>
        <v>204.94791074528</v>
      </c>
      <c r="AN103" s="88" t="n">
        <f aca="false">IF(K103=3,AM103,0)</f>
        <v>0</v>
      </c>
      <c r="AO103" s="88" t="n">
        <f aca="false">INDEX(in_sup_tooling_egp,1,C103)/I103</f>
        <v>0</v>
      </c>
      <c r="AP103" s="88" t="n">
        <f aca="false">IF(F103=4,INDEX(in_ori_lcl_truck,1,C103)*V103/I103+INDEX(in_ori_lcl_cfs_o,1,C103),G103*(IF(F103=1,INDEX(in_ori_truck_20,1,C103),INDEX(in_ori_truck_40,1,C103))*V103/I103+INDEX(in_ori_terminal,1,C103)+IF(F103=1,INDEX(in_ori_othc_20,1,C103),INDEX(in_ori_othc_40,1,C103))*(1-INDEX(in_ori_othc_in_freight,1,C103))+INDEX(in_ori_seal,1,C103)+INDEX(in_ori_inspection,1,C103)+INDEX(in_ori_dd_days,1,C103)*IF(F103=1,INDEX(in_ori_dd_20,1,C103),INDEX(in_ori_dd_40,1,C103))+INDEX(in_ori_loading_egp,1,C103)/I103))</f>
        <v>282.639062582899</v>
      </c>
      <c r="AQ103" s="88" t="n">
        <f aca="false">(INDEX(in_ori_clearance,1,C103)+INDEX(in_ori_coo,1,C103))/I103+INDEX(in_ori_bl_fee,1,C103)+INDEX(in_ori_fwd_fee,1,C103)+INDEX(in_ori_qc,1,C103)+INDEX(in_ori_wires,1,C103)*INDEX(in_ori_wire_fee,1,C103)</f>
        <v>817.639062582899</v>
      </c>
      <c r="AR103" s="88" t="n">
        <f aca="false">AP103+AQ103</f>
        <v>1100.2781251658</v>
      </c>
      <c r="AS103" s="85" t="n">
        <f aca="false">INDEX(tbl_port_diff,H103,C103)</f>
        <v>0</v>
      </c>
      <c r="AT103" s="88" t="n">
        <f aca="false">IF(F103=4,MAX(AF103*INDEX(in_oce_lcl_factor,1,C103),AG103/1000,1)*INDEX(in_oce_lcl_rate,1,C103)*M103,G103*(INDEX(tbl_ocean_rate,MIN(F103,3),C103)+AS103)*M103)</f>
        <v>1341.662168</v>
      </c>
      <c r="AU103" s="88" t="n">
        <f aca="false">AT103+INDEX(in_oce_ams,1,C103)</f>
        <v>1376.662168</v>
      </c>
      <c r="AV103" s="88" t="n">
        <f aca="false">AI103*(1+IF(K103=3,INDEX(in_sup_vat_rate,1,C103),0))+AO103*Y103/AB103</f>
        <v>530.987327284992</v>
      </c>
      <c r="AW103" s="88" t="n">
        <f aca="false">AJ103*(1+IF(K103=3,INDEX(in_sup_vat_rate,1,C103),0))+AO103*Z103/AB103</f>
        <v>501.470398750919</v>
      </c>
      <c r="AX103" s="88" t="n">
        <f aca="false">AK103*(1+IF(K103=3,INDEX(in_sup_vat_rate,1,C103),0))+AO103*AA103/AB103</f>
        <v>431.45592214466</v>
      </c>
      <c r="AY103" s="88" t="n">
        <f aca="false">AV103+AW103+AX103</f>
        <v>1463.91364818057</v>
      </c>
      <c r="AZ103" s="88" t="n">
        <f aca="false">MAX(INDEX(in_oce_ins_min,1,C103),INDEX(in_oce_ins_rate,1,C103)*(1+INDEX(in_oce_ins_uplift,1,C103))*(AL103+AO103+AR103+AU103))*(1-INDEX(in_oce_ins_in_other,1,C103))</f>
        <v>75</v>
      </c>
      <c r="BA103" s="87" t="n">
        <f aca="false">INDEX(in_cus_mfn,1,C103)+L103</f>
        <v>0.125</v>
      </c>
      <c r="BB103" s="88" t="n">
        <f aca="false">AY103*BA103</f>
        <v>182.989206022571</v>
      </c>
      <c r="BC103" s="88" t="n">
        <f aca="false">MIN(MAX(AY103*INDEX(in_cus_mpf_rate,1,C103),INDEX(in_cus_mpf_min,1,C103)),INDEX(in_cus_mpf_max,1,C103))</f>
        <v>34.58</v>
      </c>
      <c r="BD103" s="88" t="n">
        <f aca="false">AY103*INDEX(in_cus_hmf,1,C103)</f>
        <v>1.82989206022571</v>
      </c>
      <c r="BE103" s="88" t="n">
        <f aca="false">MAX(INDEX(in_cus_stb_min,1,C103),INDEX(in_cus_stb_rate,1,C103)/1000*(AY103+BB103+BC103+BD103))</f>
        <v>75</v>
      </c>
      <c r="BF103" s="88" t="n">
        <f aca="false">INDEX(in_cus_broker,1,C103)+INDEX(in_cus_isf,1,C103)+INDEX(in_cus_do_fee,1,C103)+BE103+INDEX(in_cus_isf_bond,1,C103)</f>
        <v>510</v>
      </c>
      <c r="BG103" s="88" t="n">
        <f aca="false">IF(H103=1,INDEX(in_cus_cfc,1,C103)*INDEX(ct_teu,F103)*G103*(1-INDEX(in_cus_cfc_in_freight,1,C103)),0)</f>
        <v>0</v>
      </c>
      <c r="BH103" s="88" t="n">
        <f aca="false">IF(F103=4,1,G103)*(INDEX(in_cus_exam,1,C103)+INDEX(in_cus_exam_dray,1,C103))</f>
        <v>0</v>
      </c>
      <c r="BI103" s="88" t="n">
        <f aca="false">IF(F103=4,1,G103)*INDEX(in_cus_dem_days,1,C103)*INDEX(in_cus_dem_rate,1,C103)</f>
        <v>0</v>
      </c>
      <c r="BJ103" s="88" t="n">
        <f aca="false">BG103+BH103+BI103</f>
        <v>0</v>
      </c>
      <c r="BK103" s="88" t="n">
        <f aca="false">IF(F103=4,(INDEX(in_dra_lcl_cfs_d,1,C103)+INDEX(in_dra_lcl_deliv,1,C103))*P103,G103*(INDEX(tbl_dest_line,E103,C103)*P103*(1+INDEX(in_dra_fsc,1,C103))+INDEX(tbl_dest_tolls,E103,C103)+INDEX(in_dra_chassis_days,1,C103)*INDEX(tbl_dest_chassis,E103,C103)*(1-INDEX(in_dra_chassis_in_dray,1,C103))+INDEX(in_dra_wait_hours,1,C103)*INDEX(in_dra_wait_rate,1,C103)+INDEX(in_dra_split,1,C103)+INDEX(in_dra_prepull,1,C103)+INDEX(in_dra_dryrun,1,C103)))</f>
        <v>700</v>
      </c>
      <c r="BL103" s="88" t="n">
        <f aca="false">IF(F103=4,0,G103*IF(F103=1,INDEX(in_dra_unload_20,1,C103),INDEX(in_dra_unload_40,1,C103))*Q103*(1-INDEX(in_dra_unload_in_dray,1,C103)))</f>
        <v>0</v>
      </c>
      <c r="BM103" s="88" t="n">
        <f aca="false">AL103+AN103+AO103+AR103+AU103+AZ103+BB103+BC103+BD103+BF103+BJ103+BK103+BL103</f>
        <v>5445.25303942917</v>
      </c>
      <c r="BN103" s="88" t="n">
        <f aca="false">AP103+AU103+BJ103+BK103+BL103</f>
        <v>2359.3012305829</v>
      </c>
      <c r="BO103" s="88" t="n">
        <f aca="false">AQ103+BF103</f>
        <v>1327.6390625829</v>
      </c>
      <c r="BP103" s="88" t="n">
        <f aca="false">AI103*(1+IF(K103=3,INDEX(in_sup_vat_rate,1,C103),0))+AO103*Y103/AB103+AV103*BA103+(BC103+BD103)*AV103/AY103+AZ103*AI103/AL103+BN103*AC103/AF103+BO103*Y103/AB103</f>
        <v>1866.20447558118</v>
      </c>
      <c r="BQ103" s="88" t="n">
        <f aca="false">AJ103*(1+IF(K103=3,INDEX(in_sup_vat_rate,1,C103),0))+AO103*Z103/AB103+AW103*BA103+(BC103+BD103)*AW103/AY103+AZ103*AJ103/AL103+BN103*AD103/AF103+BO103*Z103/AB103</f>
        <v>2005.77486930546</v>
      </c>
      <c r="BR103" s="88" t="n">
        <f aca="false">AK103*(1+IF(K103=3,INDEX(in_sup_vat_rate,1,C103),0))+AO103*AA103/AB103+AX103*BA103+(BC103+BD103)*AX103/AY103+AZ103*AK103/AL103+BN103*AE103/AF103+BO103*AA103/AB103</f>
        <v>1573.27369454253</v>
      </c>
      <c r="BS103" s="89" t="n">
        <f aca="false">BP103+BQ103+BR103-BM103</f>
        <v>0</v>
      </c>
      <c r="BT103" s="85" t="n">
        <f aca="false">Y103*(1-R103)</f>
        <v>3299.75</v>
      </c>
      <c r="BU103" s="85" t="n">
        <f aca="false">Z103*(1-R103)</f>
        <v>3299.75</v>
      </c>
      <c r="BV103" s="85" t="n">
        <f aca="false">AA103*(1-R103)</f>
        <v>3250.5</v>
      </c>
      <c r="BW103" s="85" t="n">
        <f aca="false">BT103+BU103+BV103</f>
        <v>9850</v>
      </c>
      <c r="BX103" s="90" t="n">
        <f aca="false">IF(BT103&gt;0,BP103/BT103,0)</f>
        <v>0.565559353157415</v>
      </c>
      <c r="BY103" s="90" t="n">
        <f aca="false">IF(BU103&gt;0,BQ103/BU103,0)</f>
        <v>0.60785661619985</v>
      </c>
      <c r="BZ103" s="90" t="n">
        <f aca="false">IF(BV103&gt;0,BR103/BV103,0)</f>
        <v>0.484009750666831</v>
      </c>
      <c r="CA103" s="90" t="n">
        <f aca="false">INDEX(in_mkt_listing_3464,1,C103)*(1-IF(sku_flute_3464="B",T103,0))*(1-S103)*N103</f>
        <v>0.234</v>
      </c>
      <c r="CB103" s="90" t="n">
        <f aca="false">INDEX(in_mkt_listing_3463,1,C103)*(1-IF(sku_flute_3463="B",T103,0))*(1-S103)*N103</f>
        <v>0.27</v>
      </c>
      <c r="CC103" s="90" t="n">
        <f aca="false">INDEX(in_mkt_listing_3460,1,C103)*(1-IF(sku_flute_3460="B",T103,0))*(1-S103)*N103</f>
        <v>0.225</v>
      </c>
      <c r="CD103" s="88" t="n">
        <f aca="false">BT103*CA103+BU103*CB103+BV103*CC103</f>
        <v>2394.4365</v>
      </c>
      <c r="CE103" s="88" t="n">
        <f aca="false">CD103-BM103</f>
        <v>-3050.81653942917</v>
      </c>
      <c r="CF103" s="87" t="n">
        <f aca="false">IF(CD103&gt;0,CE103/CD103,0)</f>
        <v>-1.27412714408136</v>
      </c>
      <c r="CG103" s="87" t="n">
        <f aca="false">W103+INDEX(in_sel_processing,1,C103)+INDEX(in_sel_bad_debt,1,C103)</f>
        <v>0.058</v>
      </c>
      <c r="CH103" s="88" t="n">
        <f aca="false">CD103*CG103</f>
        <v>138.877317</v>
      </c>
      <c r="CI103" s="88" t="n">
        <f aca="false">INDEX(in_sel_testing,1,C103)*X103+INDEX(in_sel_admin,1,C103)</f>
        <v>3000</v>
      </c>
      <c r="CJ103" s="79" t="n">
        <f aca="false">INDEX(in_sup_lead_days,1,C103)</f>
        <v>21</v>
      </c>
      <c r="CK103" s="79" t="n">
        <f aca="false">CJ103+INDEX(in_oce_transit,1,C103)+IF(F103=4,INDEX(in_oce_lcl_extra_days,1,C103),0)</f>
        <v>58</v>
      </c>
      <c r="CL103" s="79" t="n">
        <f aca="false">CK103+2+INDEX(in_cus_dem_days,1,C103)</f>
        <v>60</v>
      </c>
      <c r="CM103" s="79" t="n">
        <f aca="false">CL103+U103</f>
        <v>105</v>
      </c>
      <c r="CN103" s="79" t="n">
        <f aca="false">CJ103+INDEX(in_sup_vat_lag,1,C103)</f>
        <v>81</v>
      </c>
      <c r="CO103" s="91" t="n">
        <f aca="false">INDEX(in_sup_advance,1,C103)</f>
        <v>0.5</v>
      </c>
      <c r="CP103" s="88" t="n">
        <f aca="false">CO103*(AL103+AM103)+AO103+INDEX(in_sel_testing,1,C103)*X103</f>
        <v>3334.43077946293</v>
      </c>
      <c r="CQ103" s="88" t="n">
        <f aca="false">(1-CO103)*(AL103+AM103)+AR103+AU103+AZ103</f>
        <v>3386.37107262872</v>
      </c>
      <c r="CR103" s="88" t="n">
        <f aca="false">BB103+BC103+BD103+BF103+BJ103</f>
        <v>729.399098082797</v>
      </c>
      <c r="CS103" s="88" t="n">
        <f aca="false">BK103+BL103</f>
        <v>700</v>
      </c>
      <c r="CT103" s="88" t="n">
        <f aca="false">IF(K103=2,AM103,0)</f>
        <v>204.94791074528</v>
      </c>
      <c r="CU103" s="85" t="n">
        <f aca="false">IF(K103=2,CO103*AM103*(CN103-0)+(1-CO103)*AM103*(CN103-CJ103),0)</f>
        <v>14448.8277075422</v>
      </c>
      <c r="CV103" s="85" t="n">
        <f aca="false">(CP103-CO103*CT103)*(CM103-0)+(CQ103-(1-CO103)*CT103)*(CM103-CJ103)+CR103*(CM103-CK103)+CS103*(CM103-CL103)</f>
        <v>680984.581988883</v>
      </c>
      <c r="CW103" s="88" t="n">
        <f aca="false">INDEX(in_sel_fin_rate,1,C103)/365*(CU103+CV103)</f>
        <v>190.529701286692</v>
      </c>
      <c r="CX103" s="85" t="n">
        <f aca="false">CP103-IF(CN103&lt;=0,CT103,0)</f>
        <v>3334.43077946293</v>
      </c>
      <c r="CY103" s="85" t="n">
        <f aca="false">CP103+CQ103-IF(CN103&lt;=CJ103,CT103,0)</f>
        <v>6720.80185209165</v>
      </c>
      <c r="CZ103" s="85" t="n">
        <f aca="false">CP103+CQ103+CR103-IF(CN103&lt;=CK103,CT103,0)</f>
        <v>7450.20095017445</v>
      </c>
      <c r="DA103" s="85" t="n">
        <f aca="false">CP103+CQ103+CR103+CS103-IF(CN103&lt;=CL103,CT103,0)</f>
        <v>8150.20095017445</v>
      </c>
      <c r="DB103" s="88" t="n">
        <f aca="false">MAX(CX103,CY103,CZ103,DA103)</f>
        <v>8150.20095017445</v>
      </c>
      <c r="DC103" s="88" t="n">
        <f aca="false">CP103+CQ103+CR103+CS103</f>
        <v>8150.20095017445</v>
      </c>
      <c r="DD103" s="88" t="n">
        <f aca="false">CE103-CH103-CI103-CW103</f>
        <v>-6380.22355771586</v>
      </c>
      <c r="DE103" s="87" t="n">
        <f aca="false">IF(CD103&gt;0,DD103/CD103,0)</f>
        <v>-2.66460336605955</v>
      </c>
      <c r="DF103" s="86" t="n">
        <f aca="false">IF(CD103&gt;0,(BM103+CI103+CW103)/(CD103*(1-CG103)),0)</f>
        <v>3.8286659936938</v>
      </c>
      <c r="DG103" s="90" t="n">
        <f aca="false">IF(BW103&gt;0,BM103/BW103,0)</f>
        <v>0.552817567454738</v>
      </c>
      <c r="DH103" s="90" t="n">
        <f aca="false">IF(BW103&gt;0,CD103/BW103,0)</f>
        <v>0.24309</v>
      </c>
      <c r="DI103" s="90" t="n">
        <f aca="false">IF(AI103&gt;0,(AI103*IF(K103=3,INDEX(in_sup_vat_rate,1,C103),0)+AV103*BA103+(BC103+BD103)*AV103/AY103+AZ103*AI103/AL103)/AI103,0)</f>
        <v>0.201104141933981</v>
      </c>
      <c r="DJ103" s="90" t="n">
        <f aca="false">IF(AJ103&gt;0,(AJ103*IF(K103=3,INDEX(in_sup_vat_rate,1,C103),0)+AW103*BA103+(BC103+BD103)*AW103/AY103+AZ103*AJ103/AL103)/AJ103,0)</f>
        <v>0.201104141933981</v>
      </c>
      <c r="DK103" s="90" t="n">
        <f aca="false">IF(AK103&gt;0,(AK103*IF(K103=3,INDEX(in_sup_vat_rate,1,C103),0)+AX103*BA103+(BC103+BD103)*AX103/AY103+AZ103*AK103/AL103)/AK103,0)</f>
        <v>0.201104141933981</v>
      </c>
      <c r="DL103" s="90" t="n">
        <f aca="false">IF(Y103&gt;0,(BP103-AI103*(1+DI103))/Y103,0)</f>
        <v>0.366696536556633</v>
      </c>
      <c r="DM103" s="90" t="n">
        <f aca="false">IF(Z103&gt;0,(BQ103-AJ103*(1+DJ103))/Z103,0)</f>
        <v>0.418942297405505</v>
      </c>
      <c r="DN103" s="90" t="n">
        <f aca="false">IF(AA103&gt;0,(BR103-AK103*(1+DK103))/AA103,0)</f>
        <v>0.319712181634133</v>
      </c>
      <c r="DO103" s="86" t="n">
        <f aca="false">IF(Y103&gt;0,(CA103*(1-thr_gm_go)*(1-R103)-DL103)/(1+DI103)*I103/((1+AH103)*J103),"")</f>
        <v>-8.51657094612804</v>
      </c>
      <c r="DP103" s="86" t="n">
        <f aca="false">IF(Z103&gt;0,(CB103*(1-thr_gm_go)*(1-R103)-DM103)/(1+DJ103)*I103/((1+AH103)*J103),"")</f>
        <v>-9.64362873103197</v>
      </c>
      <c r="DQ103" s="86" t="n">
        <f aca="false">IF(AA103&gt;0,(CC103*(1-thr_gm_go)*(1-R103)-DN103)/(1+DK103)*I103/((1+AH103)*J103),"")</f>
        <v>-6.74428209260998</v>
      </c>
      <c r="DR103" s="92" t="n">
        <f aca="false">IF(AND(AY103*INDEX(in_cus_mpf_rate,1,C103)&gt;INDEX(in_cus_mpf_min,1,C103),AY103*INDEX(in_cus_mpf_rate,1,C103)&lt;INDEX(in_cus_mpf_max,1,C103)),INDEX(in_cus_mpf_rate,1,C103),0)</f>
        <v>0</v>
      </c>
      <c r="DS103" s="88" t="n">
        <f aca="false">IF(AZ103&gt;INDEX(in_oce_ins_min,1,C103),INDEX(in_oce_ins_rate,1,C103)*(1+INDEX(in_oce_ins_uplift,1,C103))*AL103,0)</f>
        <v>0</v>
      </c>
      <c r="DT103" s="88" t="n">
        <f aca="false">(AL103+AN103)*(1+BA103+INDEX(in_cus_hmf,1,C103)+DR103)+DS103</f>
        <v>1648.73274626337</v>
      </c>
      <c r="DU103" s="86" t="n">
        <f aca="false">IF(DT103&gt;0,(CD103*(1-thr_gm_go)-(BM103-DT103))/DT103,0)</f>
        <v>-1.21347314942346</v>
      </c>
      <c r="DV103" s="86" t="n">
        <f aca="false">IF(DT103&gt;0,(CD103-(BM103-DT103))/DT103,0)</f>
        <v>-0.850400889012142</v>
      </c>
      <c r="DW103" s="87" t="n">
        <f aca="false">(1+AH103)*J103*DU103-1</f>
        <v>-2.21347314942346</v>
      </c>
      <c r="DX103" s="87" t="n">
        <f aca="false">(1+AH103)*J103*DV103-1</f>
        <v>-1.85040088901214</v>
      </c>
      <c r="DY103" s="85" t="str">
        <f aca="false">IF(G103&gt;0,(CD103*(1-thr_gm_go)-(BM103-AT103))/G103,"")</f>
        <v/>
      </c>
      <c r="DZ103" s="90" t="n">
        <f aca="false">IF(AB103&gt;0,(AL103+AN103+BB103+BC103+BD103)/AB103,0)</f>
        <v>0.168331274626337</v>
      </c>
      <c r="EA103" s="88" t="n">
        <f aca="false">BM103-DZ103*AB103</f>
        <v>3761.9402931658</v>
      </c>
      <c r="EB103" s="90" t="n">
        <f aca="false">IF(AB103&gt;0,CD103/AB103,0)</f>
        <v>0.23944365</v>
      </c>
      <c r="EC103" s="85" t="n">
        <f aca="false">IF(EB103*(1-thr_gm_go)-DZ103&gt;0,EA103/(EB103*(1-thr_gm_go)-DZ103),"n/a")</f>
        <v>334351.215962464</v>
      </c>
      <c r="ED103" s="85" t="n">
        <f aca="false">IF(EB103-DZ103&gt;0,EA103/(EB103-DZ103),"n/a")</f>
        <v>52901.3448559201</v>
      </c>
      <c r="EE103" s="93" t="b">
        <f aca="false">INDEX(cfg_fits,D103,C103)</f>
        <v>1</v>
      </c>
      <c r="EF103" s="87" t="str">
        <f aca="false">IF(F103=4,"",INDEX(cfg_lenutil,D103,C103))</f>
        <v/>
      </c>
      <c r="EG103" s="31" t="str">
        <f aca="false">IF(O103&gt;1,"Check fit (units scaled up)","")</f>
        <v/>
      </c>
    </row>
    <row r="104" customFormat="false" ht="15" hidden="false" customHeight="false" outlineLevel="0" collapsed="false">
      <c r="A104" s="78" t="n">
        <v>2105</v>
      </c>
      <c r="B104" s="9" t="s">
        <v>3252</v>
      </c>
      <c r="C104" s="78" t="n">
        <v>2</v>
      </c>
      <c r="D104" s="78" t="n">
        <v>10</v>
      </c>
      <c r="E104" s="78" t="n">
        <v>5</v>
      </c>
      <c r="F104" s="79" t="n">
        <f aca="false">INDEX(cfg_ct,D104)</f>
        <v>4</v>
      </c>
      <c r="G104" s="79" t="n">
        <f aca="false">INDEX(cfg_n,D104)</f>
        <v>0</v>
      </c>
      <c r="H104" s="79" t="n">
        <f aca="false">INDEX(dest_port,E104)</f>
        <v>4</v>
      </c>
      <c r="I104" s="80" t="n">
        <f aca="false">INDEX(in_fx_cbe,1,C104)*(1-INDEX(in_fx_spread,1,C104))</f>
        <v>52.7748</v>
      </c>
      <c r="J104" s="81" t="n">
        <f aca="false">1</f>
        <v>1</v>
      </c>
      <c r="K104" s="82" t="n">
        <f aca="false">INDEX(in_sup_vat_mode,1,C104)</f>
        <v>2</v>
      </c>
      <c r="L104" s="83" t="n">
        <f aca="false">INDEX(in_cus_s301,1,C104)</f>
        <v>0.125</v>
      </c>
      <c r="M104" s="84" t="n">
        <f aca="false">1</f>
        <v>1</v>
      </c>
      <c r="N104" s="81" t="n">
        <f aca="false">1</f>
        <v>1</v>
      </c>
      <c r="O104" s="81" t="n">
        <f aca="false">1</f>
        <v>1</v>
      </c>
      <c r="P104" s="81" t="n">
        <f aca="false">1</f>
        <v>1</v>
      </c>
      <c r="Q104" s="81" t="n">
        <f aca="false">1</f>
        <v>1</v>
      </c>
      <c r="R104" s="83" t="n">
        <f aca="false">INDEX(in_sel_damage,1,C104)</f>
        <v>0.015</v>
      </c>
      <c r="S104" s="83" t="n">
        <f aca="false">INDEX(in_mkt_dist_margin,1,C104)</f>
        <v>0.25</v>
      </c>
      <c r="T104" s="83" t="n">
        <f aca="false">INDEX(in_mkt_eflute_disc,1,C104)</f>
        <v>0.2</v>
      </c>
      <c r="U104" s="82" t="n">
        <f aca="false">INDEX(in_sel_credit_days,1,C104)</f>
        <v>45</v>
      </c>
      <c r="V104" s="81" t="n">
        <f aca="false">1</f>
        <v>1</v>
      </c>
      <c r="W104" s="83" t="n">
        <f aca="false">INDEX(in_sel_commission,1,C104)</f>
        <v>0.05</v>
      </c>
      <c r="X104" s="82" t="n">
        <f aca="false">1</f>
        <v>1</v>
      </c>
      <c r="Y104" s="85" t="n">
        <f aca="false">INDEX(cfg_u_3464,D104,C104)*O104</f>
        <v>3350</v>
      </c>
      <c r="Z104" s="85" t="n">
        <f aca="false">INDEX(cfg_u_3463,D104,C104)*O104</f>
        <v>3350</v>
      </c>
      <c r="AA104" s="85" t="n">
        <f aca="false">INDEX(cfg_u_3460,D104,C104)*O104</f>
        <v>3300</v>
      </c>
      <c r="AB104" s="85" t="n">
        <f aca="false">Y104+Z104+AA104</f>
        <v>10000</v>
      </c>
      <c r="AC104" s="86" t="n">
        <f aca="false">Y104*INDEX(lg_vpu_3464,C104)</f>
        <v>2.3831632</v>
      </c>
      <c r="AD104" s="86" t="n">
        <f aca="false">Z104*INDEX(lg_vpu_3463,C104)</f>
        <v>2.9154112</v>
      </c>
      <c r="AE104" s="86" t="n">
        <f aca="false">AA104*INDEX(lg_vpu_3460,C104)</f>
        <v>1.8760896</v>
      </c>
      <c r="AF104" s="86" t="n">
        <f aca="false">AC104+AD104+AE104</f>
        <v>7.174664</v>
      </c>
      <c r="AG104" s="85" t="n">
        <f aca="false">Y104*INDEX(lg_kpu_3464,C104)+Z104*INDEX(lg_kpu_3463,C104)+AA104*INDEX(lg_kpu_3460,C104)</f>
        <v>1725.464306</v>
      </c>
      <c r="AH104" s="87" t="n">
        <f aca="false">INDEX(in_sup_requote,1,C104)</f>
        <v>0</v>
      </c>
      <c r="AI104" s="88" t="n">
        <f aca="false">Y104*q_price_3464*(1+AH104)*J104/I104</f>
        <v>530.987327284992</v>
      </c>
      <c r="AJ104" s="88" t="n">
        <f aca="false">Z104*q_price_3463*(1+AH104)*J104/I104</f>
        <v>501.470398750919</v>
      </c>
      <c r="AK104" s="88" t="n">
        <f aca="false">AA104*q_price_3460*(1+AH104)*J104/I104</f>
        <v>431.45592214466</v>
      </c>
      <c r="AL104" s="88" t="n">
        <f aca="false">AI104+AJ104+AK104</f>
        <v>1463.91364818057</v>
      </c>
      <c r="AM104" s="88" t="n">
        <f aca="false">IF(OR(K104=2,K104=3),AL104*INDEX(in_sup_vat_rate,1,C104),0)</f>
        <v>204.94791074528</v>
      </c>
      <c r="AN104" s="88" t="n">
        <f aca="false">IF(K104=3,AM104,0)</f>
        <v>0</v>
      </c>
      <c r="AO104" s="88" t="n">
        <f aca="false">INDEX(in_sup_tooling_egp,1,C104)/I104</f>
        <v>0</v>
      </c>
      <c r="AP104" s="88" t="n">
        <f aca="false">IF(F104=4,INDEX(in_ori_lcl_truck,1,C104)*V104/I104+INDEX(in_ori_lcl_cfs_o,1,C104),G104*(IF(F104=1,INDEX(in_ori_truck_20,1,C104),INDEX(in_ori_truck_40,1,C104))*V104/I104+INDEX(in_ori_terminal,1,C104)+IF(F104=1,INDEX(in_ori_othc_20,1,C104),INDEX(in_ori_othc_40,1,C104))*(1-INDEX(in_ori_othc_in_freight,1,C104))+INDEX(in_ori_seal,1,C104)+INDEX(in_ori_inspection,1,C104)+INDEX(in_ori_dd_days,1,C104)*IF(F104=1,INDEX(in_ori_dd_20,1,C104),INDEX(in_ori_dd_40,1,C104))+INDEX(in_ori_loading_egp,1,C104)/I104))</f>
        <v>282.639062582899</v>
      </c>
      <c r="AQ104" s="88" t="n">
        <f aca="false">(INDEX(in_ori_clearance,1,C104)+INDEX(in_ori_coo,1,C104))/I104+INDEX(in_ori_bl_fee,1,C104)+INDEX(in_ori_fwd_fee,1,C104)+INDEX(in_ori_qc,1,C104)+INDEX(in_ori_wires,1,C104)*INDEX(in_ori_wire_fee,1,C104)</f>
        <v>817.639062582899</v>
      </c>
      <c r="AR104" s="88" t="n">
        <f aca="false">AP104+AQ104</f>
        <v>1100.2781251658</v>
      </c>
      <c r="AS104" s="85" t="n">
        <f aca="false">INDEX(tbl_port_diff,H104,C104)</f>
        <v>100</v>
      </c>
      <c r="AT104" s="88" t="n">
        <f aca="false">IF(F104=4,MAX(AF104*INDEX(in_oce_lcl_factor,1,C104),AG104/1000,1)*INDEX(in_oce_lcl_rate,1,C104)*M104,G104*(INDEX(tbl_ocean_rate,MIN(F104,3),C104)+AS104)*M104)</f>
        <v>1341.662168</v>
      </c>
      <c r="AU104" s="88" t="n">
        <f aca="false">AT104+INDEX(in_oce_ams,1,C104)</f>
        <v>1376.662168</v>
      </c>
      <c r="AV104" s="88" t="n">
        <f aca="false">AI104*(1+IF(K104=3,INDEX(in_sup_vat_rate,1,C104),0))+AO104*Y104/AB104</f>
        <v>530.987327284992</v>
      </c>
      <c r="AW104" s="88" t="n">
        <f aca="false">AJ104*(1+IF(K104=3,INDEX(in_sup_vat_rate,1,C104),0))+AO104*Z104/AB104</f>
        <v>501.470398750919</v>
      </c>
      <c r="AX104" s="88" t="n">
        <f aca="false">AK104*(1+IF(K104=3,INDEX(in_sup_vat_rate,1,C104),0))+AO104*AA104/AB104</f>
        <v>431.45592214466</v>
      </c>
      <c r="AY104" s="88" t="n">
        <f aca="false">AV104+AW104+AX104</f>
        <v>1463.91364818057</v>
      </c>
      <c r="AZ104" s="88" t="n">
        <f aca="false">MAX(INDEX(in_oce_ins_min,1,C104),INDEX(in_oce_ins_rate,1,C104)*(1+INDEX(in_oce_ins_uplift,1,C104))*(AL104+AO104+AR104+AU104))*(1-INDEX(in_oce_ins_in_other,1,C104))</f>
        <v>75</v>
      </c>
      <c r="BA104" s="87" t="n">
        <f aca="false">INDEX(in_cus_mfn,1,C104)+L104</f>
        <v>0.125</v>
      </c>
      <c r="BB104" s="88" t="n">
        <f aca="false">AY104*BA104</f>
        <v>182.989206022571</v>
      </c>
      <c r="BC104" s="88" t="n">
        <f aca="false">MIN(MAX(AY104*INDEX(in_cus_mpf_rate,1,C104),INDEX(in_cus_mpf_min,1,C104)),INDEX(in_cus_mpf_max,1,C104))</f>
        <v>34.58</v>
      </c>
      <c r="BD104" s="88" t="n">
        <f aca="false">AY104*INDEX(in_cus_hmf,1,C104)</f>
        <v>1.82989206022571</v>
      </c>
      <c r="BE104" s="88" t="n">
        <f aca="false">MAX(INDEX(in_cus_stb_min,1,C104),INDEX(in_cus_stb_rate,1,C104)/1000*(AY104+BB104+BC104+BD104))</f>
        <v>75</v>
      </c>
      <c r="BF104" s="88" t="n">
        <f aca="false">INDEX(in_cus_broker,1,C104)+INDEX(in_cus_isf,1,C104)+INDEX(in_cus_do_fee,1,C104)+BE104+INDEX(in_cus_isf_bond,1,C104)</f>
        <v>510</v>
      </c>
      <c r="BG104" s="88" t="n">
        <f aca="false">IF(H104=1,INDEX(in_cus_cfc,1,C104)*INDEX(ct_teu,F104)*G104*(1-INDEX(in_cus_cfc_in_freight,1,C104)),0)</f>
        <v>0</v>
      </c>
      <c r="BH104" s="88" t="n">
        <f aca="false">IF(F104=4,1,G104)*(INDEX(in_cus_exam,1,C104)+INDEX(in_cus_exam_dray,1,C104))</f>
        <v>0</v>
      </c>
      <c r="BI104" s="88" t="n">
        <f aca="false">IF(F104=4,1,G104)*INDEX(in_cus_dem_days,1,C104)*INDEX(in_cus_dem_rate,1,C104)</f>
        <v>0</v>
      </c>
      <c r="BJ104" s="88" t="n">
        <f aca="false">BG104+BH104+BI104</f>
        <v>0</v>
      </c>
      <c r="BK104" s="88" t="n">
        <f aca="false">IF(F104=4,(INDEX(in_dra_lcl_cfs_d,1,C104)+INDEX(in_dra_lcl_deliv,1,C104))*P104,G104*(INDEX(tbl_dest_line,E104,C104)*P104*(1+INDEX(in_dra_fsc,1,C104))+INDEX(tbl_dest_tolls,E104,C104)+INDEX(in_dra_chassis_days,1,C104)*INDEX(tbl_dest_chassis,E104,C104)*(1-INDEX(in_dra_chassis_in_dray,1,C104))+INDEX(in_dra_wait_hours,1,C104)*INDEX(in_dra_wait_rate,1,C104)+INDEX(in_dra_split,1,C104)+INDEX(in_dra_prepull,1,C104)+INDEX(in_dra_dryrun,1,C104)))</f>
        <v>700</v>
      </c>
      <c r="BL104" s="88" t="n">
        <f aca="false">IF(F104=4,0,G104*IF(F104=1,INDEX(in_dra_unload_20,1,C104),INDEX(in_dra_unload_40,1,C104))*Q104*(1-INDEX(in_dra_unload_in_dray,1,C104)))</f>
        <v>0</v>
      </c>
      <c r="BM104" s="88" t="n">
        <f aca="false">AL104+AN104+AO104+AR104+AU104+AZ104+BB104+BC104+BD104+BF104+BJ104+BK104+BL104</f>
        <v>5445.25303942917</v>
      </c>
      <c r="BN104" s="88" t="n">
        <f aca="false">AP104+AU104+BJ104+BK104+BL104</f>
        <v>2359.3012305829</v>
      </c>
      <c r="BO104" s="88" t="n">
        <f aca="false">AQ104+BF104</f>
        <v>1327.6390625829</v>
      </c>
      <c r="BP104" s="88" t="n">
        <f aca="false">AI104*(1+IF(K104=3,INDEX(in_sup_vat_rate,1,C104),0))+AO104*Y104/AB104+AV104*BA104+(BC104+BD104)*AV104/AY104+AZ104*AI104/AL104+BN104*AC104/AF104+BO104*Y104/AB104</f>
        <v>1866.20447558118</v>
      </c>
      <c r="BQ104" s="88" t="n">
        <f aca="false">AJ104*(1+IF(K104=3,INDEX(in_sup_vat_rate,1,C104),0))+AO104*Z104/AB104+AW104*BA104+(BC104+BD104)*AW104/AY104+AZ104*AJ104/AL104+BN104*AD104/AF104+BO104*Z104/AB104</f>
        <v>2005.77486930546</v>
      </c>
      <c r="BR104" s="88" t="n">
        <f aca="false">AK104*(1+IF(K104=3,INDEX(in_sup_vat_rate,1,C104),0))+AO104*AA104/AB104+AX104*BA104+(BC104+BD104)*AX104/AY104+AZ104*AK104/AL104+BN104*AE104/AF104+BO104*AA104/AB104</f>
        <v>1573.27369454253</v>
      </c>
      <c r="BS104" s="89" t="n">
        <f aca="false">BP104+BQ104+BR104-BM104</f>
        <v>0</v>
      </c>
      <c r="BT104" s="85" t="n">
        <f aca="false">Y104*(1-R104)</f>
        <v>3299.75</v>
      </c>
      <c r="BU104" s="85" t="n">
        <f aca="false">Z104*(1-R104)</f>
        <v>3299.75</v>
      </c>
      <c r="BV104" s="85" t="n">
        <f aca="false">AA104*(1-R104)</f>
        <v>3250.5</v>
      </c>
      <c r="BW104" s="85" t="n">
        <f aca="false">BT104+BU104+BV104</f>
        <v>9850</v>
      </c>
      <c r="BX104" s="90" t="n">
        <f aca="false">IF(BT104&gt;0,BP104/BT104,0)</f>
        <v>0.565559353157415</v>
      </c>
      <c r="BY104" s="90" t="n">
        <f aca="false">IF(BU104&gt;0,BQ104/BU104,0)</f>
        <v>0.60785661619985</v>
      </c>
      <c r="BZ104" s="90" t="n">
        <f aca="false">IF(BV104&gt;0,BR104/BV104,0)</f>
        <v>0.484009750666831</v>
      </c>
      <c r="CA104" s="90" t="n">
        <f aca="false">INDEX(in_mkt_listing_3464,1,C104)*(1-IF(sku_flute_3464="B",T104,0))*(1-S104)*N104</f>
        <v>0.234</v>
      </c>
      <c r="CB104" s="90" t="n">
        <f aca="false">INDEX(in_mkt_listing_3463,1,C104)*(1-IF(sku_flute_3463="B",T104,0))*(1-S104)*N104</f>
        <v>0.27</v>
      </c>
      <c r="CC104" s="90" t="n">
        <f aca="false">INDEX(in_mkt_listing_3460,1,C104)*(1-IF(sku_flute_3460="B",T104,0))*(1-S104)*N104</f>
        <v>0.225</v>
      </c>
      <c r="CD104" s="88" t="n">
        <f aca="false">BT104*CA104+BU104*CB104+BV104*CC104</f>
        <v>2394.4365</v>
      </c>
      <c r="CE104" s="88" t="n">
        <f aca="false">CD104-BM104</f>
        <v>-3050.81653942917</v>
      </c>
      <c r="CF104" s="87" t="n">
        <f aca="false">IF(CD104&gt;0,CE104/CD104,0)</f>
        <v>-1.27412714408136</v>
      </c>
      <c r="CG104" s="87" t="n">
        <f aca="false">W104+INDEX(in_sel_processing,1,C104)+INDEX(in_sel_bad_debt,1,C104)</f>
        <v>0.058</v>
      </c>
      <c r="CH104" s="88" t="n">
        <f aca="false">CD104*CG104</f>
        <v>138.877317</v>
      </c>
      <c r="CI104" s="88" t="n">
        <f aca="false">INDEX(in_sel_testing,1,C104)*X104+INDEX(in_sel_admin,1,C104)</f>
        <v>3000</v>
      </c>
      <c r="CJ104" s="79" t="n">
        <f aca="false">INDEX(in_sup_lead_days,1,C104)</f>
        <v>21</v>
      </c>
      <c r="CK104" s="79" t="n">
        <f aca="false">CJ104+INDEX(in_oce_transit,1,C104)+IF(F104=4,INDEX(in_oce_lcl_extra_days,1,C104),0)</f>
        <v>58</v>
      </c>
      <c r="CL104" s="79" t="n">
        <f aca="false">CK104+2+INDEX(in_cus_dem_days,1,C104)</f>
        <v>60</v>
      </c>
      <c r="CM104" s="79" t="n">
        <f aca="false">CL104+U104</f>
        <v>105</v>
      </c>
      <c r="CN104" s="79" t="n">
        <f aca="false">CJ104+INDEX(in_sup_vat_lag,1,C104)</f>
        <v>81</v>
      </c>
      <c r="CO104" s="91" t="n">
        <f aca="false">INDEX(in_sup_advance,1,C104)</f>
        <v>0.5</v>
      </c>
      <c r="CP104" s="88" t="n">
        <f aca="false">CO104*(AL104+AM104)+AO104+INDEX(in_sel_testing,1,C104)*X104</f>
        <v>3334.43077946293</v>
      </c>
      <c r="CQ104" s="88" t="n">
        <f aca="false">(1-CO104)*(AL104+AM104)+AR104+AU104+AZ104</f>
        <v>3386.37107262872</v>
      </c>
      <c r="CR104" s="88" t="n">
        <f aca="false">BB104+BC104+BD104+BF104+BJ104</f>
        <v>729.399098082797</v>
      </c>
      <c r="CS104" s="88" t="n">
        <f aca="false">BK104+BL104</f>
        <v>700</v>
      </c>
      <c r="CT104" s="88" t="n">
        <f aca="false">IF(K104=2,AM104,0)</f>
        <v>204.94791074528</v>
      </c>
      <c r="CU104" s="85" t="n">
        <f aca="false">IF(K104=2,CO104*AM104*(CN104-0)+(1-CO104)*AM104*(CN104-CJ104),0)</f>
        <v>14448.8277075422</v>
      </c>
      <c r="CV104" s="85" t="n">
        <f aca="false">(CP104-CO104*CT104)*(CM104-0)+(CQ104-(1-CO104)*CT104)*(CM104-CJ104)+CR104*(CM104-CK104)+CS104*(CM104-CL104)</f>
        <v>680984.581988883</v>
      </c>
      <c r="CW104" s="88" t="n">
        <f aca="false">INDEX(in_sel_fin_rate,1,C104)/365*(CU104+CV104)</f>
        <v>190.529701286692</v>
      </c>
      <c r="CX104" s="85" t="n">
        <f aca="false">CP104-IF(CN104&lt;=0,CT104,0)</f>
        <v>3334.43077946293</v>
      </c>
      <c r="CY104" s="85" t="n">
        <f aca="false">CP104+CQ104-IF(CN104&lt;=CJ104,CT104,0)</f>
        <v>6720.80185209165</v>
      </c>
      <c r="CZ104" s="85" t="n">
        <f aca="false">CP104+CQ104+CR104-IF(CN104&lt;=CK104,CT104,0)</f>
        <v>7450.20095017445</v>
      </c>
      <c r="DA104" s="85" t="n">
        <f aca="false">CP104+CQ104+CR104+CS104-IF(CN104&lt;=CL104,CT104,0)</f>
        <v>8150.20095017445</v>
      </c>
      <c r="DB104" s="88" t="n">
        <f aca="false">MAX(CX104,CY104,CZ104,DA104)</f>
        <v>8150.20095017445</v>
      </c>
      <c r="DC104" s="88" t="n">
        <f aca="false">CP104+CQ104+CR104+CS104</f>
        <v>8150.20095017445</v>
      </c>
      <c r="DD104" s="88" t="n">
        <f aca="false">CE104-CH104-CI104-CW104</f>
        <v>-6380.22355771586</v>
      </c>
      <c r="DE104" s="87" t="n">
        <f aca="false">IF(CD104&gt;0,DD104/CD104,0)</f>
        <v>-2.66460336605955</v>
      </c>
      <c r="DF104" s="86" t="n">
        <f aca="false">IF(CD104&gt;0,(BM104+CI104+CW104)/(CD104*(1-CG104)),0)</f>
        <v>3.8286659936938</v>
      </c>
      <c r="DG104" s="90" t="n">
        <f aca="false">IF(BW104&gt;0,BM104/BW104,0)</f>
        <v>0.552817567454738</v>
      </c>
      <c r="DH104" s="90" t="n">
        <f aca="false">IF(BW104&gt;0,CD104/BW104,0)</f>
        <v>0.24309</v>
      </c>
      <c r="DI104" s="90" t="n">
        <f aca="false">IF(AI104&gt;0,(AI104*IF(K104=3,INDEX(in_sup_vat_rate,1,C104),0)+AV104*BA104+(BC104+BD104)*AV104/AY104+AZ104*AI104/AL104)/AI104,0)</f>
        <v>0.201104141933981</v>
      </c>
      <c r="DJ104" s="90" t="n">
        <f aca="false">IF(AJ104&gt;0,(AJ104*IF(K104=3,INDEX(in_sup_vat_rate,1,C104),0)+AW104*BA104+(BC104+BD104)*AW104/AY104+AZ104*AJ104/AL104)/AJ104,0)</f>
        <v>0.201104141933981</v>
      </c>
      <c r="DK104" s="90" t="n">
        <f aca="false">IF(AK104&gt;0,(AK104*IF(K104=3,INDEX(in_sup_vat_rate,1,C104),0)+AX104*BA104+(BC104+BD104)*AX104/AY104+AZ104*AK104/AL104)/AK104,0)</f>
        <v>0.201104141933981</v>
      </c>
      <c r="DL104" s="90" t="n">
        <f aca="false">IF(Y104&gt;0,(BP104-AI104*(1+DI104))/Y104,0)</f>
        <v>0.366696536556633</v>
      </c>
      <c r="DM104" s="90" t="n">
        <f aca="false">IF(Z104&gt;0,(BQ104-AJ104*(1+DJ104))/Z104,0)</f>
        <v>0.418942297405505</v>
      </c>
      <c r="DN104" s="90" t="n">
        <f aca="false">IF(AA104&gt;0,(BR104-AK104*(1+DK104))/AA104,0)</f>
        <v>0.319712181634133</v>
      </c>
      <c r="DO104" s="86" t="n">
        <f aca="false">IF(Y104&gt;0,(CA104*(1-thr_gm_go)*(1-R104)-DL104)/(1+DI104)*I104/((1+AH104)*J104),"")</f>
        <v>-8.51657094612804</v>
      </c>
      <c r="DP104" s="86" t="n">
        <f aca="false">IF(Z104&gt;0,(CB104*(1-thr_gm_go)*(1-R104)-DM104)/(1+DJ104)*I104/((1+AH104)*J104),"")</f>
        <v>-9.64362873103197</v>
      </c>
      <c r="DQ104" s="86" t="n">
        <f aca="false">IF(AA104&gt;0,(CC104*(1-thr_gm_go)*(1-R104)-DN104)/(1+DK104)*I104/((1+AH104)*J104),"")</f>
        <v>-6.74428209260998</v>
      </c>
      <c r="DR104" s="92" t="n">
        <f aca="false">IF(AND(AY104*INDEX(in_cus_mpf_rate,1,C104)&gt;INDEX(in_cus_mpf_min,1,C104),AY104*INDEX(in_cus_mpf_rate,1,C104)&lt;INDEX(in_cus_mpf_max,1,C104)),INDEX(in_cus_mpf_rate,1,C104),0)</f>
        <v>0</v>
      </c>
      <c r="DS104" s="88" t="n">
        <f aca="false">IF(AZ104&gt;INDEX(in_oce_ins_min,1,C104),INDEX(in_oce_ins_rate,1,C104)*(1+INDEX(in_oce_ins_uplift,1,C104))*AL104,0)</f>
        <v>0</v>
      </c>
      <c r="DT104" s="88" t="n">
        <f aca="false">(AL104+AN104)*(1+BA104+INDEX(in_cus_hmf,1,C104)+DR104)+DS104</f>
        <v>1648.73274626337</v>
      </c>
      <c r="DU104" s="86" t="n">
        <f aca="false">IF(DT104&gt;0,(CD104*(1-thr_gm_go)-(BM104-DT104))/DT104,0)</f>
        <v>-1.21347314942346</v>
      </c>
      <c r="DV104" s="86" t="n">
        <f aca="false">IF(DT104&gt;0,(CD104-(BM104-DT104))/DT104,0)</f>
        <v>-0.850400889012142</v>
      </c>
      <c r="DW104" s="87" t="n">
        <f aca="false">(1+AH104)*J104*DU104-1</f>
        <v>-2.21347314942346</v>
      </c>
      <c r="DX104" s="87" t="n">
        <f aca="false">(1+AH104)*J104*DV104-1</f>
        <v>-1.85040088901214</v>
      </c>
      <c r="DY104" s="85" t="str">
        <f aca="false">IF(G104&gt;0,(CD104*(1-thr_gm_go)-(BM104-AT104))/G104,"")</f>
        <v/>
      </c>
      <c r="DZ104" s="90" t="n">
        <f aca="false">IF(AB104&gt;0,(AL104+AN104+BB104+BC104+BD104)/AB104,0)</f>
        <v>0.168331274626337</v>
      </c>
      <c r="EA104" s="88" t="n">
        <f aca="false">BM104-DZ104*AB104</f>
        <v>3761.9402931658</v>
      </c>
      <c r="EB104" s="90" t="n">
        <f aca="false">IF(AB104&gt;0,CD104/AB104,0)</f>
        <v>0.23944365</v>
      </c>
      <c r="EC104" s="85" t="n">
        <f aca="false">IF(EB104*(1-thr_gm_go)-DZ104&gt;0,EA104/(EB104*(1-thr_gm_go)-DZ104),"n/a")</f>
        <v>334351.215962464</v>
      </c>
      <c r="ED104" s="85" t="n">
        <f aca="false">IF(EB104-DZ104&gt;0,EA104/(EB104-DZ104),"n/a")</f>
        <v>52901.3448559201</v>
      </c>
      <c r="EE104" s="93" t="b">
        <f aca="false">INDEX(cfg_fits,D104,C104)</f>
        <v>1</v>
      </c>
      <c r="EF104" s="87" t="str">
        <f aca="false">IF(F104=4,"",INDEX(cfg_lenutil,D104,C104))</f>
        <v/>
      </c>
      <c r="EG104" s="31" t="str">
        <f aca="false">IF(O104&gt;1,"Check fit (units scaled up)","")</f>
        <v/>
      </c>
    </row>
    <row r="105" customFormat="false" ht="15" hidden="false" customHeight="false" outlineLevel="0" collapsed="false">
      <c r="A105" s="78" t="n">
        <v>3011</v>
      </c>
      <c r="B105" s="9" t="s">
        <v>3253</v>
      </c>
      <c r="C105" s="78" t="n">
        <v>3</v>
      </c>
      <c r="D105" s="78" t="n">
        <v>1</v>
      </c>
      <c r="E105" s="78" t="n">
        <v>1</v>
      </c>
      <c r="F105" s="79" t="n">
        <f aca="false">INDEX(cfg_ct,D105)</f>
        <v>3</v>
      </c>
      <c r="G105" s="79" t="n">
        <f aca="false">INDEX(cfg_n,D105)</f>
        <v>1</v>
      </c>
      <c r="H105" s="79" t="n">
        <f aca="false">INDEX(dest_port,E105)</f>
        <v>1</v>
      </c>
      <c r="I105" s="80" t="n">
        <f aca="false">INDEX(in_fx_cbe,1,C105)*(1-INDEX(in_fx_spread,1,C105))</f>
        <v>48.265</v>
      </c>
      <c r="J105" s="81" t="n">
        <f aca="false">1</f>
        <v>1</v>
      </c>
      <c r="K105" s="82" t="n">
        <f aca="false">INDEX(in_sup_vat_mode,1,C105)</f>
        <v>3</v>
      </c>
      <c r="L105" s="83" t="n">
        <f aca="false">INDEX(in_cus_s301,1,C105)</f>
        <v>0.125</v>
      </c>
      <c r="M105" s="84" t="n">
        <f aca="false">1</f>
        <v>1</v>
      </c>
      <c r="N105" s="81" t="n">
        <f aca="false">1</f>
        <v>1</v>
      </c>
      <c r="O105" s="81" t="n">
        <f aca="false">1</f>
        <v>1</v>
      </c>
      <c r="P105" s="81" t="n">
        <f aca="false">1</f>
        <v>1</v>
      </c>
      <c r="Q105" s="81" t="n">
        <f aca="false">1</f>
        <v>1</v>
      </c>
      <c r="R105" s="83" t="n">
        <f aca="false">INDEX(in_sel_damage,1,C105)</f>
        <v>0.04</v>
      </c>
      <c r="S105" s="83" t="n">
        <f aca="false">INDEX(in_mkt_dist_margin,1,C105)</f>
        <v>0.3</v>
      </c>
      <c r="T105" s="83" t="n">
        <f aca="false">INDEX(in_mkt_eflute_disc,1,C105)</f>
        <v>0.25</v>
      </c>
      <c r="U105" s="82" t="n">
        <f aca="false">INDEX(in_sel_credit_days,1,C105)</f>
        <v>60</v>
      </c>
      <c r="V105" s="81" t="n">
        <f aca="false">1</f>
        <v>1</v>
      </c>
      <c r="W105" s="83" t="n">
        <f aca="false">INDEX(in_sel_commission,1,C105)</f>
        <v>0.07</v>
      </c>
      <c r="X105" s="82" t="n">
        <f aca="false">1</f>
        <v>1</v>
      </c>
      <c r="Y105" s="85" t="n">
        <f aca="false">INDEX(cfg_u_3464,D105,C105)*O105</f>
        <v>20000</v>
      </c>
      <c r="Z105" s="85" t="n">
        <f aca="false">INDEX(cfg_u_3463,D105,C105)*O105</f>
        <v>20000</v>
      </c>
      <c r="AA105" s="85" t="n">
        <f aca="false">INDEX(cfg_u_3460,D105,C105)*O105</f>
        <v>20000</v>
      </c>
      <c r="AB105" s="85" t="n">
        <f aca="false">Y105+Z105+AA105</f>
        <v>60000</v>
      </c>
      <c r="AC105" s="86" t="n">
        <f aca="false">Y105*INDEX(lg_vpu_3464,C105)</f>
        <v>16.00632</v>
      </c>
      <c r="AD105" s="86" t="n">
        <f aca="false">Z105*INDEX(lg_vpu_3463,C105)</f>
        <v>19.58112</v>
      </c>
      <c r="AE105" s="86" t="n">
        <f aca="false">AA105*INDEX(lg_vpu_3460,C105)</f>
        <v>12.79152</v>
      </c>
      <c r="AF105" s="86" t="n">
        <f aca="false">AC105+AD105+AE105</f>
        <v>48.37896</v>
      </c>
      <c r="AG105" s="85" t="n">
        <f aca="false">Y105*INDEX(lg_kpu_3464,C105)+Z105*INDEX(lg_kpu_3463,C105)+AA105*INDEX(lg_kpu_3460,C105)</f>
        <v>11802.43968</v>
      </c>
      <c r="AH105" s="87" t="n">
        <f aca="false">INDEX(in_sup_requote,1,C105)</f>
        <v>0.1</v>
      </c>
      <c r="AI105" s="88" t="n">
        <f aca="false">Y105*q_price_3464*(1+AH105)*J105/I105</f>
        <v>3812.90790427846</v>
      </c>
      <c r="AJ105" s="88" t="n">
        <f aca="false">Z105*q_price_3463*(1+AH105)*J105/I105</f>
        <v>3600.95307158396</v>
      </c>
      <c r="AK105" s="88" t="n">
        <f aca="false">AA105*q_price_3460*(1+AH105)*J105/I105</f>
        <v>3145.13622707966</v>
      </c>
      <c r="AL105" s="88" t="n">
        <f aca="false">AI105+AJ105+AK105</f>
        <v>10558.9972029421</v>
      </c>
      <c r="AM105" s="88" t="n">
        <f aca="false">IF(OR(K105=2,K105=3),AL105*INDEX(in_sup_vat_rate,1,C105),0)</f>
        <v>1478.25960841189</v>
      </c>
      <c r="AN105" s="88" t="n">
        <f aca="false">IF(K105=3,AM105,0)</f>
        <v>1478.25960841189</v>
      </c>
      <c r="AO105" s="88" t="n">
        <f aca="false">INDEX(in_sup_tooling_egp,1,C105)/I105</f>
        <v>517.973686936704</v>
      </c>
      <c r="AP105" s="88" t="n">
        <f aca="false">IF(F105=4,INDEX(in_ori_lcl_truck,1,C105)*V105/I105+INDEX(in_ori_lcl_cfs_o,1,C105),G105*(IF(F105=1,INDEX(in_ori_truck_20,1,C105),INDEX(in_ori_truck_40,1,C105))*V105/I105+INDEX(in_ori_terminal,1,C105)+IF(F105=1,INDEX(in_ori_othc_20,1,C105),INDEX(in_ori_othc_40,1,C105))*(1-INDEX(in_ori_othc_in_freight,1,C105))+INDEX(in_ori_seal,1,C105)+INDEX(in_ori_inspection,1,C105)+INDEX(in_ori_dd_days,1,C105)*IF(F105=1,INDEX(in_ori_dd_20,1,C105),INDEX(in_ori_dd_40,1,C105))+INDEX(in_ori_loading_egp,1,C105)/I105))</f>
        <v>882.378949549363</v>
      </c>
      <c r="AQ105" s="88" t="n">
        <f aca="false">(INDEX(in_ori_clearance,1,C105)+INDEX(in_ori_coo,1,C105))/I105+INDEX(in_ori_bl_fee,1,C105)+INDEX(in_ori_fwd_fee,1,C105)+INDEX(in_ori_qc,1,C105)+INDEX(in_ori_wires,1,C105)*INDEX(in_ori_wire_fee,1,C105)</f>
        <v>1167.90842225215</v>
      </c>
      <c r="AR105" s="88" t="n">
        <f aca="false">AP105+AQ105</f>
        <v>2050.28737180151</v>
      </c>
      <c r="AS105" s="85" t="n">
        <f aca="false">INDEX(tbl_port_diff,H105,C105)</f>
        <v>0</v>
      </c>
      <c r="AT105" s="88" t="n">
        <f aca="false">IF(F105=4,MAX(AF105*INDEX(in_oce_lcl_factor,1,C105),AG105/1000,1)*INDEX(in_oce_lcl_rate,1,C105)*M105,G105*(INDEX(tbl_ocean_rate,MIN(F105,3),C105)+AS105)*M105)</f>
        <v>5000</v>
      </c>
      <c r="AU105" s="88" t="n">
        <f aca="false">AT105+INDEX(in_oce_ams,1,C105)</f>
        <v>5045</v>
      </c>
      <c r="AV105" s="88" t="n">
        <f aca="false">AI105*(1+IF(K105=3,INDEX(in_sup_vat_rate,1,C105),0))+AO105*Y105/AB105</f>
        <v>4519.37290652302</v>
      </c>
      <c r="AW105" s="88" t="n">
        <f aca="false">AJ105*(1+IF(K105=3,INDEX(in_sup_vat_rate,1,C105),0))+AO105*Z105/AB105</f>
        <v>4277.74439725129</v>
      </c>
      <c r="AX105" s="88" t="n">
        <f aca="false">AK105*(1+IF(K105=3,INDEX(in_sup_vat_rate,1,C105),0))+AO105*AA105/AB105</f>
        <v>3758.11319451639</v>
      </c>
      <c r="AY105" s="88" t="n">
        <f aca="false">AV105+AW105+AX105</f>
        <v>12555.2304982907</v>
      </c>
      <c r="AZ105" s="88" t="n">
        <f aca="false">MAX(INDEX(in_oce_ins_min,1,C105),INDEX(in_oce_ins_rate,1,C105)*(1+INDEX(in_oce_ins_uplift,1,C105))*(AL105+AO105+AR105+AU105))*(1-INDEX(in_oce_ins_in_other,1,C105))</f>
        <v>100</v>
      </c>
      <c r="BA105" s="87" t="n">
        <f aca="false">INDEX(in_cus_mfn,1,C105)+L105</f>
        <v>0.125</v>
      </c>
      <c r="BB105" s="88" t="n">
        <f aca="false">AY105*BA105</f>
        <v>1569.40381228634</v>
      </c>
      <c r="BC105" s="88" t="n">
        <f aca="false">MIN(MAX(AY105*INDEX(in_cus_mpf_rate,1,C105),INDEX(in_cus_mpf_min,1,C105)),INDEX(in_cus_mpf_max,1,C105))</f>
        <v>43.4913184460789</v>
      </c>
      <c r="BD105" s="88" t="n">
        <f aca="false">AY105*INDEX(in_cus_hmf,1,C105)</f>
        <v>15.6940381228634</v>
      </c>
      <c r="BE105" s="88" t="n">
        <f aca="false">MAX(INDEX(in_cus_stb_min,1,C105),INDEX(in_cus_stb_rate,1,C105)/1000*(AY105+BB105+BC105+BD105))</f>
        <v>99.2867376700218</v>
      </c>
      <c r="BF105" s="88" t="n">
        <f aca="false">INDEX(in_cus_broker,1,C105)+INDEX(in_cus_isf,1,C105)+INDEX(in_cus_do_fee,1,C105)+BE105+INDEX(in_cus_isf_bond,1,C105)</f>
        <v>724.286737670022</v>
      </c>
      <c r="BG105" s="88" t="n">
        <f aca="false">IF(H105=1,INDEX(in_cus_cfc,1,C105)*INDEX(ct_teu,F105)*G105*(1-INDEX(in_cus_cfc_in_freight,1,C105)),0)</f>
        <v>29.6</v>
      </c>
      <c r="BH105" s="88" t="n">
        <f aca="false">IF(F105=4,1,G105)*(INDEX(in_cus_exam,1,C105)+INDEX(in_cus_exam_dray,1,C105))</f>
        <v>600</v>
      </c>
      <c r="BI105" s="88" t="n">
        <f aca="false">IF(F105=4,1,G105)*INDEX(in_cus_dem_days,1,C105)*INDEX(in_cus_dem_rate,1,C105)</f>
        <v>750</v>
      </c>
      <c r="BJ105" s="88" t="n">
        <f aca="false">BG105+BH105+BI105</f>
        <v>1379.6</v>
      </c>
      <c r="BK105" s="88" t="n">
        <f aca="false">IF(F105=4,(INDEX(in_dra_lcl_cfs_d,1,C105)+INDEX(in_dra_lcl_deliv,1,C105))*P105,G105*(INDEX(tbl_dest_line,E105,C105)*P105*(1+INDEX(in_dra_fsc,1,C105))+INDEX(tbl_dest_tolls,E105,C105)+INDEX(in_dra_chassis_days,1,C105)*INDEX(tbl_dest_chassis,E105,C105)*(1-INDEX(in_dra_chassis_in_dray,1,C105))+INDEX(in_dra_wait_hours,1,C105)*INDEX(in_dra_wait_rate,1,C105)+INDEX(in_dra_split,1,C105)+INDEX(in_dra_prepull,1,C105)+INDEX(in_dra_dryrun,1,C105)))</f>
        <v>2280</v>
      </c>
      <c r="BL105" s="88" t="n">
        <f aca="false">IF(F105=4,0,G105*IF(F105=1,INDEX(in_dra_unload_20,1,C105),INDEX(in_dra_unload_40,1,C105))*Q105*(1-INDEX(in_dra_unload_in_dray,1,C105)))</f>
        <v>650</v>
      </c>
      <c r="BM105" s="88" t="n">
        <f aca="false">AL105+AN105+AO105+AR105+AU105+AZ105+BB105+BC105+BD105+BF105+BJ105+BK105+BL105</f>
        <v>26412.9937766175</v>
      </c>
      <c r="BN105" s="88" t="n">
        <f aca="false">AP105+AU105+BJ105+BK105+BL105</f>
        <v>10236.9789495494</v>
      </c>
      <c r="BO105" s="88" t="n">
        <f aca="false">AQ105+BF105</f>
        <v>1892.19515992217</v>
      </c>
      <c r="BP105" s="88" t="n">
        <f aca="false">AI105*(1+IF(K105=3,INDEX(in_sup_vat_rate,1,C105),0))+AO105*Y105/AB105+AV105*BA105+(BC105+BD105)*AV105/AY105+AZ105*AI105/AL105+BN105*AC105/AF105+BO105*Y105/AB105</f>
        <v>9159.37541404799</v>
      </c>
      <c r="BQ105" s="88" t="n">
        <f aca="false">AJ105*(1+IF(K105=3,INDEX(in_sup_vat_rate,1,C105),0))+AO105*Z105/AB105+AW105*BA105+(BC105+BD105)*AW105/AY105+AZ105*AJ105/AL105+BN105*AD105/AF105+BO105*Z105/AB105</f>
        <v>9640.82398164369</v>
      </c>
      <c r="BR105" s="88" t="n">
        <f aca="false">AK105*(1+IF(K105=3,INDEX(in_sup_vat_rate,1,C105),0))+AO105*AA105/AB105+AX105*BA105+(BC105+BD105)*AX105/AY105+AZ105*AK105/AL105+BN105*AE105/AF105+BO105*AA105/AB105</f>
        <v>7612.79438092582</v>
      </c>
      <c r="BS105" s="89" t="n">
        <f aca="false">BP105+BQ105+BR105-BM105</f>
        <v>0</v>
      </c>
      <c r="BT105" s="85" t="n">
        <f aca="false">Y105*(1-R105)</f>
        <v>19200</v>
      </c>
      <c r="BU105" s="85" t="n">
        <f aca="false">Z105*(1-R105)</f>
        <v>19200</v>
      </c>
      <c r="BV105" s="85" t="n">
        <f aca="false">AA105*(1-R105)</f>
        <v>19200</v>
      </c>
      <c r="BW105" s="85" t="n">
        <f aca="false">BT105+BU105+BV105</f>
        <v>57600</v>
      </c>
      <c r="BX105" s="90" t="n">
        <f aca="false">IF(BT105&gt;0,BP105/BT105,0)</f>
        <v>0.477050802815</v>
      </c>
      <c r="BY105" s="90" t="n">
        <f aca="false">IF(BU105&gt;0,BQ105/BU105,0)</f>
        <v>0.502126249043942</v>
      </c>
      <c r="BZ105" s="90" t="n">
        <f aca="false">IF(BV105&gt;0,BR105/BV105,0)</f>
        <v>0.396499707339887</v>
      </c>
      <c r="CA105" s="90" t="n">
        <f aca="false">INDEX(in_mkt_listing_3464,1,C105)*(1-IF(sku_flute_3464="B",T105,0))*(1-S105)*N105</f>
        <v>0.1995</v>
      </c>
      <c r="CB105" s="90" t="n">
        <f aca="false">INDEX(in_mkt_listing_3463,1,C105)*(1-IF(sku_flute_3463="B",T105,0))*(1-S105)*N105</f>
        <v>0.23625</v>
      </c>
      <c r="CC105" s="90" t="n">
        <f aca="false">INDEX(in_mkt_listing_3460,1,C105)*(1-IF(sku_flute_3460="B",T105,0))*(1-S105)*N105</f>
        <v>0.21</v>
      </c>
      <c r="CD105" s="88" t="n">
        <f aca="false">BT105*CA105+BU105*CB105+BV105*CC105</f>
        <v>12398.4</v>
      </c>
      <c r="CE105" s="88" t="n">
        <f aca="false">CD105-BM105</f>
        <v>-14014.5937766175</v>
      </c>
      <c r="CF105" s="87" t="n">
        <f aca="false">IF(CD105&gt;0,CE105/CD105,0)</f>
        <v>-1.13035502779532</v>
      </c>
      <c r="CG105" s="87" t="n">
        <f aca="false">W105+INDEX(in_sel_processing,1,C105)+INDEX(in_sel_bad_debt,1,C105)</f>
        <v>0.095</v>
      </c>
      <c r="CH105" s="88" t="n">
        <f aca="false">CD105*CG105</f>
        <v>1177.848</v>
      </c>
      <c r="CI105" s="88" t="n">
        <f aca="false">INDEX(in_sel_testing,1,C105)*X105+INDEX(in_sel_admin,1,C105)</f>
        <v>4750</v>
      </c>
      <c r="CJ105" s="79" t="n">
        <f aca="false">INDEX(in_sup_lead_days,1,C105)</f>
        <v>35</v>
      </c>
      <c r="CK105" s="79" t="n">
        <f aca="false">CJ105+INDEX(in_oce_transit,1,C105)+IF(F105=4,INDEX(in_oce_lcl_extra_days,1,C105),0)</f>
        <v>73</v>
      </c>
      <c r="CL105" s="79" t="n">
        <f aca="false">CK105+2+INDEX(in_cus_dem_days,1,C105)</f>
        <v>78</v>
      </c>
      <c r="CM105" s="79" t="n">
        <f aca="false">CL105+U105</f>
        <v>138</v>
      </c>
      <c r="CN105" s="79" t="n">
        <f aca="false">CJ105+INDEX(in_sup_vat_lag,1,C105)</f>
        <v>215</v>
      </c>
      <c r="CO105" s="91" t="n">
        <f aca="false">INDEX(in_sup_advance,1,C105)</f>
        <v>0.5</v>
      </c>
      <c r="CP105" s="88" t="n">
        <f aca="false">CO105*(AL105+AM105)+AO105+INDEX(in_sel_testing,1,C105)*X105</f>
        <v>10536.6020926137</v>
      </c>
      <c r="CQ105" s="88" t="n">
        <f aca="false">(1-CO105)*(AL105+AM105)+AR105+AU105+AZ105</f>
        <v>13213.9157774785</v>
      </c>
      <c r="CR105" s="88" t="n">
        <f aca="false">BB105+BC105+BD105+BF105+BJ105</f>
        <v>3732.4759065253</v>
      </c>
      <c r="CS105" s="88" t="n">
        <f aca="false">BK105+BL105</f>
        <v>2930</v>
      </c>
      <c r="CT105" s="88" t="n">
        <f aca="false">IF(K105=2,AM105,0)</f>
        <v>0</v>
      </c>
      <c r="CU105" s="85" t="n">
        <f aca="false">IF(K105=2,CO105*AM105*(CN105-0)+(1-CO105)*AM105*(CN105-CJ105),0)</f>
        <v>0</v>
      </c>
      <c r="CV105" s="85" t="n">
        <f aca="false">(CP105-CO105*CT105)*(CM105-0)+(CQ105-(1-CO105)*CT105)*(CM105-CJ105)+CR105*(CM105-CK105)+CS105*(CM105-CL105)</f>
        <v>3233495.34778512</v>
      </c>
      <c r="CW105" s="88" t="n">
        <f aca="false">INDEX(in_sel_fin_rate,1,C105)/365*(CU105+CV105)</f>
        <v>1240.24479093128</v>
      </c>
      <c r="CX105" s="85" t="n">
        <f aca="false">CP105-IF(CN105&lt;=0,CT105,0)</f>
        <v>10536.6020926137</v>
      </c>
      <c r="CY105" s="85" t="n">
        <f aca="false">CP105+CQ105-IF(CN105&lt;=CJ105,CT105,0)</f>
        <v>23750.5178700922</v>
      </c>
      <c r="CZ105" s="85" t="n">
        <f aca="false">CP105+CQ105+CR105-IF(CN105&lt;=CK105,CT105,0)</f>
        <v>27482.9937766175</v>
      </c>
      <c r="DA105" s="85" t="n">
        <f aca="false">CP105+CQ105+CR105+CS105-IF(CN105&lt;=CL105,CT105,0)</f>
        <v>30412.9937766175</v>
      </c>
      <c r="DB105" s="88" t="n">
        <f aca="false">MAX(CX105,CY105,CZ105,DA105)</f>
        <v>30412.9937766175</v>
      </c>
      <c r="DC105" s="88" t="n">
        <f aca="false">CP105+CQ105+CR105+CS105</f>
        <v>30412.9937766175</v>
      </c>
      <c r="DD105" s="88" t="n">
        <f aca="false">CE105-CH105-CI105-CW105</f>
        <v>-21182.6865675488</v>
      </c>
      <c r="DE105" s="87" t="n">
        <f aca="false">IF(CD105&gt;0,DD105/CD105,0)</f>
        <v>-1.70850162662511</v>
      </c>
      <c r="DF105" s="86" t="n">
        <f aca="false">IF(CD105&gt;0,(BM105+CI105+CW105)/(CD105*(1-CG105)),0)</f>
        <v>2.88784710124322</v>
      </c>
      <c r="DG105" s="90" t="n">
        <f aca="false">IF(BW105&gt;0,BM105/BW105,0)</f>
        <v>0.458558919732943</v>
      </c>
      <c r="DH105" s="90" t="n">
        <f aca="false">IF(BW105&gt;0,CD105/BW105,0)</f>
        <v>0.21525</v>
      </c>
      <c r="DI105" s="90" t="n">
        <f aca="false">IF(AI105&gt;0,(AI105*IF(K105=3,INDEX(in_sup_vat_rate,1,C105),0)+AV105*BA105+(BC105+BD105)*AV105/AY105+AZ105*AI105/AL105)/AI105,0)</f>
        <v>0.303218326895857</v>
      </c>
      <c r="DJ105" s="90" t="n">
        <f aca="false">IF(AJ105&gt;0,(AJ105*IF(K105=3,INDEX(in_sup_vat_rate,1,C105),0)+AW105*BA105+(BC105+BD105)*AW105/AY105+AZ105*AJ105/AL105)/AJ105,0)</f>
        <v>0.30356406149334</v>
      </c>
      <c r="DK105" s="90" t="n">
        <f aca="false">IF(AK105&gt;0,(AK105*IF(K105=3,INDEX(in_sup_vat_rate,1,C105),0)+AX105*BA105+(BC105+BD105)*AX105/AY105+AZ105*AK105/AL105)/AK105,0)</f>
        <v>0.304465439055422</v>
      </c>
      <c r="DL105" s="90" t="n">
        <f aca="false">IF(Y105&gt;0,(BP105-AI105*(1+DI105))/Y105,0)</f>
        <v>0.209516197721311</v>
      </c>
      <c r="DM105" s="90" t="n">
        <f aca="false">IF(Z105&gt;0,(BQ105-AJ105*(1+DJ105))/Z105,0)</f>
        <v>0.247337548520139</v>
      </c>
      <c r="DN105" s="90" t="n">
        <f aca="false">IF(AA105&gt;0,(BR105-AK105*(1+DK105))/AA105,0)</f>
        <v>0.175503643578962</v>
      </c>
      <c r="DO105" s="86" t="n">
        <f aca="false">IF(Y105&gt;0,(CA105*(1-thr_gm_go)*(1-R105)-DL105)/(1+DI105)*I105/((1+AH105)*J105),"")</f>
        <v>-2.21794601410996</v>
      </c>
      <c r="DP105" s="86" t="n">
        <f aca="false">IF(Z105&gt;0,(CB105*(1-thr_gm_go)*(1-R105)-DM105)/(1+DJ105)*I105/((1+AH105)*J105),"")</f>
        <v>-2.59977478768612</v>
      </c>
      <c r="DQ105" s="86" t="n">
        <f aca="false">IF(AA105&gt;0,(CC105*(1-thr_gm_go)*(1-R105)-DN105)/(1+DK105)*I105/((1+AH105)*J105),"")</f>
        <v>-0.817482445799951</v>
      </c>
      <c r="DR105" s="92" t="n">
        <f aca="false">IF(AND(AY105*INDEX(in_cus_mpf_rate,1,C105)&gt;INDEX(in_cus_mpf_min,1,C105),AY105*INDEX(in_cus_mpf_rate,1,C105)&lt;INDEX(in_cus_mpf_max,1,C105)),INDEX(in_cus_mpf_rate,1,C105),0)</f>
        <v>0.003464</v>
      </c>
      <c r="DS105" s="88" t="n">
        <f aca="false">IF(AZ105&gt;INDEX(in_oce_ins_min,1,C105),INDEX(in_oce_ins_rate,1,C105)*(1+INDEX(in_oce_ins_uplift,1,C105))*AL105,0)</f>
        <v>0</v>
      </c>
      <c r="DT105" s="88" t="n">
        <f aca="false">(AL105+AN105)*(1+BA105+INDEX(in_cus_hmf,1,C105)+DR105)+DS105</f>
        <v>13598.657541382</v>
      </c>
      <c r="DU105" s="86" t="n">
        <f aca="false">IF(DT105&gt;0,(CD105*(1-thr_gm_go)-(BM105-DT105))/DT105,0)</f>
        <v>-0.258520830055279</v>
      </c>
      <c r="DV105" s="86" t="n">
        <f aca="false">IF(DT105&gt;0,(CD105-(BM105-DT105))/DT105,0)</f>
        <v>-0.0305865659143054</v>
      </c>
      <c r="DW105" s="87" t="n">
        <f aca="false">(1+AH105)*J105*DU105-1</f>
        <v>-1.28437291306081</v>
      </c>
      <c r="DX105" s="87" t="n">
        <f aca="false">(1+AH105)*J105*DV105-1</f>
        <v>-1.03364522250574</v>
      </c>
      <c r="DY105" s="85" t="n">
        <f aca="false">IF(G105&gt;0,(CD105*(1-thr_gm_go)-(BM105-AT105))/G105,"")</f>
        <v>-12114.1937766175</v>
      </c>
      <c r="DZ105" s="90" t="n">
        <f aca="false">IF(AB105&gt;0,(AL105+AN105+BB105+BC105+BD105)/AB105,0)</f>
        <v>0.227764099670154</v>
      </c>
      <c r="EA105" s="88" t="n">
        <f aca="false">BM105-DZ105*AB105</f>
        <v>12747.1477964082</v>
      </c>
      <c r="EB105" s="90" t="n">
        <f aca="false">IF(AB105&gt;0,CD105/AB105,0)</f>
        <v>0.20664</v>
      </c>
      <c r="EC105" s="85" t="str">
        <f aca="false">IF(EB105*(1-thr_gm_go)-DZ105&gt;0,EA105/(EB105*(1-thr_gm_go)-DZ105),"n/a")</f>
        <v>n/a</v>
      </c>
      <c r="ED105" s="85" t="str">
        <f aca="false">IF(EB105-DZ105&gt;0,EA105/(EB105-DZ105),"n/a")</f>
        <v>n/a</v>
      </c>
      <c r="EE105" s="93" t="b">
        <f aca="false">INDEX(cfg_fits,D105,C105)</f>
        <v>1</v>
      </c>
      <c r="EF105" s="87" t="n">
        <f aca="false">IF(F105=4,"",INDEX(cfg_lenutil,D105,C105))</f>
        <v>0.912070410729254</v>
      </c>
      <c r="EG105" s="31" t="str">
        <f aca="false">IF(O105&gt;1,"Check fit (units scaled up)","")</f>
        <v/>
      </c>
    </row>
    <row r="106" customFormat="false" ht="15" hidden="false" customHeight="false" outlineLevel="0" collapsed="false">
      <c r="A106" s="78" t="n">
        <v>3012</v>
      </c>
      <c r="B106" s="9" t="s">
        <v>3254</v>
      </c>
      <c r="C106" s="78" t="n">
        <v>3</v>
      </c>
      <c r="D106" s="78" t="n">
        <v>1</v>
      </c>
      <c r="E106" s="78" t="n">
        <v>2</v>
      </c>
      <c r="F106" s="79" t="n">
        <f aca="false">INDEX(cfg_ct,D106)</f>
        <v>3</v>
      </c>
      <c r="G106" s="79" t="n">
        <f aca="false">INDEX(cfg_n,D106)</f>
        <v>1</v>
      </c>
      <c r="H106" s="79" t="n">
        <f aca="false">INDEX(dest_port,E106)</f>
        <v>1</v>
      </c>
      <c r="I106" s="80" t="n">
        <f aca="false">INDEX(in_fx_cbe,1,C106)*(1-INDEX(in_fx_spread,1,C106))</f>
        <v>48.265</v>
      </c>
      <c r="J106" s="81" t="n">
        <f aca="false">1</f>
        <v>1</v>
      </c>
      <c r="K106" s="82" t="n">
        <f aca="false">INDEX(in_sup_vat_mode,1,C106)</f>
        <v>3</v>
      </c>
      <c r="L106" s="83" t="n">
        <f aca="false">INDEX(in_cus_s301,1,C106)</f>
        <v>0.125</v>
      </c>
      <c r="M106" s="84" t="n">
        <f aca="false">1</f>
        <v>1</v>
      </c>
      <c r="N106" s="81" t="n">
        <f aca="false">1</f>
        <v>1</v>
      </c>
      <c r="O106" s="81" t="n">
        <f aca="false">1</f>
        <v>1</v>
      </c>
      <c r="P106" s="81" t="n">
        <f aca="false">1</f>
        <v>1</v>
      </c>
      <c r="Q106" s="81" t="n">
        <f aca="false">1</f>
        <v>1</v>
      </c>
      <c r="R106" s="83" t="n">
        <f aca="false">INDEX(in_sel_damage,1,C106)</f>
        <v>0.04</v>
      </c>
      <c r="S106" s="83" t="n">
        <f aca="false">INDEX(in_mkt_dist_margin,1,C106)</f>
        <v>0.3</v>
      </c>
      <c r="T106" s="83" t="n">
        <f aca="false">INDEX(in_mkt_eflute_disc,1,C106)</f>
        <v>0.25</v>
      </c>
      <c r="U106" s="82" t="n">
        <f aca="false">INDEX(in_sel_credit_days,1,C106)</f>
        <v>60</v>
      </c>
      <c r="V106" s="81" t="n">
        <f aca="false">1</f>
        <v>1</v>
      </c>
      <c r="W106" s="83" t="n">
        <f aca="false">INDEX(in_sel_commission,1,C106)</f>
        <v>0.07</v>
      </c>
      <c r="X106" s="82" t="n">
        <f aca="false">1</f>
        <v>1</v>
      </c>
      <c r="Y106" s="85" t="n">
        <f aca="false">INDEX(cfg_u_3464,D106,C106)*O106</f>
        <v>20000</v>
      </c>
      <c r="Z106" s="85" t="n">
        <f aca="false">INDEX(cfg_u_3463,D106,C106)*O106</f>
        <v>20000</v>
      </c>
      <c r="AA106" s="85" t="n">
        <f aca="false">INDEX(cfg_u_3460,D106,C106)*O106</f>
        <v>20000</v>
      </c>
      <c r="AB106" s="85" t="n">
        <f aca="false">Y106+Z106+AA106</f>
        <v>60000</v>
      </c>
      <c r="AC106" s="86" t="n">
        <f aca="false">Y106*INDEX(lg_vpu_3464,C106)</f>
        <v>16.00632</v>
      </c>
      <c r="AD106" s="86" t="n">
        <f aca="false">Z106*INDEX(lg_vpu_3463,C106)</f>
        <v>19.58112</v>
      </c>
      <c r="AE106" s="86" t="n">
        <f aca="false">AA106*INDEX(lg_vpu_3460,C106)</f>
        <v>12.79152</v>
      </c>
      <c r="AF106" s="86" t="n">
        <f aca="false">AC106+AD106+AE106</f>
        <v>48.37896</v>
      </c>
      <c r="AG106" s="85" t="n">
        <f aca="false">Y106*INDEX(lg_kpu_3464,C106)+Z106*INDEX(lg_kpu_3463,C106)+AA106*INDEX(lg_kpu_3460,C106)</f>
        <v>11802.43968</v>
      </c>
      <c r="AH106" s="87" t="n">
        <f aca="false">INDEX(in_sup_requote,1,C106)</f>
        <v>0.1</v>
      </c>
      <c r="AI106" s="88" t="n">
        <f aca="false">Y106*q_price_3464*(1+AH106)*J106/I106</f>
        <v>3812.90790427846</v>
      </c>
      <c r="AJ106" s="88" t="n">
        <f aca="false">Z106*q_price_3463*(1+AH106)*J106/I106</f>
        <v>3600.95307158396</v>
      </c>
      <c r="AK106" s="88" t="n">
        <f aca="false">AA106*q_price_3460*(1+AH106)*J106/I106</f>
        <v>3145.13622707966</v>
      </c>
      <c r="AL106" s="88" t="n">
        <f aca="false">AI106+AJ106+AK106</f>
        <v>10558.9972029421</v>
      </c>
      <c r="AM106" s="88" t="n">
        <f aca="false">IF(OR(K106=2,K106=3),AL106*INDEX(in_sup_vat_rate,1,C106),0)</f>
        <v>1478.25960841189</v>
      </c>
      <c r="AN106" s="88" t="n">
        <f aca="false">IF(K106=3,AM106,0)</f>
        <v>1478.25960841189</v>
      </c>
      <c r="AO106" s="88" t="n">
        <f aca="false">INDEX(in_sup_tooling_egp,1,C106)/I106</f>
        <v>517.973686936704</v>
      </c>
      <c r="AP106" s="88" t="n">
        <f aca="false">IF(F106=4,INDEX(in_ori_lcl_truck,1,C106)*V106/I106+INDEX(in_ori_lcl_cfs_o,1,C106),G106*(IF(F106=1,INDEX(in_ori_truck_20,1,C106),INDEX(in_ori_truck_40,1,C106))*V106/I106+INDEX(in_ori_terminal,1,C106)+IF(F106=1,INDEX(in_ori_othc_20,1,C106),INDEX(in_ori_othc_40,1,C106))*(1-INDEX(in_ori_othc_in_freight,1,C106))+INDEX(in_ori_seal,1,C106)+INDEX(in_ori_inspection,1,C106)+INDEX(in_ori_dd_days,1,C106)*IF(F106=1,INDEX(in_ori_dd_20,1,C106),INDEX(in_ori_dd_40,1,C106))+INDEX(in_ori_loading_egp,1,C106)/I106))</f>
        <v>882.378949549363</v>
      </c>
      <c r="AQ106" s="88" t="n">
        <f aca="false">(INDEX(in_ori_clearance,1,C106)+INDEX(in_ori_coo,1,C106))/I106+INDEX(in_ori_bl_fee,1,C106)+INDEX(in_ori_fwd_fee,1,C106)+INDEX(in_ori_qc,1,C106)+INDEX(in_ori_wires,1,C106)*INDEX(in_ori_wire_fee,1,C106)</f>
        <v>1167.90842225215</v>
      </c>
      <c r="AR106" s="88" t="n">
        <f aca="false">AP106+AQ106</f>
        <v>2050.28737180151</v>
      </c>
      <c r="AS106" s="85" t="n">
        <f aca="false">INDEX(tbl_port_diff,H106,C106)</f>
        <v>0</v>
      </c>
      <c r="AT106" s="88" t="n">
        <f aca="false">IF(F106=4,MAX(AF106*INDEX(in_oce_lcl_factor,1,C106),AG106/1000,1)*INDEX(in_oce_lcl_rate,1,C106)*M106,G106*(INDEX(tbl_ocean_rate,MIN(F106,3),C106)+AS106)*M106)</f>
        <v>5000</v>
      </c>
      <c r="AU106" s="88" t="n">
        <f aca="false">AT106+INDEX(in_oce_ams,1,C106)</f>
        <v>5045</v>
      </c>
      <c r="AV106" s="88" t="n">
        <f aca="false">AI106*(1+IF(K106=3,INDEX(in_sup_vat_rate,1,C106),0))+AO106*Y106/AB106</f>
        <v>4519.37290652302</v>
      </c>
      <c r="AW106" s="88" t="n">
        <f aca="false">AJ106*(1+IF(K106=3,INDEX(in_sup_vat_rate,1,C106),0))+AO106*Z106/AB106</f>
        <v>4277.74439725129</v>
      </c>
      <c r="AX106" s="88" t="n">
        <f aca="false">AK106*(1+IF(K106=3,INDEX(in_sup_vat_rate,1,C106),0))+AO106*AA106/AB106</f>
        <v>3758.11319451639</v>
      </c>
      <c r="AY106" s="88" t="n">
        <f aca="false">AV106+AW106+AX106</f>
        <v>12555.2304982907</v>
      </c>
      <c r="AZ106" s="88" t="n">
        <f aca="false">MAX(INDEX(in_oce_ins_min,1,C106),INDEX(in_oce_ins_rate,1,C106)*(1+INDEX(in_oce_ins_uplift,1,C106))*(AL106+AO106+AR106+AU106))*(1-INDEX(in_oce_ins_in_other,1,C106))</f>
        <v>100</v>
      </c>
      <c r="BA106" s="87" t="n">
        <f aca="false">INDEX(in_cus_mfn,1,C106)+L106</f>
        <v>0.125</v>
      </c>
      <c r="BB106" s="88" t="n">
        <f aca="false">AY106*BA106</f>
        <v>1569.40381228634</v>
      </c>
      <c r="BC106" s="88" t="n">
        <f aca="false">MIN(MAX(AY106*INDEX(in_cus_mpf_rate,1,C106),INDEX(in_cus_mpf_min,1,C106)),INDEX(in_cus_mpf_max,1,C106))</f>
        <v>43.4913184460789</v>
      </c>
      <c r="BD106" s="88" t="n">
        <f aca="false">AY106*INDEX(in_cus_hmf,1,C106)</f>
        <v>15.6940381228634</v>
      </c>
      <c r="BE106" s="88" t="n">
        <f aca="false">MAX(INDEX(in_cus_stb_min,1,C106),INDEX(in_cus_stb_rate,1,C106)/1000*(AY106+BB106+BC106+BD106))</f>
        <v>99.2867376700218</v>
      </c>
      <c r="BF106" s="88" t="n">
        <f aca="false">INDEX(in_cus_broker,1,C106)+INDEX(in_cus_isf,1,C106)+INDEX(in_cus_do_fee,1,C106)+BE106+INDEX(in_cus_isf_bond,1,C106)</f>
        <v>724.286737670022</v>
      </c>
      <c r="BG106" s="88" t="n">
        <f aca="false">IF(H106=1,INDEX(in_cus_cfc,1,C106)*INDEX(ct_teu,F106)*G106*(1-INDEX(in_cus_cfc_in_freight,1,C106)),0)</f>
        <v>29.6</v>
      </c>
      <c r="BH106" s="88" t="n">
        <f aca="false">IF(F106=4,1,G106)*(INDEX(in_cus_exam,1,C106)+INDEX(in_cus_exam_dray,1,C106))</f>
        <v>600</v>
      </c>
      <c r="BI106" s="88" t="n">
        <f aca="false">IF(F106=4,1,G106)*INDEX(in_cus_dem_days,1,C106)*INDEX(in_cus_dem_rate,1,C106)</f>
        <v>750</v>
      </c>
      <c r="BJ106" s="88" t="n">
        <f aca="false">BG106+BH106+BI106</f>
        <v>1379.6</v>
      </c>
      <c r="BK106" s="88" t="n">
        <f aca="false">IF(F106=4,(INDEX(in_dra_lcl_cfs_d,1,C106)+INDEX(in_dra_lcl_deliv,1,C106))*P106,G106*(INDEX(tbl_dest_line,E106,C106)*P106*(1+INDEX(in_dra_fsc,1,C106))+INDEX(tbl_dest_tolls,E106,C106)+INDEX(in_dra_chassis_days,1,C106)*INDEX(tbl_dest_chassis,E106,C106)*(1-INDEX(in_dra_chassis_in_dray,1,C106))+INDEX(in_dra_wait_hours,1,C106)*INDEX(in_dra_wait_rate,1,C106)+INDEX(in_dra_split,1,C106)+INDEX(in_dra_prepull,1,C106)+INDEX(in_dra_dryrun,1,C106)))</f>
        <v>2660</v>
      </c>
      <c r="BL106" s="88" t="n">
        <f aca="false">IF(F106=4,0,G106*IF(F106=1,INDEX(in_dra_unload_20,1,C106),INDEX(in_dra_unload_40,1,C106))*Q106*(1-INDEX(in_dra_unload_in_dray,1,C106)))</f>
        <v>650</v>
      </c>
      <c r="BM106" s="88" t="n">
        <f aca="false">AL106+AN106+AO106+AR106+AU106+AZ106+BB106+BC106+BD106+BF106+BJ106+BK106+BL106</f>
        <v>26792.9937766175</v>
      </c>
      <c r="BN106" s="88" t="n">
        <f aca="false">AP106+AU106+BJ106+BK106+BL106</f>
        <v>10616.9789495494</v>
      </c>
      <c r="BO106" s="88" t="n">
        <f aca="false">AQ106+BF106</f>
        <v>1892.19515992217</v>
      </c>
      <c r="BP106" s="88" t="n">
        <f aca="false">AI106*(1+IF(K106=3,INDEX(in_sup_vat_rate,1,C106),0))+AO106*Y106/AB106+AV106*BA106+(BC106+BD106)*AV106/AY106+AZ106*AI106/AL106+BN106*AC106/AF106+BO106*Y106/AB106</f>
        <v>9285.09952221402</v>
      </c>
      <c r="BQ106" s="88" t="n">
        <f aca="false">AJ106*(1+IF(K106=3,INDEX(in_sup_vat_rate,1,C106),0))+AO106*Z106/AB106+AW106*BA106+(BC106+BD106)*AW106/AY106+AZ106*AJ106/AL106+BN106*AD106/AF106+BO106*Z106/AB106</f>
        <v>9794.62690754371</v>
      </c>
      <c r="BR106" s="88" t="n">
        <f aca="false">AK106*(1+IF(K106=3,INDEX(in_sup_vat_rate,1,C106),0))+AO106*AA106/AB106+AX106*BA106+(BC106+BD106)*AX106/AY106+AZ106*AK106/AL106+BN106*AE106/AF106+BO106*AA106/AB106</f>
        <v>7713.26734685977</v>
      </c>
      <c r="BS106" s="89" t="n">
        <f aca="false">BP106+BQ106+BR106-BM106</f>
        <v>0</v>
      </c>
      <c r="BT106" s="85" t="n">
        <f aca="false">Y106*(1-R106)</f>
        <v>19200</v>
      </c>
      <c r="BU106" s="85" t="n">
        <f aca="false">Z106*(1-R106)</f>
        <v>19200</v>
      </c>
      <c r="BV106" s="85" t="n">
        <f aca="false">AA106*(1-R106)</f>
        <v>19200</v>
      </c>
      <c r="BW106" s="85" t="n">
        <f aca="false">BT106+BU106+BV106</f>
        <v>57600</v>
      </c>
      <c r="BX106" s="90" t="n">
        <f aca="false">IF(BT106&gt;0,BP106/BT106,0)</f>
        <v>0.483598933448647</v>
      </c>
      <c r="BY106" s="90" t="n">
        <f aca="false">IF(BU106&gt;0,BQ106/BU106,0)</f>
        <v>0.510136818101235</v>
      </c>
      <c r="BZ106" s="90" t="n">
        <f aca="false">IF(BV106&gt;0,BR106/BV106,0)</f>
        <v>0.401732674315613</v>
      </c>
      <c r="CA106" s="90" t="n">
        <f aca="false">INDEX(in_mkt_listing_3464,1,C106)*(1-IF(sku_flute_3464="B",T106,0))*(1-S106)*N106</f>
        <v>0.1995</v>
      </c>
      <c r="CB106" s="90" t="n">
        <f aca="false">INDEX(in_mkt_listing_3463,1,C106)*(1-IF(sku_flute_3463="B",T106,0))*(1-S106)*N106</f>
        <v>0.23625</v>
      </c>
      <c r="CC106" s="90" t="n">
        <f aca="false">INDEX(in_mkt_listing_3460,1,C106)*(1-IF(sku_flute_3460="B",T106,0))*(1-S106)*N106</f>
        <v>0.21</v>
      </c>
      <c r="CD106" s="88" t="n">
        <f aca="false">BT106*CA106+BU106*CB106+BV106*CC106</f>
        <v>12398.4</v>
      </c>
      <c r="CE106" s="88" t="n">
        <f aca="false">CD106-BM106</f>
        <v>-14394.5937766175</v>
      </c>
      <c r="CF106" s="87" t="n">
        <f aca="false">IF(CD106&gt;0,CE106/CD106,0)</f>
        <v>-1.16100414381029</v>
      </c>
      <c r="CG106" s="87" t="n">
        <f aca="false">W106+INDEX(in_sel_processing,1,C106)+INDEX(in_sel_bad_debt,1,C106)</f>
        <v>0.095</v>
      </c>
      <c r="CH106" s="88" t="n">
        <f aca="false">CD106*CG106</f>
        <v>1177.848</v>
      </c>
      <c r="CI106" s="88" t="n">
        <f aca="false">INDEX(in_sel_testing,1,C106)*X106+INDEX(in_sel_admin,1,C106)</f>
        <v>4750</v>
      </c>
      <c r="CJ106" s="79" t="n">
        <f aca="false">INDEX(in_sup_lead_days,1,C106)</f>
        <v>35</v>
      </c>
      <c r="CK106" s="79" t="n">
        <f aca="false">CJ106+INDEX(in_oce_transit,1,C106)+IF(F106=4,INDEX(in_oce_lcl_extra_days,1,C106),0)</f>
        <v>73</v>
      </c>
      <c r="CL106" s="79" t="n">
        <f aca="false">CK106+2+INDEX(in_cus_dem_days,1,C106)</f>
        <v>78</v>
      </c>
      <c r="CM106" s="79" t="n">
        <f aca="false">CL106+U106</f>
        <v>138</v>
      </c>
      <c r="CN106" s="79" t="n">
        <f aca="false">CJ106+INDEX(in_sup_vat_lag,1,C106)</f>
        <v>215</v>
      </c>
      <c r="CO106" s="91" t="n">
        <f aca="false">INDEX(in_sup_advance,1,C106)</f>
        <v>0.5</v>
      </c>
      <c r="CP106" s="88" t="n">
        <f aca="false">CO106*(AL106+AM106)+AO106+INDEX(in_sel_testing,1,C106)*X106</f>
        <v>10536.6020926137</v>
      </c>
      <c r="CQ106" s="88" t="n">
        <f aca="false">(1-CO106)*(AL106+AM106)+AR106+AU106+AZ106</f>
        <v>13213.9157774785</v>
      </c>
      <c r="CR106" s="88" t="n">
        <f aca="false">BB106+BC106+BD106+BF106+BJ106</f>
        <v>3732.4759065253</v>
      </c>
      <c r="CS106" s="88" t="n">
        <f aca="false">BK106+BL106</f>
        <v>3310</v>
      </c>
      <c r="CT106" s="88" t="n">
        <f aca="false">IF(K106=2,AM106,0)</f>
        <v>0</v>
      </c>
      <c r="CU106" s="85" t="n">
        <f aca="false">IF(K106=2,CO106*AM106*(CN106-0)+(1-CO106)*AM106*(CN106-CJ106),0)</f>
        <v>0</v>
      </c>
      <c r="CV106" s="85" t="n">
        <f aca="false">(CP106-CO106*CT106)*(CM106-0)+(CQ106-(1-CO106)*CT106)*(CM106-CJ106)+CR106*(CM106-CK106)+CS106*(CM106-CL106)</f>
        <v>3256295.34778512</v>
      </c>
      <c r="CW106" s="88" t="n">
        <f aca="false">INDEX(in_sel_fin_rate,1,C106)/365*(CU106+CV106)</f>
        <v>1248.98999641073</v>
      </c>
      <c r="CX106" s="85" t="n">
        <f aca="false">CP106-IF(CN106&lt;=0,CT106,0)</f>
        <v>10536.6020926137</v>
      </c>
      <c r="CY106" s="85" t="n">
        <f aca="false">CP106+CQ106-IF(CN106&lt;=CJ106,CT106,0)</f>
        <v>23750.5178700922</v>
      </c>
      <c r="CZ106" s="85" t="n">
        <f aca="false">CP106+CQ106+CR106-IF(CN106&lt;=CK106,CT106,0)</f>
        <v>27482.9937766175</v>
      </c>
      <c r="DA106" s="85" t="n">
        <f aca="false">CP106+CQ106+CR106+CS106-IF(CN106&lt;=CL106,CT106,0)</f>
        <v>30792.9937766175</v>
      </c>
      <c r="DB106" s="88" t="n">
        <f aca="false">MAX(CX106,CY106,CZ106,DA106)</f>
        <v>30792.9937766175</v>
      </c>
      <c r="DC106" s="88" t="n">
        <f aca="false">CP106+CQ106+CR106+CS106</f>
        <v>30792.9937766175</v>
      </c>
      <c r="DD106" s="88" t="n">
        <f aca="false">CE106-CH106-CI106-CW106</f>
        <v>-21571.4317730282</v>
      </c>
      <c r="DE106" s="87" t="n">
        <f aca="false">IF(CD106&gt;0,DD106/CD106,0)</f>
        <v>-1.73985609215933</v>
      </c>
      <c r="DF106" s="86" t="n">
        <f aca="false">IF(CD106&gt;0,(BM106+CI106+CW106)/(CD106*(1-CG106)),0)</f>
        <v>2.92249291951307</v>
      </c>
      <c r="DG106" s="90" t="n">
        <f aca="false">IF(BW106&gt;0,BM106/BW106,0)</f>
        <v>0.465156141955165</v>
      </c>
      <c r="DH106" s="90" t="n">
        <f aca="false">IF(BW106&gt;0,CD106/BW106,0)</f>
        <v>0.21525</v>
      </c>
      <c r="DI106" s="90" t="n">
        <f aca="false">IF(AI106&gt;0,(AI106*IF(K106=3,INDEX(in_sup_vat_rate,1,C106),0)+AV106*BA106+(BC106+BD106)*AV106/AY106+AZ106*AI106/AL106)/AI106,0)</f>
        <v>0.303218326895857</v>
      </c>
      <c r="DJ106" s="90" t="n">
        <f aca="false">IF(AJ106&gt;0,(AJ106*IF(K106=3,INDEX(in_sup_vat_rate,1,C106),0)+AW106*BA106+(BC106+BD106)*AW106/AY106+AZ106*AJ106/AL106)/AJ106,0)</f>
        <v>0.30356406149334</v>
      </c>
      <c r="DK106" s="90" t="n">
        <f aca="false">IF(AK106&gt;0,(AK106*IF(K106=3,INDEX(in_sup_vat_rate,1,C106),0)+AX106*BA106+(BC106+BD106)*AX106/AY106+AZ106*AK106/AL106)/AK106,0)</f>
        <v>0.304465439055422</v>
      </c>
      <c r="DL106" s="90" t="n">
        <f aca="false">IF(Y106&gt;0,(BP106-AI106*(1+DI106))/Y106,0)</f>
        <v>0.215802403129613</v>
      </c>
      <c r="DM106" s="90" t="n">
        <f aca="false">IF(Z106&gt;0,(BQ106-AJ106*(1+DJ106))/Z106,0)</f>
        <v>0.25502769481514</v>
      </c>
      <c r="DN106" s="90" t="n">
        <f aca="false">IF(AA106&gt;0,(BR106-AK106*(1+DK106))/AA106,0)</f>
        <v>0.180527291875659</v>
      </c>
      <c r="DO106" s="86" t="n">
        <f aca="false">IF(Y106&gt;0,(CA106*(1-thr_gm_go)*(1-R106)-DL106)/(1+DI106)*I106/((1+AH106)*J106),"")</f>
        <v>-2.42959247689159</v>
      </c>
      <c r="DP106" s="86" t="n">
        <f aca="false">IF(Z106&gt;0,(CB106*(1-thr_gm_go)*(1-R106)-DM106)/(1+DJ106)*I106/((1+AH106)*J106),"")</f>
        <v>-2.85862102030766</v>
      </c>
      <c r="DQ106" s="86" t="n">
        <f aca="false">IF(AA106&gt;0,(CC106*(1-thr_gm_go)*(1-R106)-DN106)/(1+DK106)*I106/((1+AH106)*J106),"")</f>
        <v>-0.98645893210664</v>
      </c>
      <c r="DR106" s="92" t="n">
        <f aca="false">IF(AND(AY106*INDEX(in_cus_mpf_rate,1,C106)&gt;INDEX(in_cus_mpf_min,1,C106),AY106*INDEX(in_cus_mpf_rate,1,C106)&lt;INDEX(in_cus_mpf_max,1,C106)),INDEX(in_cus_mpf_rate,1,C106),0)</f>
        <v>0.003464</v>
      </c>
      <c r="DS106" s="88" t="n">
        <f aca="false">IF(AZ106&gt;INDEX(in_oce_ins_min,1,C106),INDEX(in_oce_ins_rate,1,C106)*(1+INDEX(in_oce_ins_uplift,1,C106))*AL106,0)</f>
        <v>0</v>
      </c>
      <c r="DT106" s="88" t="n">
        <f aca="false">(AL106+AN106)*(1+BA106+INDEX(in_cus_hmf,1,C106)+DR106)+DS106</f>
        <v>13598.657541382</v>
      </c>
      <c r="DU106" s="86" t="n">
        <f aca="false">IF(DT106&gt;0,(CD106*(1-thr_gm_go)-(BM106-DT106))/DT106,0)</f>
        <v>-0.286464764877053</v>
      </c>
      <c r="DV106" s="86" t="n">
        <f aca="false">IF(DT106&gt;0,(CD106-(BM106-DT106))/DT106,0)</f>
        <v>-0.0585305007360792</v>
      </c>
      <c r="DW106" s="87" t="n">
        <f aca="false">(1+AH106)*J106*DU106-1</f>
        <v>-1.31511124136476</v>
      </c>
      <c r="DX106" s="87" t="n">
        <f aca="false">(1+AH106)*J106*DV106-1</f>
        <v>-1.06438355080969</v>
      </c>
      <c r="DY106" s="85" t="n">
        <f aca="false">IF(G106&gt;0,(CD106*(1-thr_gm_go)-(BM106-AT106))/G106,"")</f>
        <v>-12494.1937766175</v>
      </c>
      <c r="DZ106" s="90" t="n">
        <f aca="false">IF(AB106&gt;0,(AL106+AN106+BB106+BC106+BD106)/AB106,0)</f>
        <v>0.227764099670154</v>
      </c>
      <c r="EA106" s="88" t="n">
        <f aca="false">BM106-DZ106*AB106</f>
        <v>13127.1477964082</v>
      </c>
      <c r="EB106" s="90" t="n">
        <f aca="false">IF(AB106&gt;0,CD106/AB106,0)</f>
        <v>0.20664</v>
      </c>
      <c r="EC106" s="85" t="str">
        <f aca="false">IF(EB106*(1-thr_gm_go)-DZ106&gt;0,EA106/(EB106*(1-thr_gm_go)-DZ106),"n/a")</f>
        <v>n/a</v>
      </c>
      <c r="ED106" s="85" t="str">
        <f aca="false">IF(EB106-DZ106&gt;0,EA106/(EB106-DZ106),"n/a")</f>
        <v>n/a</v>
      </c>
      <c r="EE106" s="93" t="b">
        <f aca="false">INDEX(cfg_fits,D106,C106)</f>
        <v>1</v>
      </c>
      <c r="EF106" s="87" t="n">
        <f aca="false">IF(F106=4,"",INDEX(cfg_lenutil,D106,C106))</f>
        <v>0.912070410729254</v>
      </c>
      <c r="EG106" s="31" t="str">
        <f aca="false">IF(O106&gt;1,"Check fit (units scaled up)","")</f>
        <v/>
      </c>
    </row>
    <row r="107" customFormat="false" ht="15" hidden="false" customHeight="false" outlineLevel="0" collapsed="false">
      <c r="A107" s="78" t="n">
        <v>3013</v>
      </c>
      <c r="B107" s="9" t="s">
        <v>3255</v>
      </c>
      <c r="C107" s="78" t="n">
        <v>3</v>
      </c>
      <c r="D107" s="78" t="n">
        <v>1</v>
      </c>
      <c r="E107" s="78" t="n">
        <v>3</v>
      </c>
      <c r="F107" s="79" t="n">
        <f aca="false">INDEX(cfg_ct,D107)</f>
        <v>3</v>
      </c>
      <c r="G107" s="79" t="n">
        <f aca="false">INDEX(cfg_n,D107)</f>
        <v>1</v>
      </c>
      <c r="H107" s="79" t="n">
        <f aca="false">INDEX(dest_port,E107)</f>
        <v>2</v>
      </c>
      <c r="I107" s="80" t="n">
        <f aca="false">INDEX(in_fx_cbe,1,C107)*(1-INDEX(in_fx_spread,1,C107))</f>
        <v>48.265</v>
      </c>
      <c r="J107" s="81" t="n">
        <f aca="false">1</f>
        <v>1</v>
      </c>
      <c r="K107" s="82" t="n">
        <f aca="false">INDEX(in_sup_vat_mode,1,C107)</f>
        <v>3</v>
      </c>
      <c r="L107" s="83" t="n">
        <f aca="false">INDEX(in_cus_s301,1,C107)</f>
        <v>0.125</v>
      </c>
      <c r="M107" s="84" t="n">
        <f aca="false">1</f>
        <v>1</v>
      </c>
      <c r="N107" s="81" t="n">
        <f aca="false">1</f>
        <v>1</v>
      </c>
      <c r="O107" s="81" t="n">
        <f aca="false">1</f>
        <v>1</v>
      </c>
      <c r="P107" s="81" t="n">
        <f aca="false">1</f>
        <v>1</v>
      </c>
      <c r="Q107" s="81" t="n">
        <f aca="false">1</f>
        <v>1</v>
      </c>
      <c r="R107" s="83" t="n">
        <f aca="false">INDEX(in_sel_damage,1,C107)</f>
        <v>0.04</v>
      </c>
      <c r="S107" s="83" t="n">
        <f aca="false">INDEX(in_mkt_dist_margin,1,C107)</f>
        <v>0.3</v>
      </c>
      <c r="T107" s="83" t="n">
        <f aca="false">INDEX(in_mkt_eflute_disc,1,C107)</f>
        <v>0.25</v>
      </c>
      <c r="U107" s="82" t="n">
        <f aca="false">INDEX(in_sel_credit_days,1,C107)</f>
        <v>60</v>
      </c>
      <c r="V107" s="81" t="n">
        <f aca="false">1</f>
        <v>1</v>
      </c>
      <c r="W107" s="83" t="n">
        <f aca="false">INDEX(in_sel_commission,1,C107)</f>
        <v>0.07</v>
      </c>
      <c r="X107" s="82" t="n">
        <f aca="false">1</f>
        <v>1</v>
      </c>
      <c r="Y107" s="85" t="n">
        <f aca="false">INDEX(cfg_u_3464,D107,C107)*O107</f>
        <v>20000</v>
      </c>
      <c r="Z107" s="85" t="n">
        <f aca="false">INDEX(cfg_u_3463,D107,C107)*O107</f>
        <v>20000</v>
      </c>
      <c r="AA107" s="85" t="n">
        <f aca="false">INDEX(cfg_u_3460,D107,C107)*O107</f>
        <v>20000</v>
      </c>
      <c r="AB107" s="85" t="n">
        <f aca="false">Y107+Z107+AA107</f>
        <v>60000</v>
      </c>
      <c r="AC107" s="86" t="n">
        <f aca="false">Y107*INDEX(lg_vpu_3464,C107)</f>
        <v>16.00632</v>
      </c>
      <c r="AD107" s="86" t="n">
        <f aca="false">Z107*INDEX(lg_vpu_3463,C107)</f>
        <v>19.58112</v>
      </c>
      <c r="AE107" s="86" t="n">
        <f aca="false">AA107*INDEX(lg_vpu_3460,C107)</f>
        <v>12.79152</v>
      </c>
      <c r="AF107" s="86" t="n">
        <f aca="false">AC107+AD107+AE107</f>
        <v>48.37896</v>
      </c>
      <c r="AG107" s="85" t="n">
        <f aca="false">Y107*INDEX(lg_kpu_3464,C107)+Z107*INDEX(lg_kpu_3463,C107)+AA107*INDEX(lg_kpu_3460,C107)</f>
        <v>11802.43968</v>
      </c>
      <c r="AH107" s="87" t="n">
        <f aca="false">INDEX(in_sup_requote,1,C107)</f>
        <v>0.1</v>
      </c>
      <c r="AI107" s="88" t="n">
        <f aca="false">Y107*q_price_3464*(1+AH107)*J107/I107</f>
        <v>3812.90790427846</v>
      </c>
      <c r="AJ107" s="88" t="n">
        <f aca="false">Z107*q_price_3463*(1+AH107)*J107/I107</f>
        <v>3600.95307158396</v>
      </c>
      <c r="AK107" s="88" t="n">
        <f aca="false">AA107*q_price_3460*(1+AH107)*J107/I107</f>
        <v>3145.13622707966</v>
      </c>
      <c r="AL107" s="88" t="n">
        <f aca="false">AI107+AJ107+AK107</f>
        <v>10558.9972029421</v>
      </c>
      <c r="AM107" s="88" t="n">
        <f aca="false">IF(OR(K107=2,K107=3),AL107*INDEX(in_sup_vat_rate,1,C107),0)</f>
        <v>1478.25960841189</v>
      </c>
      <c r="AN107" s="88" t="n">
        <f aca="false">IF(K107=3,AM107,0)</f>
        <v>1478.25960841189</v>
      </c>
      <c r="AO107" s="88" t="n">
        <f aca="false">INDEX(in_sup_tooling_egp,1,C107)/I107</f>
        <v>517.973686936704</v>
      </c>
      <c r="AP107" s="88" t="n">
        <f aca="false">IF(F107=4,INDEX(in_ori_lcl_truck,1,C107)*V107/I107+INDEX(in_ori_lcl_cfs_o,1,C107),G107*(IF(F107=1,INDEX(in_ori_truck_20,1,C107),INDEX(in_ori_truck_40,1,C107))*V107/I107+INDEX(in_ori_terminal,1,C107)+IF(F107=1,INDEX(in_ori_othc_20,1,C107),INDEX(in_ori_othc_40,1,C107))*(1-INDEX(in_ori_othc_in_freight,1,C107))+INDEX(in_ori_seal,1,C107)+INDEX(in_ori_inspection,1,C107)+INDEX(in_ori_dd_days,1,C107)*IF(F107=1,INDEX(in_ori_dd_20,1,C107),INDEX(in_ori_dd_40,1,C107))+INDEX(in_ori_loading_egp,1,C107)/I107))</f>
        <v>882.378949549363</v>
      </c>
      <c r="AQ107" s="88" t="n">
        <f aca="false">(INDEX(in_ori_clearance,1,C107)+INDEX(in_ori_coo,1,C107))/I107+INDEX(in_ori_bl_fee,1,C107)+INDEX(in_ori_fwd_fee,1,C107)+INDEX(in_ori_qc,1,C107)+INDEX(in_ori_wires,1,C107)*INDEX(in_ori_wire_fee,1,C107)</f>
        <v>1167.90842225215</v>
      </c>
      <c r="AR107" s="88" t="n">
        <f aca="false">AP107+AQ107</f>
        <v>2050.28737180151</v>
      </c>
      <c r="AS107" s="85" t="n">
        <f aca="false">INDEX(tbl_port_diff,H107,C107)</f>
        <v>300</v>
      </c>
      <c r="AT107" s="88" t="n">
        <f aca="false">IF(F107=4,MAX(AF107*INDEX(in_oce_lcl_factor,1,C107),AG107/1000,1)*INDEX(in_oce_lcl_rate,1,C107)*M107,G107*(INDEX(tbl_ocean_rate,MIN(F107,3),C107)+AS107)*M107)</f>
        <v>5300</v>
      </c>
      <c r="AU107" s="88" t="n">
        <f aca="false">AT107+INDEX(in_oce_ams,1,C107)</f>
        <v>5345</v>
      </c>
      <c r="AV107" s="88" t="n">
        <f aca="false">AI107*(1+IF(K107=3,INDEX(in_sup_vat_rate,1,C107),0))+AO107*Y107/AB107</f>
        <v>4519.37290652302</v>
      </c>
      <c r="AW107" s="88" t="n">
        <f aca="false">AJ107*(1+IF(K107=3,INDEX(in_sup_vat_rate,1,C107),0))+AO107*Z107/AB107</f>
        <v>4277.74439725129</v>
      </c>
      <c r="AX107" s="88" t="n">
        <f aca="false">AK107*(1+IF(K107=3,INDEX(in_sup_vat_rate,1,C107),0))+AO107*AA107/AB107</f>
        <v>3758.11319451639</v>
      </c>
      <c r="AY107" s="88" t="n">
        <f aca="false">AV107+AW107+AX107</f>
        <v>12555.2304982907</v>
      </c>
      <c r="AZ107" s="88" t="n">
        <f aca="false">MAX(INDEX(in_oce_ins_min,1,C107),INDEX(in_oce_ins_rate,1,C107)*(1+INDEX(in_oce_ins_uplift,1,C107))*(AL107+AO107+AR107+AU107))*(1-INDEX(in_oce_ins_in_other,1,C107))</f>
        <v>100</v>
      </c>
      <c r="BA107" s="87" t="n">
        <f aca="false">INDEX(in_cus_mfn,1,C107)+L107</f>
        <v>0.125</v>
      </c>
      <c r="BB107" s="88" t="n">
        <f aca="false">AY107*BA107</f>
        <v>1569.40381228634</v>
      </c>
      <c r="BC107" s="88" t="n">
        <f aca="false">MIN(MAX(AY107*INDEX(in_cus_mpf_rate,1,C107),INDEX(in_cus_mpf_min,1,C107)),INDEX(in_cus_mpf_max,1,C107))</f>
        <v>43.4913184460789</v>
      </c>
      <c r="BD107" s="88" t="n">
        <f aca="false">AY107*INDEX(in_cus_hmf,1,C107)</f>
        <v>15.6940381228634</v>
      </c>
      <c r="BE107" s="88" t="n">
        <f aca="false">MAX(INDEX(in_cus_stb_min,1,C107),INDEX(in_cus_stb_rate,1,C107)/1000*(AY107+BB107+BC107+BD107))</f>
        <v>99.2867376700218</v>
      </c>
      <c r="BF107" s="88" t="n">
        <f aca="false">INDEX(in_cus_broker,1,C107)+INDEX(in_cus_isf,1,C107)+INDEX(in_cus_do_fee,1,C107)+BE107+INDEX(in_cus_isf_bond,1,C107)</f>
        <v>724.286737670022</v>
      </c>
      <c r="BG107" s="88" t="n">
        <f aca="false">IF(H107=1,INDEX(in_cus_cfc,1,C107)*INDEX(ct_teu,F107)*G107*(1-INDEX(in_cus_cfc_in_freight,1,C107)),0)</f>
        <v>0</v>
      </c>
      <c r="BH107" s="88" t="n">
        <f aca="false">IF(F107=4,1,G107)*(INDEX(in_cus_exam,1,C107)+INDEX(in_cus_exam_dray,1,C107))</f>
        <v>600</v>
      </c>
      <c r="BI107" s="88" t="n">
        <f aca="false">IF(F107=4,1,G107)*INDEX(in_cus_dem_days,1,C107)*INDEX(in_cus_dem_rate,1,C107)</f>
        <v>750</v>
      </c>
      <c r="BJ107" s="88" t="n">
        <f aca="false">BG107+BH107+BI107</f>
        <v>1350</v>
      </c>
      <c r="BK107" s="88" t="n">
        <f aca="false">IF(F107=4,(INDEX(in_dra_lcl_cfs_d,1,C107)+INDEX(in_dra_lcl_deliv,1,C107))*P107,G107*(INDEX(tbl_dest_line,E107,C107)*P107*(1+INDEX(in_dra_fsc,1,C107))+INDEX(tbl_dest_tolls,E107,C107)+INDEX(in_dra_chassis_days,1,C107)*INDEX(tbl_dest_chassis,E107,C107)*(1-INDEX(in_dra_chassis_in_dray,1,C107))+INDEX(in_dra_wait_hours,1,C107)*INDEX(in_dra_wait_rate,1,C107)+INDEX(in_dra_split,1,C107)+INDEX(in_dra_prepull,1,C107)+INDEX(in_dra_dryrun,1,C107)))</f>
        <v>2100</v>
      </c>
      <c r="BL107" s="88" t="n">
        <f aca="false">IF(F107=4,0,G107*IF(F107=1,INDEX(in_dra_unload_20,1,C107),INDEX(in_dra_unload_40,1,C107))*Q107*(1-INDEX(in_dra_unload_in_dray,1,C107)))</f>
        <v>650</v>
      </c>
      <c r="BM107" s="88" t="n">
        <f aca="false">AL107+AN107+AO107+AR107+AU107+AZ107+BB107+BC107+BD107+BF107+BJ107+BK107+BL107</f>
        <v>26503.3937766175</v>
      </c>
      <c r="BN107" s="88" t="n">
        <f aca="false">AP107+AU107+BJ107+BK107+BL107</f>
        <v>10327.3789495494</v>
      </c>
      <c r="BO107" s="88" t="n">
        <f aca="false">AQ107+BF107</f>
        <v>1892.19515992217</v>
      </c>
      <c r="BP107" s="88" t="n">
        <f aca="false">AI107*(1+IF(K107=3,INDEX(in_sup_vat_rate,1,C107),0))+AO107*Y107/AB107+AV107*BA107+(BC107+BD107)*AV107/AY107+AZ107*AI107/AL107+BN107*AC107/AF107+BO107*Y107/AB107</f>
        <v>9189.28451767486</v>
      </c>
      <c r="BQ107" s="88" t="n">
        <f aca="false">AJ107*(1+IF(K107=3,INDEX(in_sup_vat_rate,1,C107),0))+AO107*Z107/AB107+AW107*BA107+(BC107+BD107)*AW107/AY107+AZ107*AJ107/AL107+BN107*AD107/AF107+BO107*Z107/AB107</f>
        <v>9677.41288822622</v>
      </c>
      <c r="BR107" s="88" t="n">
        <f aca="false">AK107*(1+IF(K107=3,INDEX(in_sup_vat_rate,1,C107),0))+AO107*AA107/AB107+AX107*BA107+(BC107+BD107)*AX107/AY107+AZ107*AK107/AL107+BN107*AE107/AF107+BO107*AA107/AB107</f>
        <v>7636.69637071642</v>
      </c>
      <c r="BS107" s="89" t="n">
        <f aca="false">BP107+BQ107+BR107-BM107</f>
        <v>0</v>
      </c>
      <c r="BT107" s="85" t="n">
        <f aca="false">Y107*(1-R107)</f>
        <v>19200</v>
      </c>
      <c r="BU107" s="85" t="n">
        <f aca="false">Z107*(1-R107)</f>
        <v>19200</v>
      </c>
      <c r="BV107" s="85" t="n">
        <f aca="false">AA107*(1-R107)</f>
        <v>19200</v>
      </c>
      <c r="BW107" s="85" t="n">
        <f aca="false">BT107+BU107+BV107</f>
        <v>57600</v>
      </c>
      <c r="BX107" s="90" t="n">
        <f aca="false">IF(BT107&gt;0,BP107/BT107,0)</f>
        <v>0.478608568628899</v>
      </c>
      <c r="BY107" s="90" t="n">
        <f aca="false">IF(BU107&gt;0,BQ107/BU107,0)</f>
        <v>0.504031921261782</v>
      </c>
      <c r="BZ107" s="90" t="n">
        <f aca="false">IF(BV107&gt;0,BR107/BV107,0)</f>
        <v>0.39774460264148</v>
      </c>
      <c r="CA107" s="90" t="n">
        <f aca="false">INDEX(in_mkt_listing_3464,1,C107)*(1-IF(sku_flute_3464="B",T107,0))*(1-S107)*N107</f>
        <v>0.1995</v>
      </c>
      <c r="CB107" s="90" t="n">
        <f aca="false">INDEX(in_mkt_listing_3463,1,C107)*(1-IF(sku_flute_3463="B",T107,0))*(1-S107)*N107</f>
        <v>0.23625</v>
      </c>
      <c r="CC107" s="90" t="n">
        <f aca="false">INDEX(in_mkt_listing_3460,1,C107)*(1-IF(sku_flute_3460="B",T107,0))*(1-S107)*N107</f>
        <v>0.21</v>
      </c>
      <c r="CD107" s="88" t="n">
        <f aca="false">BT107*CA107+BU107*CB107+BV107*CC107</f>
        <v>12398.4</v>
      </c>
      <c r="CE107" s="88" t="n">
        <f aca="false">CD107-BM107</f>
        <v>-14104.9937766175</v>
      </c>
      <c r="CF107" s="87" t="n">
        <f aca="false">IF(CD107&gt;0,CE107/CD107,0)</f>
        <v>-1.13764629118414</v>
      </c>
      <c r="CG107" s="87" t="n">
        <f aca="false">W107+INDEX(in_sel_processing,1,C107)+INDEX(in_sel_bad_debt,1,C107)</f>
        <v>0.095</v>
      </c>
      <c r="CH107" s="88" t="n">
        <f aca="false">CD107*CG107</f>
        <v>1177.848</v>
      </c>
      <c r="CI107" s="88" t="n">
        <f aca="false">INDEX(in_sel_testing,1,C107)*X107+INDEX(in_sel_admin,1,C107)</f>
        <v>4750</v>
      </c>
      <c r="CJ107" s="79" t="n">
        <f aca="false">INDEX(in_sup_lead_days,1,C107)</f>
        <v>35</v>
      </c>
      <c r="CK107" s="79" t="n">
        <f aca="false">CJ107+INDEX(in_oce_transit,1,C107)+IF(F107=4,INDEX(in_oce_lcl_extra_days,1,C107),0)</f>
        <v>73</v>
      </c>
      <c r="CL107" s="79" t="n">
        <f aca="false">CK107+2+INDEX(in_cus_dem_days,1,C107)</f>
        <v>78</v>
      </c>
      <c r="CM107" s="79" t="n">
        <f aca="false">CL107+U107</f>
        <v>138</v>
      </c>
      <c r="CN107" s="79" t="n">
        <f aca="false">CJ107+INDEX(in_sup_vat_lag,1,C107)</f>
        <v>215</v>
      </c>
      <c r="CO107" s="91" t="n">
        <f aca="false">INDEX(in_sup_advance,1,C107)</f>
        <v>0.5</v>
      </c>
      <c r="CP107" s="88" t="n">
        <f aca="false">CO107*(AL107+AM107)+AO107+INDEX(in_sel_testing,1,C107)*X107</f>
        <v>10536.6020926137</v>
      </c>
      <c r="CQ107" s="88" t="n">
        <f aca="false">(1-CO107)*(AL107+AM107)+AR107+AU107+AZ107</f>
        <v>13513.9157774785</v>
      </c>
      <c r="CR107" s="88" t="n">
        <f aca="false">BB107+BC107+BD107+BF107+BJ107</f>
        <v>3702.8759065253</v>
      </c>
      <c r="CS107" s="88" t="n">
        <f aca="false">BK107+BL107</f>
        <v>2750</v>
      </c>
      <c r="CT107" s="88" t="n">
        <f aca="false">IF(K107=2,AM107,0)</f>
        <v>0</v>
      </c>
      <c r="CU107" s="85" t="n">
        <f aca="false">IF(K107=2,CO107*AM107*(CN107-0)+(1-CO107)*AM107*(CN107-CJ107),0)</f>
        <v>0</v>
      </c>
      <c r="CV107" s="85" t="n">
        <f aca="false">(CP107-CO107*CT107)*(CM107-0)+(CQ107-(1-CO107)*CT107)*(CM107-CJ107)+CR107*(CM107-CK107)+CS107*(CM107-CL107)</f>
        <v>3251671.34778512</v>
      </c>
      <c r="CW107" s="88" t="n">
        <f aca="false">INDEX(in_sel_fin_rate,1,C107)/365*(CU107+CV107)</f>
        <v>1247.21640736964</v>
      </c>
      <c r="CX107" s="85" t="n">
        <f aca="false">CP107-IF(CN107&lt;=0,CT107,0)</f>
        <v>10536.6020926137</v>
      </c>
      <c r="CY107" s="85" t="n">
        <f aca="false">CP107+CQ107-IF(CN107&lt;=CJ107,CT107,0)</f>
        <v>24050.5178700922</v>
      </c>
      <c r="CZ107" s="85" t="n">
        <f aca="false">CP107+CQ107+CR107-IF(CN107&lt;=CK107,CT107,0)</f>
        <v>27753.3937766175</v>
      </c>
      <c r="DA107" s="85" t="n">
        <f aca="false">CP107+CQ107+CR107+CS107-IF(CN107&lt;=CL107,CT107,0)</f>
        <v>30503.3937766175</v>
      </c>
      <c r="DB107" s="88" t="n">
        <f aca="false">MAX(CX107,CY107,CZ107,DA107)</f>
        <v>30503.3937766175</v>
      </c>
      <c r="DC107" s="88" t="n">
        <f aca="false">CP107+CQ107+CR107+CS107</f>
        <v>30503.3937766175</v>
      </c>
      <c r="DD107" s="88" t="n">
        <f aca="false">CE107-CH107-CI107-CW107</f>
        <v>-21280.0581839871</v>
      </c>
      <c r="DE107" s="87" t="n">
        <f aca="false">IF(CD107&gt;0,DD107/CD107,0)</f>
        <v>-1.71635518970086</v>
      </c>
      <c r="DF107" s="86" t="n">
        <f aca="false">IF(CD107&gt;0,(BM107+CI107+CW107)/(CD107*(1-CG107)),0)</f>
        <v>2.89652507149266</v>
      </c>
      <c r="DG107" s="90" t="n">
        <f aca="false">IF(BW107&gt;0,BM107/BW107,0)</f>
        <v>0.460128364177387</v>
      </c>
      <c r="DH107" s="90" t="n">
        <f aca="false">IF(BW107&gt;0,CD107/BW107,0)</f>
        <v>0.21525</v>
      </c>
      <c r="DI107" s="90" t="n">
        <f aca="false">IF(AI107&gt;0,(AI107*IF(K107=3,INDEX(in_sup_vat_rate,1,C107),0)+AV107*BA107+(BC107+BD107)*AV107/AY107+AZ107*AI107/AL107)/AI107,0)</f>
        <v>0.303218326895857</v>
      </c>
      <c r="DJ107" s="90" t="n">
        <f aca="false">IF(AJ107&gt;0,(AJ107*IF(K107=3,INDEX(in_sup_vat_rate,1,C107),0)+AW107*BA107+(BC107+BD107)*AW107/AY107+AZ107*AJ107/AL107)/AJ107,0)</f>
        <v>0.30356406149334</v>
      </c>
      <c r="DK107" s="90" t="n">
        <f aca="false">IF(AK107&gt;0,(AK107*IF(K107=3,INDEX(in_sup_vat_rate,1,C107),0)+AX107*BA107+(BC107+BD107)*AX107/AY107+AZ107*AK107/AL107)/AK107,0)</f>
        <v>0.304465439055422</v>
      </c>
      <c r="DL107" s="90" t="n">
        <f aca="false">IF(Y107&gt;0,(BP107-AI107*(1+DI107))/Y107,0)</f>
        <v>0.211011652902655</v>
      </c>
      <c r="DM107" s="90" t="n">
        <f aca="false">IF(Z107&gt;0,(BQ107-AJ107*(1+DJ107))/Z107,0)</f>
        <v>0.249166993849266</v>
      </c>
      <c r="DN107" s="90" t="n">
        <f aca="false">IF(AA107&gt;0,(BR107-AK107*(1+DK107))/AA107,0)</f>
        <v>0.176698743068492</v>
      </c>
      <c r="DO107" s="86" t="n">
        <f aca="false">IF(Y107&gt;0,(CA107*(1-thr_gm_go)*(1-R107)-DL107)/(1+DI107)*I107/((1+AH107)*J107),"")</f>
        <v>-2.26829559367696</v>
      </c>
      <c r="DP107" s="86" t="n">
        <f aca="false">IF(Z107&gt;0,(CB107*(1-thr_gm_go)*(1-R107)-DM107)/(1+DJ107)*I107/((1+AH107)*J107),"")</f>
        <v>-2.66135294407819</v>
      </c>
      <c r="DQ107" s="86" t="n">
        <f aca="false">IF(AA107&gt;0,(CC107*(1-thr_gm_go)*(1-R107)-DN107)/(1+DK107)*I107/((1+AH107)*J107),"")</f>
        <v>-0.857681062542384</v>
      </c>
      <c r="DR107" s="92" t="n">
        <f aca="false">IF(AND(AY107*INDEX(in_cus_mpf_rate,1,C107)&gt;INDEX(in_cus_mpf_min,1,C107),AY107*INDEX(in_cus_mpf_rate,1,C107)&lt;INDEX(in_cus_mpf_max,1,C107)),INDEX(in_cus_mpf_rate,1,C107),0)</f>
        <v>0.003464</v>
      </c>
      <c r="DS107" s="88" t="n">
        <f aca="false">IF(AZ107&gt;INDEX(in_oce_ins_min,1,C107),INDEX(in_oce_ins_rate,1,C107)*(1+INDEX(in_oce_ins_uplift,1,C107))*AL107,0)</f>
        <v>0</v>
      </c>
      <c r="DT107" s="88" t="n">
        <f aca="false">(AL107+AN107)*(1+BA107+INDEX(in_cus_hmf,1,C107)+DR107)+DS107</f>
        <v>13598.657541382</v>
      </c>
      <c r="DU107" s="86" t="n">
        <f aca="false">IF(DT107&gt;0,(CD107*(1-thr_gm_go)-(BM107-DT107))/DT107,0)</f>
        <v>-0.265168545076038</v>
      </c>
      <c r="DV107" s="86" t="n">
        <f aca="false">IF(DT107&gt;0,(CD107-(BM107-DT107))/DT107,0)</f>
        <v>-0.0372342809350644</v>
      </c>
      <c r="DW107" s="87" t="n">
        <f aca="false">(1+AH107)*J107*DU107-1</f>
        <v>-1.29168539958364</v>
      </c>
      <c r="DX107" s="87" t="n">
        <f aca="false">(1+AH107)*J107*DV107-1</f>
        <v>-1.04095770902857</v>
      </c>
      <c r="DY107" s="85" t="n">
        <f aca="false">IF(G107&gt;0,(CD107*(1-thr_gm_go)-(BM107-AT107))/G107,"")</f>
        <v>-11904.5937766175</v>
      </c>
      <c r="DZ107" s="90" t="n">
        <f aca="false">IF(AB107&gt;0,(AL107+AN107+BB107+BC107+BD107)/AB107,0)</f>
        <v>0.227764099670154</v>
      </c>
      <c r="EA107" s="88" t="n">
        <f aca="false">BM107-DZ107*AB107</f>
        <v>12837.5477964082</v>
      </c>
      <c r="EB107" s="90" t="n">
        <f aca="false">IF(AB107&gt;0,CD107/AB107,0)</f>
        <v>0.20664</v>
      </c>
      <c r="EC107" s="85" t="str">
        <f aca="false">IF(EB107*(1-thr_gm_go)-DZ107&gt;0,EA107/(EB107*(1-thr_gm_go)-DZ107),"n/a")</f>
        <v>n/a</v>
      </c>
      <c r="ED107" s="85" t="str">
        <f aca="false">IF(EB107-DZ107&gt;0,EA107/(EB107-DZ107),"n/a")</f>
        <v>n/a</v>
      </c>
      <c r="EE107" s="93" t="b">
        <f aca="false">INDEX(cfg_fits,D107,C107)</f>
        <v>1</v>
      </c>
      <c r="EF107" s="87" t="n">
        <f aca="false">IF(F107=4,"",INDEX(cfg_lenutil,D107,C107))</f>
        <v>0.912070410729254</v>
      </c>
      <c r="EG107" s="31" t="str">
        <f aca="false">IF(O107&gt;1,"Check fit (units scaled up)","")</f>
        <v/>
      </c>
    </row>
    <row r="108" customFormat="false" ht="15" hidden="false" customHeight="false" outlineLevel="0" collapsed="false">
      <c r="A108" s="78" t="n">
        <v>3014</v>
      </c>
      <c r="B108" s="9" t="s">
        <v>3256</v>
      </c>
      <c r="C108" s="78" t="n">
        <v>3</v>
      </c>
      <c r="D108" s="78" t="n">
        <v>1</v>
      </c>
      <c r="E108" s="78" t="n">
        <v>4</v>
      </c>
      <c r="F108" s="79" t="n">
        <f aca="false">INDEX(cfg_ct,D108)</f>
        <v>3</v>
      </c>
      <c r="G108" s="79" t="n">
        <f aca="false">INDEX(cfg_n,D108)</f>
        <v>1</v>
      </c>
      <c r="H108" s="79" t="n">
        <f aca="false">INDEX(dest_port,E108)</f>
        <v>3</v>
      </c>
      <c r="I108" s="80" t="n">
        <f aca="false">INDEX(in_fx_cbe,1,C108)*(1-INDEX(in_fx_spread,1,C108))</f>
        <v>48.265</v>
      </c>
      <c r="J108" s="81" t="n">
        <f aca="false">1</f>
        <v>1</v>
      </c>
      <c r="K108" s="82" t="n">
        <f aca="false">INDEX(in_sup_vat_mode,1,C108)</f>
        <v>3</v>
      </c>
      <c r="L108" s="83" t="n">
        <f aca="false">INDEX(in_cus_s301,1,C108)</f>
        <v>0.125</v>
      </c>
      <c r="M108" s="84" t="n">
        <f aca="false">1</f>
        <v>1</v>
      </c>
      <c r="N108" s="81" t="n">
        <f aca="false">1</f>
        <v>1</v>
      </c>
      <c r="O108" s="81" t="n">
        <f aca="false">1</f>
        <v>1</v>
      </c>
      <c r="P108" s="81" t="n">
        <f aca="false">1</f>
        <v>1</v>
      </c>
      <c r="Q108" s="81" t="n">
        <f aca="false">1</f>
        <v>1</v>
      </c>
      <c r="R108" s="83" t="n">
        <f aca="false">INDEX(in_sel_damage,1,C108)</f>
        <v>0.04</v>
      </c>
      <c r="S108" s="83" t="n">
        <f aca="false">INDEX(in_mkt_dist_margin,1,C108)</f>
        <v>0.3</v>
      </c>
      <c r="T108" s="83" t="n">
        <f aca="false">INDEX(in_mkt_eflute_disc,1,C108)</f>
        <v>0.25</v>
      </c>
      <c r="U108" s="82" t="n">
        <f aca="false">INDEX(in_sel_credit_days,1,C108)</f>
        <v>60</v>
      </c>
      <c r="V108" s="81" t="n">
        <f aca="false">1</f>
        <v>1</v>
      </c>
      <c r="W108" s="83" t="n">
        <f aca="false">INDEX(in_sel_commission,1,C108)</f>
        <v>0.07</v>
      </c>
      <c r="X108" s="82" t="n">
        <f aca="false">1</f>
        <v>1</v>
      </c>
      <c r="Y108" s="85" t="n">
        <f aca="false">INDEX(cfg_u_3464,D108,C108)*O108</f>
        <v>20000</v>
      </c>
      <c r="Z108" s="85" t="n">
        <f aca="false">INDEX(cfg_u_3463,D108,C108)*O108</f>
        <v>20000</v>
      </c>
      <c r="AA108" s="85" t="n">
        <f aca="false">INDEX(cfg_u_3460,D108,C108)*O108</f>
        <v>20000</v>
      </c>
      <c r="AB108" s="85" t="n">
        <f aca="false">Y108+Z108+AA108</f>
        <v>60000</v>
      </c>
      <c r="AC108" s="86" t="n">
        <f aca="false">Y108*INDEX(lg_vpu_3464,C108)</f>
        <v>16.00632</v>
      </c>
      <c r="AD108" s="86" t="n">
        <f aca="false">Z108*INDEX(lg_vpu_3463,C108)</f>
        <v>19.58112</v>
      </c>
      <c r="AE108" s="86" t="n">
        <f aca="false">AA108*INDEX(lg_vpu_3460,C108)</f>
        <v>12.79152</v>
      </c>
      <c r="AF108" s="86" t="n">
        <f aca="false">AC108+AD108+AE108</f>
        <v>48.37896</v>
      </c>
      <c r="AG108" s="85" t="n">
        <f aca="false">Y108*INDEX(lg_kpu_3464,C108)+Z108*INDEX(lg_kpu_3463,C108)+AA108*INDEX(lg_kpu_3460,C108)</f>
        <v>11802.43968</v>
      </c>
      <c r="AH108" s="87" t="n">
        <f aca="false">INDEX(in_sup_requote,1,C108)</f>
        <v>0.1</v>
      </c>
      <c r="AI108" s="88" t="n">
        <f aca="false">Y108*q_price_3464*(1+AH108)*J108/I108</f>
        <v>3812.90790427846</v>
      </c>
      <c r="AJ108" s="88" t="n">
        <f aca="false">Z108*q_price_3463*(1+AH108)*J108/I108</f>
        <v>3600.95307158396</v>
      </c>
      <c r="AK108" s="88" t="n">
        <f aca="false">AA108*q_price_3460*(1+AH108)*J108/I108</f>
        <v>3145.13622707966</v>
      </c>
      <c r="AL108" s="88" t="n">
        <f aca="false">AI108+AJ108+AK108</f>
        <v>10558.9972029421</v>
      </c>
      <c r="AM108" s="88" t="n">
        <f aca="false">IF(OR(K108=2,K108=3),AL108*INDEX(in_sup_vat_rate,1,C108),0)</f>
        <v>1478.25960841189</v>
      </c>
      <c r="AN108" s="88" t="n">
        <f aca="false">IF(K108=3,AM108,0)</f>
        <v>1478.25960841189</v>
      </c>
      <c r="AO108" s="88" t="n">
        <f aca="false">INDEX(in_sup_tooling_egp,1,C108)/I108</f>
        <v>517.973686936704</v>
      </c>
      <c r="AP108" s="88" t="n">
        <f aca="false">IF(F108=4,INDEX(in_ori_lcl_truck,1,C108)*V108/I108+INDEX(in_ori_lcl_cfs_o,1,C108),G108*(IF(F108=1,INDEX(in_ori_truck_20,1,C108),INDEX(in_ori_truck_40,1,C108))*V108/I108+INDEX(in_ori_terminal,1,C108)+IF(F108=1,INDEX(in_ori_othc_20,1,C108),INDEX(in_ori_othc_40,1,C108))*(1-INDEX(in_ori_othc_in_freight,1,C108))+INDEX(in_ori_seal,1,C108)+INDEX(in_ori_inspection,1,C108)+INDEX(in_ori_dd_days,1,C108)*IF(F108=1,INDEX(in_ori_dd_20,1,C108),INDEX(in_ori_dd_40,1,C108))+INDEX(in_ori_loading_egp,1,C108)/I108))</f>
        <v>882.378949549363</v>
      </c>
      <c r="AQ108" s="88" t="n">
        <f aca="false">(INDEX(in_ori_clearance,1,C108)+INDEX(in_ori_coo,1,C108))/I108+INDEX(in_ori_bl_fee,1,C108)+INDEX(in_ori_fwd_fee,1,C108)+INDEX(in_ori_qc,1,C108)+INDEX(in_ori_wires,1,C108)*INDEX(in_ori_wire_fee,1,C108)</f>
        <v>1167.90842225215</v>
      </c>
      <c r="AR108" s="88" t="n">
        <f aca="false">AP108+AQ108</f>
        <v>2050.28737180151</v>
      </c>
      <c r="AS108" s="85" t="n">
        <f aca="false">INDEX(tbl_port_diff,H108,C108)</f>
        <v>100</v>
      </c>
      <c r="AT108" s="88" t="n">
        <f aca="false">IF(F108=4,MAX(AF108*INDEX(in_oce_lcl_factor,1,C108),AG108/1000,1)*INDEX(in_oce_lcl_rate,1,C108)*M108,G108*(INDEX(tbl_ocean_rate,MIN(F108,3),C108)+AS108)*M108)</f>
        <v>5100</v>
      </c>
      <c r="AU108" s="88" t="n">
        <f aca="false">AT108+INDEX(in_oce_ams,1,C108)</f>
        <v>5145</v>
      </c>
      <c r="AV108" s="88" t="n">
        <f aca="false">AI108*(1+IF(K108=3,INDEX(in_sup_vat_rate,1,C108),0))+AO108*Y108/AB108</f>
        <v>4519.37290652302</v>
      </c>
      <c r="AW108" s="88" t="n">
        <f aca="false">AJ108*(1+IF(K108=3,INDEX(in_sup_vat_rate,1,C108),0))+AO108*Z108/AB108</f>
        <v>4277.74439725129</v>
      </c>
      <c r="AX108" s="88" t="n">
        <f aca="false">AK108*(1+IF(K108=3,INDEX(in_sup_vat_rate,1,C108),0))+AO108*AA108/AB108</f>
        <v>3758.11319451639</v>
      </c>
      <c r="AY108" s="88" t="n">
        <f aca="false">AV108+AW108+AX108</f>
        <v>12555.2304982907</v>
      </c>
      <c r="AZ108" s="88" t="n">
        <f aca="false">MAX(INDEX(in_oce_ins_min,1,C108),INDEX(in_oce_ins_rate,1,C108)*(1+INDEX(in_oce_ins_uplift,1,C108))*(AL108+AO108+AR108+AU108))*(1-INDEX(in_oce_ins_in_other,1,C108))</f>
        <v>100</v>
      </c>
      <c r="BA108" s="87" t="n">
        <f aca="false">INDEX(in_cus_mfn,1,C108)+L108</f>
        <v>0.125</v>
      </c>
      <c r="BB108" s="88" t="n">
        <f aca="false">AY108*BA108</f>
        <v>1569.40381228634</v>
      </c>
      <c r="BC108" s="88" t="n">
        <f aca="false">MIN(MAX(AY108*INDEX(in_cus_mpf_rate,1,C108),INDEX(in_cus_mpf_min,1,C108)),INDEX(in_cus_mpf_max,1,C108))</f>
        <v>43.4913184460789</v>
      </c>
      <c r="BD108" s="88" t="n">
        <f aca="false">AY108*INDEX(in_cus_hmf,1,C108)</f>
        <v>15.6940381228634</v>
      </c>
      <c r="BE108" s="88" t="n">
        <f aca="false">MAX(INDEX(in_cus_stb_min,1,C108),INDEX(in_cus_stb_rate,1,C108)/1000*(AY108+BB108+BC108+BD108))</f>
        <v>99.2867376700218</v>
      </c>
      <c r="BF108" s="88" t="n">
        <f aca="false">INDEX(in_cus_broker,1,C108)+INDEX(in_cus_isf,1,C108)+INDEX(in_cus_do_fee,1,C108)+BE108+INDEX(in_cus_isf_bond,1,C108)</f>
        <v>724.286737670022</v>
      </c>
      <c r="BG108" s="88" t="n">
        <f aca="false">IF(H108=1,INDEX(in_cus_cfc,1,C108)*INDEX(ct_teu,F108)*G108*(1-INDEX(in_cus_cfc_in_freight,1,C108)),0)</f>
        <v>0</v>
      </c>
      <c r="BH108" s="88" t="n">
        <f aca="false">IF(F108=4,1,G108)*(INDEX(in_cus_exam,1,C108)+INDEX(in_cus_exam_dray,1,C108))</f>
        <v>600</v>
      </c>
      <c r="BI108" s="88" t="n">
        <f aca="false">IF(F108=4,1,G108)*INDEX(in_cus_dem_days,1,C108)*INDEX(in_cus_dem_rate,1,C108)</f>
        <v>750</v>
      </c>
      <c r="BJ108" s="88" t="n">
        <f aca="false">BG108+BH108+BI108</f>
        <v>1350</v>
      </c>
      <c r="BK108" s="88" t="n">
        <f aca="false">IF(F108=4,(INDEX(in_dra_lcl_cfs_d,1,C108)+INDEX(in_dra_lcl_deliv,1,C108))*P108,G108*(INDEX(tbl_dest_line,E108,C108)*P108*(1+INDEX(in_dra_fsc,1,C108))+INDEX(tbl_dest_tolls,E108,C108)+INDEX(in_dra_chassis_days,1,C108)*INDEX(tbl_dest_chassis,E108,C108)*(1-INDEX(in_dra_chassis_in_dray,1,C108))+INDEX(in_dra_wait_hours,1,C108)*INDEX(in_dra_wait_rate,1,C108)+INDEX(in_dra_split,1,C108)+INDEX(in_dra_prepull,1,C108)+INDEX(in_dra_dryrun,1,C108)))</f>
        <v>2850</v>
      </c>
      <c r="BL108" s="88" t="n">
        <f aca="false">IF(F108=4,0,G108*IF(F108=1,INDEX(in_dra_unload_20,1,C108),INDEX(in_dra_unload_40,1,C108))*Q108*(1-INDEX(in_dra_unload_in_dray,1,C108)))</f>
        <v>650</v>
      </c>
      <c r="BM108" s="88" t="n">
        <f aca="false">AL108+AN108+AO108+AR108+AU108+AZ108+BB108+BC108+BD108+BF108+BJ108+BK108+BL108</f>
        <v>27053.3937766175</v>
      </c>
      <c r="BN108" s="88" t="n">
        <f aca="false">AP108+AU108+BJ108+BK108+BL108</f>
        <v>10877.3789495494</v>
      </c>
      <c r="BO108" s="88" t="n">
        <f aca="false">AQ108+BF108</f>
        <v>1892.19515992217</v>
      </c>
      <c r="BP108" s="88" t="n">
        <f aca="false">AI108*(1+IF(K108=3,INDEX(in_sup_vat_rate,1,C108),0))+AO108*Y108/AB108+AV108*BA108+(BC108+BD108)*AV108/AY108+AZ108*AI108/AL108+BN108*AC108/AF108+BO108*Y108/AB108</f>
        <v>9371.25362159938</v>
      </c>
      <c r="BQ108" s="88" t="n">
        <f aca="false">AJ108*(1+IF(K108=3,INDEX(in_sup_vat_rate,1,C108),0))+AO108*Z108/AB108+AW108*BA108+(BC108+BD108)*AW108/AY108+AZ108*AJ108/AL108+BN108*AD108/AF108+BO108*Z108/AB108</f>
        <v>9900.02238623941</v>
      </c>
      <c r="BR108" s="88" t="n">
        <f aca="false">AK108*(1+IF(K108=3,INDEX(in_sup_vat_rate,1,C108),0))+AO108*AA108/AB108+AX108*BA108+(BC108+BD108)*AX108/AY108+AZ108*AK108/AL108+BN108*AE108/AF108+BO108*AA108/AB108</f>
        <v>7782.11776877872</v>
      </c>
      <c r="BS108" s="89" t="n">
        <f aca="false">BP108+BQ108+BR108-BM108</f>
        <v>0</v>
      </c>
      <c r="BT108" s="85" t="n">
        <f aca="false">Y108*(1-R108)</f>
        <v>19200</v>
      </c>
      <c r="BU108" s="85" t="n">
        <f aca="false">Z108*(1-R108)</f>
        <v>19200</v>
      </c>
      <c r="BV108" s="85" t="n">
        <f aca="false">AA108*(1-R108)</f>
        <v>19200</v>
      </c>
      <c r="BW108" s="85" t="n">
        <f aca="false">BT108+BU108+BV108</f>
        <v>57600</v>
      </c>
      <c r="BX108" s="90" t="n">
        <f aca="false">IF(BT108&gt;0,BP108/BT108,0)</f>
        <v>0.488086126124967</v>
      </c>
      <c r="BY108" s="90" t="n">
        <f aca="false">IF(BU108&gt;0,BQ108/BU108,0)</f>
        <v>0.515626165949969</v>
      </c>
      <c r="BZ108" s="90" t="n">
        <f aca="false">IF(BV108&gt;0,BR108/BV108,0)</f>
        <v>0.405318633790558</v>
      </c>
      <c r="CA108" s="90" t="n">
        <f aca="false">INDEX(in_mkt_listing_3464,1,C108)*(1-IF(sku_flute_3464="B",T108,0))*(1-S108)*N108</f>
        <v>0.1995</v>
      </c>
      <c r="CB108" s="90" t="n">
        <f aca="false">INDEX(in_mkt_listing_3463,1,C108)*(1-IF(sku_flute_3463="B",T108,0))*(1-S108)*N108</f>
        <v>0.23625</v>
      </c>
      <c r="CC108" s="90" t="n">
        <f aca="false">INDEX(in_mkt_listing_3460,1,C108)*(1-IF(sku_flute_3460="B",T108,0))*(1-S108)*N108</f>
        <v>0.21</v>
      </c>
      <c r="CD108" s="88" t="n">
        <f aca="false">BT108*CA108+BU108*CB108+BV108*CC108</f>
        <v>12398.4</v>
      </c>
      <c r="CE108" s="88" t="n">
        <f aca="false">CD108-BM108</f>
        <v>-14654.9937766175</v>
      </c>
      <c r="CF108" s="87" t="n">
        <f aca="false">IF(CD108&gt;0,CE108/CD108,0)</f>
        <v>-1.18200685383739</v>
      </c>
      <c r="CG108" s="87" t="n">
        <f aca="false">W108+INDEX(in_sel_processing,1,C108)+INDEX(in_sel_bad_debt,1,C108)</f>
        <v>0.095</v>
      </c>
      <c r="CH108" s="88" t="n">
        <f aca="false">CD108*CG108</f>
        <v>1177.848</v>
      </c>
      <c r="CI108" s="88" t="n">
        <f aca="false">INDEX(in_sel_testing,1,C108)*X108+INDEX(in_sel_admin,1,C108)</f>
        <v>4750</v>
      </c>
      <c r="CJ108" s="79" t="n">
        <f aca="false">INDEX(in_sup_lead_days,1,C108)</f>
        <v>35</v>
      </c>
      <c r="CK108" s="79" t="n">
        <f aca="false">CJ108+INDEX(in_oce_transit,1,C108)+IF(F108=4,INDEX(in_oce_lcl_extra_days,1,C108),0)</f>
        <v>73</v>
      </c>
      <c r="CL108" s="79" t="n">
        <f aca="false">CK108+2+INDEX(in_cus_dem_days,1,C108)</f>
        <v>78</v>
      </c>
      <c r="CM108" s="79" t="n">
        <f aca="false">CL108+U108</f>
        <v>138</v>
      </c>
      <c r="CN108" s="79" t="n">
        <f aca="false">CJ108+INDEX(in_sup_vat_lag,1,C108)</f>
        <v>215</v>
      </c>
      <c r="CO108" s="91" t="n">
        <f aca="false">INDEX(in_sup_advance,1,C108)</f>
        <v>0.5</v>
      </c>
      <c r="CP108" s="88" t="n">
        <f aca="false">CO108*(AL108+AM108)+AO108+INDEX(in_sel_testing,1,C108)*X108</f>
        <v>10536.6020926137</v>
      </c>
      <c r="CQ108" s="88" t="n">
        <f aca="false">(1-CO108)*(AL108+AM108)+AR108+AU108+AZ108</f>
        <v>13313.9157774785</v>
      </c>
      <c r="CR108" s="88" t="n">
        <f aca="false">BB108+BC108+BD108+BF108+BJ108</f>
        <v>3702.8759065253</v>
      </c>
      <c r="CS108" s="88" t="n">
        <f aca="false">BK108+BL108</f>
        <v>3500</v>
      </c>
      <c r="CT108" s="88" t="n">
        <f aca="false">IF(K108=2,AM108,0)</f>
        <v>0</v>
      </c>
      <c r="CU108" s="85" t="n">
        <f aca="false">IF(K108=2,CO108*AM108*(CN108-0)+(1-CO108)*AM108*(CN108-CJ108),0)</f>
        <v>0</v>
      </c>
      <c r="CV108" s="85" t="n">
        <f aca="false">(CP108-CO108*CT108)*(CM108-0)+(CQ108-(1-CO108)*CT108)*(CM108-CJ108)+CR108*(CM108-CK108)+CS108*(CM108-CL108)</f>
        <v>3276071.34778512</v>
      </c>
      <c r="CW108" s="88" t="n">
        <f aca="false">INDEX(in_sel_fin_rate,1,C108)/365*(CU108+CV108)</f>
        <v>1256.57531147922</v>
      </c>
      <c r="CX108" s="85" t="n">
        <f aca="false">CP108-IF(CN108&lt;=0,CT108,0)</f>
        <v>10536.6020926137</v>
      </c>
      <c r="CY108" s="85" t="n">
        <f aca="false">CP108+CQ108-IF(CN108&lt;=CJ108,CT108,0)</f>
        <v>23850.5178700922</v>
      </c>
      <c r="CZ108" s="85" t="n">
        <f aca="false">CP108+CQ108+CR108-IF(CN108&lt;=CK108,CT108,0)</f>
        <v>27553.3937766175</v>
      </c>
      <c r="DA108" s="85" t="n">
        <f aca="false">CP108+CQ108+CR108+CS108-IF(CN108&lt;=CL108,CT108,0)</f>
        <v>31053.3937766175</v>
      </c>
      <c r="DB108" s="88" t="n">
        <f aca="false">MAX(CX108,CY108,CZ108,DA108)</f>
        <v>31053.3937766175</v>
      </c>
      <c r="DC108" s="88" t="n">
        <f aca="false">CP108+CQ108+CR108+CS108</f>
        <v>31053.3937766175</v>
      </c>
      <c r="DD108" s="88" t="n">
        <f aca="false">CE108-CH108-CI108-CW108</f>
        <v>-21839.4170880967</v>
      </c>
      <c r="DE108" s="87" t="n">
        <f aca="false">IF(CD108&gt;0,DD108/CD108,0)</f>
        <v>-1.76147060008523</v>
      </c>
      <c r="DF108" s="86" t="n">
        <f aca="false">IF(CD108&gt;0,(BM108+CI108+CW108)/(CD108*(1-CG108)),0)</f>
        <v>2.94637635368534</v>
      </c>
      <c r="DG108" s="90" t="n">
        <f aca="false">IF(BW108&gt;0,BM108/BW108,0)</f>
        <v>0.469676975288498</v>
      </c>
      <c r="DH108" s="90" t="n">
        <f aca="false">IF(BW108&gt;0,CD108/BW108,0)</f>
        <v>0.21525</v>
      </c>
      <c r="DI108" s="90" t="n">
        <f aca="false">IF(AI108&gt;0,(AI108*IF(K108=3,INDEX(in_sup_vat_rate,1,C108),0)+AV108*BA108+(BC108+BD108)*AV108/AY108+AZ108*AI108/AL108)/AI108,0)</f>
        <v>0.303218326895857</v>
      </c>
      <c r="DJ108" s="90" t="n">
        <f aca="false">IF(AJ108&gt;0,(AJ108*IF(K108=3,INDEX(in_sup_vat_rate,1,C108),0)+AW108*BA108+(BC108+BD108)*AW108/AY108+AZ108*AJ108/AL108)/AJ108,0)</f>
        <v>0.30356406149334</v>
      </c>
      <c r="DK108" s="90" t="n">
        <f aca="false">IF(AK108&gt;0,(AK108*IF(K108=3,INDEX(in_sup_vat_rate,1,C108),0)+AX108*BA108+(BC108+BD108)*AX108/AY108+AZ108*AK108/AL108)/AK108,0)</f>
        <v>0.304465439055422</v>
      </c>
      <c r="DL108" s="90" t="n">
        <f aca="false">IF(Y108&gt;0,(BP108-AI108*(1+DI108))/Y108,0)</f>
        <v>0.22011010809888</v>
      </c>
      <c r="DM108" s="90" t="n">
        <f aca="false">IF(Z108&gt;0,(BQ108-AJ108*(1+DJ108))/Z108,0)</f>
        <v>0.260297468749925</v>
      </c>
      <c r="DN108" s="90" t="n">
        <f aca="false">IF(AA108&gt;0,(BR108-AK108*(1+DK108))/AA108,0)</f>
        <v>0.183969812971607</v>
      </c>
      <c r="DO108" s="86" t="n">
        <f aca="false">IF(Y108&gt;0,(CA108*(1-thr_gm_go)*(1-R108)-DL108)/(1+DI108)*I108/((1+AH108)*J108),"")</f>
        <v>-2.57462600033458</v>
      </c>
      <c r="DP108" s="86" t="n">
        <f aca="false">IF(Z108&gt;0,(CB108*(1-thr_gm_go)*(1-R108)-DM108)/(1+DJ108)*I108/((1+AH108)*J108),"")</f>
        <v>-3.03599880708305</v>
      </c>
      <c r="DQ108" s="86" t="n">
        <f aca="false">IF(AA108&gt;0,(CC108*(1-thr_gm_go)*(1-R108)-DN108)/(1+DK108)*I108/((1+AH108)*J108),"")</f>
        <v>-1.10225229272312</v>
      </c>
      <c r="DR108" s="92" t="n">
        <f aca="false">IF(AND(AY108*INDEX(in_cus_mpf_rate,1,C108)&gt;INDEX(in_cus_mpf_min,1,C108),AY108*INDEX(in_cus_mpf_rate,1,C108)&lt;INDEX(in_cus_mpf_max,1,C108)),INDEX(in_cus_mpf_rate,1,C108),0)</f>
        <v>0.003464</v>
      </c>
      <c r="DS108" s="88" t="n">
        <f aca="false">IF(AZ108&gt;INDEX(in_oce_ins_min,1,C108),INDEX(in_oce_ins_rate,1,C108)*(1+INDEX(in_oce_ins_uplift,1,C108))*AL108,0)</f>
        <v>0</v>
      </c>
      <c r="DT108" s="88" t="n">
        <f aca="false">(AL108+AN108)*(1+BA108+INDEX(in_cus_hmf,1,C108)+DR108)+DS108</f>
        <v>13598.657541382</v>
      </c>
      <c r="DU108" s="86" t="n">
        <f aca="false">IF(DT108&gt;0,(CD108*(1-thr_gm_go)-(BM108-DT108))/DT108,0)</f>
        <v>-0.305613713897027</v>
      </c>
      <c r="DV108" s="86" t="n">
        <f aca="false">IF(DT108&gt;0,(CD108-(BM108-DT108))/DT108,0)</f>
        <v>-0.0776794497560527</v>
      </c>
      <c r="DW108" s="87" t="n">
        <f aca="false">(1+AH108)*J108*DU108-1</f>
        <v>-1.33617508528673</v>
      </c>
      <c r="DX108" s="87" t="n">
        <f aca="false">(1+AH108)*J108*DV108-1</f>
        <v>-1.08544739473166</v>
      </c>
      <c r="DY108" s="85" t="n">
        <f aca="false">IF(G108&gt;0,(CD108*(1-thr_gm_go)-(BM108-AT108))/G108,"")</f>
        <v>-12654.5937766175</v>
      </c>
      <c r="DZ108" s="90" t="n">
        <f aca="false">IF(AB108&gt;0,(AL108+AN108+BB108+BC108+BD108)/AB108,0)</f>
        <v>0.227764099670154</v>
      </c>
      <c r="EA108" s="88" t="n">
        <f aca="false">BM108-DZ108*AB108</f>
        <v>13387.5477964082</v>
      </c>
      <c r="EB108" s="90" t="n">
        <f aca="false">IF(AB108&gt;0,CD108/AB108,0)</f>
        <v>0.20664</v>
      </c>
      <c r="EC108" s="85" t="str">
        <f aca="false">IF(EB108*(1-thr_gm_go)-DZ108&gt;0,EA108/(EB108*(1-thr_gm_go)-DZ108),"n/a")</f>
        <v>n/a</v>
      </c>
      <c r="ED108" s="85" t="str">
        <f aca="false">IF(EB108-DZ108&gt;0,EA108/(EB108-DZ108),"n/a")</f>
        <v>n/a</v>
      </c>
      <c r="EE108" s="93" t="b">
        <f aca="false">INDEX(cfg_fits,D108,C108)</f>
        <v>1</v>
      </c>
      <c r="EF108" s="87" t="n">
        <f aca="false">IF(F108=4,"",INDEX(cfg_lenutil,D108,C108))</f>
        <v>0.912070410729254</v>
      </c>
      <c r="EG108" s="31" t="str">
        <f aca="false">IF(O108&gt;1,"Check fit (units scaled up)","")</f>
        <v/>
      </c>
    </row>
    <row r="109" customFormat="false" ht="15" hidden="false" customHeight="false" outlineLevel="0" collapsed="false">
      <c r="A109" s="78" t="n">
        <v>3015</v>
      </c>
      <c r="B109" s="9" t="s">
        <v>3257</v>
      </c>
      <c r="C109" s="78" t="n">
        <v>3</v>
      </c>
      <c r="D109" s="78" t="n">
        <v>1</v>
      </c>
      <c r="E109" s="78" t="n">
        <v>5</v>
      </c>
      <c r="F109" s="79" t="n">
        <f aca="false">INDEX(cfg_ct,D109)</f>
        <v>3</v>
      </c>
      <c r="G109" s="79" t="n">
        <f aca="false">INDEX(cfg_n,D109)</f>
        <v>1</v>
      </c>
      <c r="H109" s="79" t="n">
        <f aca="false">INDEX(dest_port,E109)</f>
        <v>4</v>
      </c>
      <c r="I109" s="80" t="n">
        <f aca="false">INDEX(in_fx_cbe,1,C109)*(1-INDEX(in_fx_spread,1,C109))</f>
        <v>48.265</v>
      </c>
      <c r="J109" s="81" t="n">
        <f aca="false">1</f>
        <v>1</v>
      </c>
      <c r="K109" s="82" t="n">
        <f aca="false">INDEX(in_sup_vat_mode,1,C109)</f>
        <v>3</v>
      </c>
      <c r="L109" s="83" t="n">
        <f aca="false">INDEX(in_cus_s301,1,C109)</f>
        <v>0.125</v>
      </c>
      <c r="M109" s="84" t="n">
        <f aca="false">1</f>
        <v>1</v>
      </c>
      <c r="N109" s="81" t="n">
        <f aca="false">1</f>
        <v>1</v>
      </c>
      <c r="O109" s="81" t="n">
        <f aca="false">1</f>
        <v>1</v>
      </c>
      <c r="P109" s="81" t="n">
        <f aca="false">1</f>
        <v>1</v>
      </c>
      <c r="Q109" s="81" t="n">
        <f aca="false">1</f>
        <v>1</v>
      </c>
      <c r="R109" s="83" t="n">
        <f aca="false">INDEX(in_sel_damage,1,C109)</f>
        <v>0.04</v>
      </c>
      <c r="S109" s="83" t="n">
        <f aca="false">INDEX(in_mkt_dist_margin,1,C109)</f>
        <v>0.3</v>
      </c>
      <c r="T109" s="83" t="n">
        <f aca="false">INDEX(in_mkt_eflute_disc,1,C109)</f>
        <v>0.25</v>
      </c>
      <c r="U109" s="82" t="n">
        <f aca="false">INDEX(in_sel_credit_days,1,C109)</f>
        <v>60</v>
      </c>
      <c r="V109" s="81" t="n">
        <f aca="false">1</f>
        <v>1</v>
      </c>
      <c r="W109" s="83" t="n">
        <f aca="false">INDEX(in_sel_commission,1,C109)</f>
        <v>0.07</v>
      </c>
      <c r="X109" s="82" t="n">
        <f aca="false">1</f>
        <v>1</v>
      </c>
      <c r="Y109" s="85" t="n">
        <f aca="false">INDEX(cfg_u_3464,D109,C109)*O109</f>
        <v>20000</v>
      </c>
      <c r="Z109" s="85" t="n">
        <f aca="false">INDEX(cfg_u_3463,D109,C109)*O109</f>
        <v>20000</v>
      </c>
      <c r="AA109" s="85" t="n">
        <f aca="false">INDEX(cfg_u_3460,D109,C109)*O109</f>
        <v>20000</v>
      </c>
      <c r="AB109" s="85" t="n">
        <f aca="false">Y109+Z109+AA109</f>
        <v>60000</v>
      </c>
      <c r="AC109" s="86" t="n">
        <f aca="false">Y109*INDEX(lg_vpu_3464,C109)</f>
        <v>16.00632</v>
      </c>
      <c r="AD109" s="86" t="n">
        <f aca="false">Z109*INDEX(lg_vpu_3463,C109)</f>
        <v>19.58112</v>
      </c>
      <c r="AE109" s="86" t="n">
        <f aca="false">AA109*INDEX(lg_vpu_3460,C109)</f>
        <v>12.79152</v>
      </c>
      <c r="AF109" s="86" t="n">
        <f aca="false">AC109+AD109+AE109</f>
        <v>48.37896</v>
      </c>
      <c r="AG109" s="85" t="n">
        <f aca="false">Y109*INDEX(lg_kpu_3464,C109)+Z109*INDEX(lg_kpu_3463,C109)+AA109*INDEX(lg_kpu_3460,C109)</f>
        <v>11802.43968</v>
      </c>
      <c r="AH109" s="87" t="n">
        <f aca="false">INDEX(in_sup_requote,1,C109)</f>
        <v>0.1</v>
      </c>
      <c r="AI109" s="88" t="n">
        <f aca="false">Y109*q_price_3464*(1+AH109)*J109/I109</f>
        <v>3812.90790427846</v>
      </c>
      <c r="AJ109" s="88" t="n">
        <f aca="false">Z109*q_price_3463*(1+AH109)*J109/I109</f>
        <v>3600.95307158396</v>
      </c>
      <c r="AK109" s="88" t="n">
        <f aca="false">AA109*q_price_3460*(1+AH109)*J109/I109</f>
        <v>3145.13622707966</v>
      </c>
      <c r="AL109" s="88" t="n">
        <f aca="false">AI109+AJ109+AK109</f>
        <v>10558.9972029421</v>
      </c>
      <c r="AM109" s="88" t="n">
        <f aca="false">IF(OR(K109=2,K109=3),AL109*INDEX(in_sup_vat_rate,1,C109),0)</f>
        <v>1478.25960841189</v>
      </c>
      <c r="AN109" s="88" t="n">
        <f aca="false">IF(K109=3,AM109,0)</f>
        <v>1478.25960841189</v>
      </c>
      <c r="AO109" s="88" t="n">
        <f aca="false">INDEX(in_sup_tooling_egp,1,C109)/I109</f>
        <v>517.973686936704</v>
      </c>
      <c r="AP109" s="88" t="n">
        <f aca="false">IF(F109=4,INDEX(in_ori_lcl_truck,1,C109)*V109/I109+INDEX(in_ori_lcl_cfs_o,1,C109),G109*(IF(F109=1,INDEX(in_ori_truck_20,1,C109),INDEX(in_ori_truck_40,1,C109))*V109/I109+INDEX(in_ori_terminal,1,C109)+IF(F109=1,INDEX(in_ori_othc_20,1,C109),INDEX(in_ori_othc_40,1,C109))*(1-INDEX(in_ori_othc_in_freight,1,C109))+INDEX(in_ori_seal,1,C109)+INDEX(in_ori_inspection,1,C109)+INDEX(in_ori_dd_days,1,C109)*IF(F109=1,INDEX(in_ori_dd_20,1,C109),INDEX(in_ori_dd_40,1,C109))+INDEX(in_ori_loading_egp,1,C109)/I109))</f>
        <v>882.378949549363</v>
      </c>
      <c r="AQ109" s="88" t="n">
        <f aca="false">(INDEX(in_ori_clearance,1,C109)+INDEX(in_ori_coo,1,C109))/I109+INDEX(in_ori_bl_fee,1,C109)+INDEX(in_ori_fwd_fee,1,C109)+INDEX(in_ori_qc,1,C109)+INDEX(in_ori_wires,1,C109)*INDEX(in_ori_wire_fee,1,C109)</f>
        <v>1167.90842225215</v>
      </c>
      <c r="AR109" s="88" t="n">
        <f aca="false">AP109+AQ109</f>
        <v>2050.28737180151</v>
      </c>
      <c r="AS109" s="85" t="n">
        <f aca="false">INDEX(tbl_port_diff,H109,C109)</f>
        <v>200</v>
      </c>
      <c r="AT109" s="88" t="n">
        <f aca="false">IF(F109=4,MAX(AF109*INDEX(in_oce_lcl_factor,1,C109),AG109/1000,1)*INDEX(in_oce_lcl_rate,1,C109)*M109,G109*(INDEX(tbl_ocean_rate,MIN(F109,3),C109)+AS109)*M109)</f>
        <v>5200</v>
      </c>
      <c r="AU109" s="88" t="n">
        <f aca="false">AT109+INDEX(in_oce_ams,1,C109)</f>
        <v>5245</v>
      </c>
      <c r="AV109" s="88" t="n">
        <f aca="false">AI109*(1+IF(K109=3,INDEX(in_sup_vat_rate,1,C109),0))+AO109*Y109/AB109</f>
        <v>4519.37290652302</v>
      </c>
      <c r="AW109" s="88" t="n">
        <f aca="false">AJ109*(1+IF(K109=3,INDEX(in_sup_vat_rate,1,C109),0))+AO109*Z109/AB109</f>
        <v>4277.74439725129</v>
      </c>
      <c r="AX109" s="88" t="n">
        <f aca="false">AK109*(1+IF(K109=3,INDEX(in_sup_vat_rate,1,C109),0))+AO109*AA109/AB109</f>
        <v>3758.11319451639</v>
      </c>
      <c r="AY109" s="88" t="n">
        <f aca="false">AV109+AW109+AX109</f>
        <v>12555.2304982907</v>
      </c>
      <c r="AZ109" s="88" t="n">
        <f aca="false">MAX(INDEX(in_oce_ins_min,1,C109),INDEX(in_oce_ins_rate,1,C109)*(1+INDEX(in_oce_ins_uplift,1,C109))*(AL109+AO109+AR109+AU109))*(1-INDEX(in_oce_ins_in_other,1,C109))</f>
        <v>100</v>
      </c>
      <c r="BA109" s="87" t="n">
        <f aca="false">INDEX(in_cus_mfn,1,C109)+L109</f>
        <v>0.125</v>
      </c>
      <c r="BB109" s="88" t="n">
        <f aca="false">AY109*BA109</f>
        <v>1569.40381228634</v>
      </c>
      <c r="BC109" s="88" t="n">
        <f aca="false">MIN(MAX(AY109*INDEX(in_cus_mpf_rate,1,C109),INDEX(in_cus_mpf_min,1,C109)),INDEX(in_cus_mpf_max,1,C109))</f>
        <v>43.4913184460789</v>
      </c>
      <c r="BD109" s="88" t="n">
        <f aca="false">AY109*INDEX(in_cus_hmf,1,C109)</f>
        <v>15.6940381228634</v>
      </c>
      <c r="BE109" s="88" t="n">
        <f aca="false">MAX(INDEX(in_cus_stb_min,1,C109),INDEX(in_cus_stb_rate,1,C109)/1000*(AY109+BB109+BC109+BD109))</f>
        <v>99.2867376700218</v>
      </c>
      <c r="BF109" s="88" t="n">
        <f aca="false">INDEX(in_cus_broker,1,C109)+INDEX(in_cus_isf,1,C109)+INDEX(in_cus_do_fee,1,C109)+BE109+INDEX(in_cus_isf_bond,1,C109)</f>
        <v>724.286737670022</v>
      </c>
      <c r="BG109" s="88" t="n">
        <f aca="false">IF(H109=1,INDEX(in_cus_cfc,1,C109)*INDEX(ct_teu,F109)*G109*(1-INDEX(in_cus_cfc_in_freight,1,C109)),0)</f>
        <v>0</v>
      </c>
      <c r="BH109" s="88" t="n">
        <f aca="false">IF(F109=4,1,G109)*(INDEX(in_cus_exam,1,C109)+INDEX(in_cus_exam_dray,1,C109))</f>
        <v>600</v>
      </c>
      <c r="BI109" s="88" t="n">
        <f aca="false">IF(F109=4,1,G109)*INDEX(in_cus_dem_days,1,C109)*INDEX(in_cus_dem_rate,1,C109)</f>
        <v>750</v>
      </c>
      <c r="BJ109" s="88" t="n">
        <f aca="false">BG109+BH109+BI109</f>
        <v>1350</v>
      </c>
      <c r="BK109" s="88" t="n">
        <f aca="false">IF(F109=4,(INDEX(in_dra_lcl_cfs_d,1,C109)+INDEX(in_dra_lcl_deliv,1,C109))*P109,G109*(INDEX(tbl_dest_line,E109,C109)*P109*(1+INDEX(in_dra_fsc,1,C109))+INDEX(tbl_dest_tolls,E109,C109)+INDEX(in_dra_chassis_days,1,C109)*INDEX(tbl_dest_chassis,E109,C109)*(1-INDEX(in_dra_chassis_in_dray,1,C109))+INDEX(in_dra_wait_hours,1,C109)*INDEX(in_dra_wait_rate,1,C109)+INDEX(in_dra_split,1,C109)+INDEX(in_dra_prepull,1,C109)+INDEX(in_dra_dryrun,1,C109)))</f>
        <v>3465</v>
      </c>
      <c r="BL109" s="88" t="n">
        <f aca="false">IF(F109=4,0,G109*IF(F109=1,INDEX(in_dra_unload_20,1,C109),INDEX(in_dra_unload_40,1,C109))*Q109*(1-INDEX(in_dra_unload_in_dray,1,C109)))</f>
        <v>650</v>
      </c>
      <c r="BM109" s="88" t="n">
        <f aca="false">AL109+AN109+AO109+AR109+AU109+AZ109+BB109+BC109+BD109+BF109+BJ109+BK109+BL109</f>
        <v>27768.3937766175</v>
      </c>
      <c r="BN109" s="88" t="n">
        <f aca="false">AP109+AU109+BJ109+BK109+BL109</f>
        <v>11592.3789495494</v>
      </c>
      <c r="BO109" s="88" t="n">
        <f aca="false">AQ109+BF109</f>
        <v>1892.19515992217</v>
      </c>
      <c r="BP109" s="88" t="n">
        <f aca="false">AI109*(1+IF(K109=3,INDEX(in_sup_vat_rate,1,C109),0))+AO109*Y109/AB109+AV109*BA109+(BC109+BD109)*AV109/AY109+AZ109*AI109/AL109+BN109*AC109/AF109+BO109*Y109/AB109</f>
        <v>9607.81345670125</v>
      </c>
      <c r="BQ109" s="88" t="n">
        <f aca="false">AJ109*(1+IF(K109=3,INDEX(in_sup_vat_rate,1,C109),0))+AO109*Z109/AB109+AW109*BA109+(BC109+BD109)*AW109/AY109+AZ109*AJ109/AL109+BN109*AD109/AF109+BO109*Z109/AB109</f>
        <v>10189.4147336565</v>
      </c>
      <c r="BR109" s="88" t="n">
        <f aca="false">AK109*(1+IF(K109=3,INDEX(in_sup_vat_rate,1,C109),0))+AO109*AA109/AB109+AX109*BA109+(BC109+BD109)*AX109/AY109+AZ109*AK109/AL109+BN109*AE109/AF109+BO109*AA109/AB109</f>
        <v>7971.16558625971</v>
      </c>
      <c r="BS109" s="89" t="n">
        <f aca="false">BP109+BQ109+BR109-BM109</f>
        <v>0</v>
      </c>
      <c r="BT109" s="85" t="n">
        <f aca="false">Y109*(1-R109)</f>
        <v>19200</v>
      </c>
      <c r="BU109" s="85" t="n">
        <f aca="false">Z109*(1-R109)</f>
        <v>19200</v>
      </c>
      <c r="BV109" s="85" t="n">
        <f aca="false">AA109*(1-R109)</f>
        <v>19200</v>
      </c>
      <c r="BW109" s="85" t="n">
        <f aca="false">BT109+BU109+BV109</f>
        <v>57600</v>
      </c>
      <c r="BX109" s="90" t="n">
        <f aca="false">IF(BT109&gt;0,BP109/BT109,0)</f>
        <v>0.500406950869857</v>
      </c>
      <c r="BY109" s="90" t="n">
        <f aca="false">IF(BU109&gt;0,BQ109/BU109,0)</f>
        <v>0.530698684044612</v>
      </c>
      <c r="BZ109" s="90" t="n">
        <f aca="false">IF(BV109&gt;0,BR109/BV109,0)</f>
        <v>0.41516487428436</v>
      </c>
      <c r="CA109" s="90" t="n">
        <f aca="false">INDEX(in_mkt_listing_3464,1,C109)*(1-IF(sku_flute_3464="B",T109,0))*(1-S109)*N109</f>
        <v>0.1995</v>
      </c>
      <c r="CB109" s="90" t="n">
        <f aca="false">INDEX(in_mkt_listing_3463,1,C109)*(1-IF(sku_flute_3463="B",T109,0))*(1-S109)*N109</f>
        <v>0.23625</v>
      </c>
      <c r="CC109" s="90" t="n">
        <f aca="false">INDEX(in_mkt_listing_3460,1,C109)*(1-IF(sku_flute_3460="B",T109,0))*(1-S109)*N109</f>
        <v>0.21</v>
      </c>
      <c r="CD109" s="88" t="n">
        <f aca="false">BT109*CA109+BU109*CB109+BV109*CC109</f>
        <v>12398.4</v>
      </c>
      <c r="CE109" s="88" t="n">
        <f aca="false">CD109-BM109</f>
        <v>-15369.9937766175</v>
      </c>
      <c r="CF109" s="87" t="n">
        <f aca="false">IF(CD109&gt;0,CE109/CD109,0)</f>
        <v>-1.23967558528661</v>
      </c>
      <c r="CG109" s="87" t="n">
        <f aca="false">W109+INDEX(in_sel_processing,1,C109)+INDEX(in_sel_bad_debt,1,C109)</f>
        <v>0.095</v>
      </c>
      <c r="CH109" s="88" t="n">
        <f aca="false">CD109*CG109</f>
        <v>1177.848</v>
      </c>
      <c r="CI109" s="88" t="n">
        <f aca="false">INDEX(in_sel_testing,1,C109)*X109+INDEX(in_sel_admin,1,C109)</f>
        <v>4750</v>
      </c>
      <c r="CJ109" s="79" t="n">
        <f aca="false">INDEX(in_sup_lead_days,1,C109)</f>
        <v>35</v>
      </c>
      <c r="CK109" s="79" t="n">
        <f aca="false">CJ109+INDEX(in_oce_transit,1,C109)+IF(F109=4,INDEX(in_oce_lcl_extra_days,1,C109),0)</f>
        <v>73</v>
      </c>
      <c r="CL109" s="79" t="n">
        <f aca="false">CK109+2+INDEX(in_cus_dem_days,1,C109)</f>
        <v>78</v>
      </c>
      <c r="CM109" s="79" t="n">
        <f aca="false">CL109+U109</f>
        <v>138</v>
      </c>
      <c r="CN109" s="79" t="n">
        <f aca="false">CJ109+INDEX(in_sup_vat_lag,1,C109)</f>
        <v>215</v>
      </c>
      <c r="CO109" s="91" t="n">
        <f aca="false">INDEX(in_sup_advance,1,C109)</f>
        <v>0.5</v>
      </c>
      <c r="CP109" s="88" t="n">
        <f aca="false">CO109*(AL109+AM109)+AO109+INDEX(in_sel_testing,1,C109)*X109</f>
        <v>10536.6020926137</v>
      </c>
      <c r="CQ109" s="88" t="n">
        <f aca="false">(1-CO109)*(AL109+AM109)+AR109+AU109+AZ109</f>
        <v>13413.9157774785</v>
      </c>
      <c r="CR109" s="88" t="n">
        <f aca="false">BB109+BC109+BD109+BF109+BJ109</f>
        <v>3702.8759065253</v>
      </c>
      <c r="CS109" s="88" t="n">
        <f aca="false">BK109+BL109</f>
        <v>4115</v>
      </c>
      <c r="CT109" s="88" t="n">
        <f aca="false">IF(K109=2,AM109,0)</f>
        <v>0</v>
      </c>
      <c r="CU109" s="85" t="n">
        <f aca="false">IF(K109=2,CO109*AM109*(CN109-0)+(1-CO109)*AM109*(CN109-CJ109),0)</f>
        <v>0</v>
      </c>
      <c r="CV109" s="85" t="n">
        <f aca="false">(CP109-CO109*CT109)*(CM109-0)+(CQ109-(1-CO109)*CT109)*(CM109-CJ109)+CR109*(CM109-CK109)+CS109*(CM109-CL109)</f>
        <v>3323271.34778512</v>
      </c>
      <c r="CW109" s="88" t="n">
        <f aca="false">INDEX(in_sel_fin_rate,1,C109)/365*(CU109+CV109)</f>
        <v>1274.67942106827</v>
      </c>
      <c r="CX109" s="85" t="n">
        <f aca="false">CP109-IF(CN109&lt;=0,CT109,0)</f>
        <v>10536.6020926137</v>
      </c>
      <c r="CY109" s="85" t="n">
        <f aca="false">CP109+CQ109-IF(CN109&lt;=CJ109,CT109,0)</f>
        <v>23950.5178700922</v>
      </c>
      <c r="CZ109" s="85" t="n">
        <f aca="false">CP109+CQ109+CR109-IF(CN109&lt;=CK109,CT109,0)</f>
        <v>27653.3937766175</v>
      </c>
      <c r="DA109" s="85" t="n">
        <f aca="false">CP109+CQ109+CR109+CS109-IF(CN109&lt;=CL109,CT109,0)</f>
        <v>31768.3937766175</v>
      </c>
      <c r="DB109" s="88" t="n">
        <f aca="false">MAX(CX109,CY109,CZ109,DA109)</f>
        <v>31768.3937766175</v>
      </c>
      <c r="DC109" s="88" t="n">
        <f aca="false">CP109+CQ109+CR109+CS109</f>
        <v>31768.3937766175</v>
      </c>
      <c r="DD109" s="88" t="n">
        <f aca="false">CE109-CH109-CI109-CW109</f>
        <v>-22572.5211976858</v>
      </c>
      <c r="DE109" s="87" t="n">
        <f aca="false">IF(CD109&gt;0,DD109/CD109,0)</f>
        <v>-1.82059952878482</v>
      </c>
      <c r="DF109" s="86" t="n">
        <f aca="false">IF(CD109&gt;0,(BM109+CI109+CW109)/(CD109*(1-CG109)),0)</f>
        <v>3.01171218650257</v>
      </c>
      <c r="DG109" s="90" t="n">
        <f aca="false">IF(BW109&gt;0,BM109/BW109,0)</f>
        <v>0.482090169732943</v>
      </c>
      <c r="DH109" s="90" t="n">
        <f aca="false">IF(BW109&gt;0,CD109/BW109,0)</f>
        <v>0.21525</v>
      </c>
      <c r="DI109" s="90" t="n">
        <f aca="false">IF(AI109&gt;0,(AI109*IF(K109=3,INDEX(in_sup_vat_rate,1,C109),0)+AV109*BA109+(BC109+BD109)*AV109/AY109+AZ109*AI109/AL109)/AI109,0)</f>
        <v>0.303218326895857</v>
      </c>
      <c r="DJ109" s="90" t="n">
        <f aca="false">IF(AJ109&gt;0,(AJ109*IF(K109=3,INDEX(in_sup_vat_rate,1,C109),0)+AW109*BA109+(BC109+BD109)*AW109/AY109+AZ109*AJ109/AL109)/AJ109,0)</f>
        <v>0.30356406149334</v>
      </c>
      <c r="DK109" s="90" t="n">
        <f aca="false">IF(AK109&gt;0,(AK109*IF(K109=3,INDEX(in_sup_vat_rate,1,C109),0)+AX109*BA109+(BC109+BD109)*AX109/AY109+AZ109*AK109/AL109)/AK109,0)</f>
        <v>0.304465439055422</v>
      </c>
      <c r="DL109" s="90" t="n">
        <f aca="false">IF(Y109&gt;0,(BP109-AI109*(1+DI109))/Y109,0)</f>
        <v>0.231938099853974</v>
      </c>
      <c r="DM109" s="90" t="n">
        <f aca="false">IF(Z109&gt;0,(BQ109-AJ109*(1+DJ109))/Z109,0)</f>
        <v>0.274767086120782</v>
      </c>
      <c r="DN109" s="90" t="n">
        <f aca="false">IF(AA109&gt;0,(BR109-AK109*(1+DK109))/AA109,0)</f>
        <v>0.193422203845656</v>
      </c>
      <c r="DO109" s="86" t="n">
        <f aca="false">IF(Y109&gt;0,(CA109*(1-thr_gm_go)*(1-R109)-DL109)/(1+DI109)*I109/((1+AH109)*J109),"")</f>
        <v>-2.97285552898948</v>
      </c>
      <c r="DP109" s="86" t="n">
        <f aca="false">IF(Z109&gt;0,(CB109*(1-thr_gm_go)*(1-R109)-DM109)/(1+DJ109)*I109/((1+AH109)*J109),"")</f>
        <v>-3.52303842898936</v>
      </c>
      <c r="DQ109" s="86" t="n">
        <f aca="false">IF(AA109&gt;0,(CC109*(1-thr_gm_go)*(1-R109)-DN109)/(1+DK109)*I109/((1+AH109)*J109),"")</f>
        <v>-1.42019489195807</v>
      </c>
      <c r="DR109" s="92" t="n">
        <f aca="false">IF(AND(AY109*INDEX(in_cus_mpf_rate,1,C109)&gt;INDEX(in_cus_mpf_min,1,C109),AY109*INDEX(in_cus_mpf_rate,1,C109)&lt;INDEX(in_cus_mpf_max,1,C109)),INDEX(in_cus_mpf_rate,1,C109),0)</f>
        <v>0.003464</v>
      </c>
      <c r="DS109" s="88" t="n">
        <f aca="false">IF(AZ109&gt;INDEX(in_oce_ins_min,1,C109),INDEX(in_oce_ins_rate,1,C109)*(1+INDEX(in_oce_ins_uplift,1,C109))*AL109,0)</f>
        <v>0</v>
      </c>
      <c r="DT109" s="88" t="n">
        <f aca="false">(AL109+AN109)*(1+BA109+INDEX(in_cus_hmf,1,C109)+DR109)+DS109</f>
        <v>13598.657541382</v>
      </c>
      <c r="DU109" s="86" t="n">
        <f aca="false">IF(DT109&gt;0,(CD109*(1-thr_gm_go)-(BM109-DT109))/DT109,0)</f>
        <v>-0.358192433364312</v>
      </c>
      <c r="DV109" s="86" t="n">
        <f aca="false">IF(DT109&gt;0,(CD109-(BM109-DT109))/DT109,0)</f>
        <v>-0.130258169223338</v>
      </c>
      <c r="DW109" s="87" t="n">
        <f aca="false">(1+AH109)*J109*DU109-1</f>
        <v>-1.39401167670074</v>
      </c>
      <c r="DX109" s="87" t="n">
        <f aca="false">(1+AH109)*J109*DV109-1</f>
        <v>-1.14328398614567</v>
      </c>
      <c r="DY109" s="85" t="n">
        <f aca="false">IF(G109&gt;0,(CD109*(1-thr_gm_go)-(BM109-AT109))/G109,"")</f>
        <v>-13269.5937766175</v>
      </c>
      <c r="DZ109" s="90" t="n">
        <f aca="false">IF(AB109&gt;0,(AL109+AN109+BB109+BC109+BD109)/AB109,0)</f>
        <v>0.227764099670154</v>
      </c>
      <c r="EA109" s="88" t="n">
        <f aca="false">BM109-DZ109*AB109</f>
        <v>14102.5477964082</v>
      </c>
      <c r="EB109" s="90" t="n">
        <f aca="false">IF(AB109&gt;0,CD109/AB109,0)</f>
        <v>0.20664</v>
      </c>
      <c r="EC109" s="85" t="str">
        <f aca="false">IF(EB109*(1-thr_gm_go)-DZ109&gt;0,EA109/(EB109*(1-thr_gm_go)-DZ109),"n/a")</f>
        <v>n/a</v>
      </c>
      <c r="ED109" s="85" t="str">
        <f aca="false">IF(EB109-DZ109&gt;0,EA109/(EB109-DZ109),"n/a")</f>
        <v>n/a</v>
      </c>
      <c r="EE109" s="93" t="b">
        <f aca="false">INDEX(cfg_fits,D109,C109)</f>
        <v>1</v>
      </c>
      <c r="EF109" s="87" t="n">
        <f aca="false">IF(F109=4,"",INDEX(cfg_lenutil,D109,C109))</f>
        <v>0.912070410729254</v>
      </c>
      <c r="EG109" s="31" t="str">
        <f aca="false">IF(O109&gt;1,"Check fit (units scaled up)","")</f>
        <v/>
      </c>
    </row>
    <row r="110" customFormat="false" ht="15" hidden="false" customHeight="false" outlineLevel="0" collapsed="false">
      <c r="A110" s="78" t="n">
        <v>3021</v>
      </c>
      <c r="B110" s="9" t="s">
        <v>3258</v>
      </c>
      <c r="C110" s="78" t="n">
        <v>3</v>
      </c>
      <c r="D110" s="78" t="n">
        <v>2</v>
      </c>
      <c r="E110" s="78" t="n">
        <v>1</v>
      </c>
      <c r="F110" s="79" t="n">
        <f aca="false">INDEX(cfg_ct,D110)</f>
        <v>2</v>
      </c>
      <c r="G110" s="79" t="n">
        <f aca="false">INDEX(cfg_n,D110)</f>
        <v>1</v>
      </c>
      <c r="H110" s="79" t="n">
        <f aca="false">INDEX(dest_port,E110)</f>
        <v>1</v>
      </c>
      <c r="I110" s="80" t="n">
        <f aca="false">INDEX(in_fx_cbe,1,C110)*(1-INDEX(in_fx_spread,1,C110))</f>
        <v>48.265</v>
      </c>
      <c r="J110" s="81" t="n">
        <f aca="false">1</f>
        <v>1</v>
      </c>
      <c r="K110" s="82" t="n">
        <f aca="false">INDEX(in_sup_vat_mode,1,C110)</f>
        <v>3</v>
      </c>
      <c r="L110" s="83" t="n">
        <f aca="false">INDEX(in_cus_s301,1,C110)</f>
        <v>0.125</v>
      </c>
      <c r="M110" s="84" t="n">
        <f aca="false">1</f>
        <v>1</v>
      </c>
      <c r="N110" s="81" t="n">
        <f aca="false">1</f>
        <v>1</v>
      </c>
      <c r="O110" s="81" t="n">
        <f aca="false">1</f>
        <v>1</v>
      </c>
      <c r="P110" s="81" t="n">
        <f aca="false">1</f>
        <v>1</v>
      </c>
      <c r="Q110" s="81" t="n">
        <f aca="false">1</f>
        <v>1</v>
      </c>
      <c r="R110" s="83" t="n">
        <f aca="false">INDEX(in_sel_damage,1,C110)</f>
        <v>0.04</v>
      </c>
      <c r="S110" s="83" t="n">
        <f aca="false">INDEX(in_mkt_dist_margin,1,C110)</f>
        <v>0.3</v>
      </c>
      <c r="T110" s="83" t="n">
        <f aca="false">INDEX(in_mkt_eflute_disc,1,C110)</f>
        <v>0.25</v>
      </c>
      <c r="U110" s="82" t="n">
        <f aca="false">INDEX(in_sel_credit_days,1,C110)</f>
        <v>60</v>
      </c>
      <c r="V110" s="81" t="n">
        <f aca="false">1</f>
        <v>1</v>
      </c>
      <c r="W110" s="83" t="n">
        <f aca="false">INDEX(in_sel_commission,1,C110)</f>
        <v>0.07</v>
      </c>
      <c r="X110" s="82" t="n">
        <f aca="false">1</f>
        <v>1</v>
      </c>
      <c r="Y110" s="85" t="n">
        <f aca="false">INDEX(cfg_u_3464,D110,C110)*O110</f>
        <v>20000</v>
      </c>
      <c r="Z110" s="85" t="n">
        <f aca="false">INDEX(cfg_u_3463,D110,C110)*O110</f>
        <v>20000</v>
      </c>
      <c r="AA110" s="85" t="n">
        <f aca="false">INDEX(cfg_u_3460,D110,C110)*O110</f>
        <v>20000</v>
      </c>
      <c r="AB110" s="85" t="n">
        <f aca="false">Y110+Z110+AA110</f>
        <v>60000</v>
      </c>
      <c r="AC110" s="86" t="n">
        <f aca="false">Y110*INDEX(lg_vpu_3464,C110)</f>
        <v>16.00632</v>
      </c>
      <c r="AD110" s="86" t="n">
        <f aca="false">Z110*INDEX(lg_vpu_3463,C110)</f>
        <v>19.58112</v>
      </c>
      <c r="AE110" s="86" t="n">
        <f aca="false">AA110*INDEX(lg_vpu_3460,C110)</f>
        <v>12.79152</v>
      </c>
      <c r="AF110" s="86" t="n">
        <f aca="false">AC110+AD110+AE110</f>
        <v>48.37896</v>
      </c>
      <c r="AG110" s="85" t="n">
        <f aca="false">Y110*INDEX(lg_kpu_3464,C110)+Z110*INDEX(lg_kpu_3463,C110)+AA110*INDEX(lg_kpu_3460,C110)</f>
        <v>11802.43968</v>
      </c>
      <c r="AH110" s="87" t="n">
        <f aca="false">INDEX(in_sup_requote,1,C110)</f>
        <v>0.1</v>
      </c>
      <c r="AI110" s="88" t="n">
        <f aca="false">Y110*q_price_3464*(1+AH110)*J110/I110</f>
        <v>3812.90790427846</v>
      </c>
      <c r="AJ110" s="88" t="n">
        <f aca="false">Z110*q_price_3463*(1+AH110)*J110/I110</f>
        <v>3600.95307158396</v>
      </c>
      <c r="AK110" s="88" t="n">
        <f aca="false">AA110*q_price_3460*(1+AH110)*J110/I110</f>
        <v>3145.13622707966</v>
      </c>
      <c r="AL110" s="88" t="n">
        <f aca="false">AI110+AJ110+AK110</f>
        <v>10558.9972029421</v>
      </c>
      <c r="AM110" s="88" t="n">
        <f aca="false">IF(OR(K110=2,K110=3),AL110*INDEX(in_sup_vat_rate,1,C110),0)</f>
        <v>1478.25960841189</v>
      </c>
      <c r="AN110" s="88" t="n">
        <f aca="false">IF(K110=3,AM110,0)</f>
        <v>1478.25960841189</v>
      </c>
      <c r="AO110" s="88" t="n">
        <f aca="false">INDEX(in_sup_tooling_egp,1,C110)/I110</f>
        <v>517.973686936704</v>
      </c>
      <c r="AP110" s="88" t="n">
        <f aca="false">IF(F110=4,INDEX(in_ori_lcl_truck,1,C110)*V110/I110+INDEX(in_ori_lcl_cfs_o,1,C110),G110*(IF(F110=1,INDEX(in_ori_truck_20,1,C110),INDEX(in_ori_truck_40,1,C110))*V110/I110+INDEX(in_ori_terminal,1,C110)+IF(F110=1,INDEX(in_ori_othc_20,1,C110),INDEX(in_ori_othc_40,1,C110))*(1-INDEX(in_ori_othc_in_freight,1,C110))+INDEX(in_ori_seal,1,C110)+INDEX(in_ori_inspection,1,C110)+INDEX(in_ori_dd_days,1,C110)*IF(F110=1,INDEX(in_ori_dd_20,1,C110),INDEX(in_ori_dd_40,1,C110))+INDEX(in_ori_loading_egp,1,C110)/I110))</f>
        <v>882.378949549363</v>
      </c>
      <c r="AQ110" s="88" t="n">
        <f aca="false">(INDEX(in_ori_clearance,1,C110)+INDEX(in_ori_coo,1,C110))/I110+INDEX(in_ori_bl_fee,1,C110)+INDEX(in_ori_fwd_fee,1,C110)+INDEX(in_ori_qc,1,C110)+INDEX(in_ori_wires,1,C110)*INDEX(in_ori_wire_fee,1,C110)</f>
        <v>1167.90842225215</v>
      </c>
      <c r="AR110" s="88" t="n">
        <f aca="false">AP110+AQ110</f>
        <v>2050.28737180151</v>
      </c>
      <c r="AS110" s="85" t="n">
        <f aca="false">INDEX(tbl_port_diff,H110,C110)</f>
        <v>0</v>
      </c>
      <c r="AT110" s="88" t="n">
        <f aca="false">IF(F110=4,MAX(AF110*INDEX(in_oce_lcl_factor,1,C110),AG110/1000,1)*INDEX(in_oce_lcl_rate,1,C110)*M110,G110*(INDEX(tbl_ocean_rate,MIN(F110,3),C110)+AS110)*M110)</f>
        <v>4900</v>
      </c>
      <c r="AU110" s="88" t="n">
        <f aca="false">AT110+INDEX(in_oce_ams,1,C110)</f>
        <v>4945</v>
      </c>
      <c r="AV110" s="88" t="n">
        <f aca="false">AI110*(1+IF(K110=3,INDEX(in_sup_vat_rate,1,C110),0))+AO110*Y110/AB110</f>
        <v>4519.37290652302</v>
      </c>
      <c r="AW110" s="88" t="n">
        <f aca="false">AJ110*(1+IF(K110=3,INDEX(in_sup_vat_rate,1,C110),0))+AO110*Z110/AB110</f>
        <v>4277.74439725129</v>
      </c>
      <c r="AX110" s="88" t="n">
        <f aca="false">AK110*(1+IF(K110=3,INDEX(in_sup_vat_rate,1,C110),0))+AO110*AA110/AB110</f>
        <v>3758.11319451639</v>
      </c>
      <c r="AY110" s="88" t="n">
        <f aca="false">AV110+AW110+AX110</f>
        <v>12555.2304982907</v>
      </c>
      <c r="AZ110" s="88" t="n">
        <f aca="false">MAX(INDEX(in_oce_ins_min,1,C110),INDEX(in_oce_ins_rate,1,C110)*(1+INDEX(in_oce_ins_uplift,1,C110))*(AL110+AO110+AR110+AU110))*(1-INDEX(in_oce_ins_in_other,1,C110))</f>
        <v>100</v>
      </c>
      <c r="BA110" s="87" t="n">
        <f aca="false">INDEX(in_cus_mfn,1,C110)+L110</f>
        <v>0.125</v>
      </c>
      <c r="BB110" s="88" t="n">
        <f aca="false">AY110*BA110</f>
        <v>1569.40381228634</v>
      </c>
      <c r="BC110" s="88" t="n">
        <f aca="false">MIN(MAX(AY110*INDEX(in_cus_mpf_rate,1,C110),INDEX(in_cus_mpf_min,1,C110)),INDEX(in_cus_mpf_max,1,C110))</f>
        <v>43.4913184460789</v>
      </c>
      <c r="BD110" s="88" t="n">
        <f aca="false">AY110*INDEX(in_cus_hmf,1,C110)</f>
        <v>15.6940381228634</v>
      </c>
      <c r="BE110" s="88" t="n">
        <f aca="false">MAX(INDEX(in_cus_stb_min,1,C110),INDEX(in_cus_stb_rate,1,C110)/1000*(AY110+BB110+BC110+BD110))</f>
        <v>99.2867376700218</v>
      </c>
      <c r="BF110" s="88" t="n">
        <f aca="false">INDEX(in_cus_broker,1,C110)+INDEX(in_cus_isf,1,C110)+INDEX(in_cus_do_fee,1,C110)+BE110+INDEX(in_cus_isf_bond,1,C110)</f>
        <v>724.286737670022</v>
      </c>
      <c r="BG110" s="88" t="n">
        <f aca="false">IF(H110=1,INDEX(in_cus_cfc,1,C110)*INDEX(ct_teu,F110)*G110*(1-INDEX(in_cus_cfc_in_freight,1,C110)),0)</f>
        <v>29.6</v>
      </c>
      <c r="BH110" s="88" t="n">
        <f aca="false">IF(F110=4,1,G110)*(INDEX(in_cus_exam,1,C110)+INDEX(in_cus_exam_dray,1,C110))</f>
        <v>600</v>
      </c>
      <c r="BI110" s="88" t="n">
        <f aca="false">IF(F110=4,1,G110)*INDEX(in_cus_dem_days,1,C110)*INDEX(in_cus_dem_rate,1,C110)</f>
        <v>750</v>
      </c>
      <c r="BJ110" s="88" t="n">
        <f aca="false">BG110+BH110+BI110</f>
        <v>1379.6</v>
      </c>
      <c r="BK110" s="88" t="n">
        <f aca="false">IF(F110=4,(INDEX(in_dra_lcl_cfs_d,1,C110)+INDEX(in_dra_lcl_deliv,1,C110))*P110,G110*(INDEX(tbl_dest_line,E110,C110)*P110*(1+INDEX(in_dra_fsc,1,C110))+INDEX(tbl_dest_tolls,E110,C110)+INDEX(in_dra_chassis_days,1,C110)*INDEX(tbl_dest_chassis,E110,C110)*(1-INDEX(in_dra_chassis_in_dray,1,C110))+INDEX(in_dra_wait_hours,1,C110)*INDEX(in_dra_wait_rate,1,C110)+INDEX(in_dra_split,1,C110)+INDEX(in_dra_prepull,1,C110)+INDEX(in_dra_dryrun,1,C110)))</f>
        <v>2280</v>
      </c>
      <c r="BL110" s="88" t="n">
        <f aca="false">IF(F110=4,0,G110*IF(F110=1,INDEX(in_dra_unload_20,1,C110),INDEX(in_dra_unload_40,1,C110))*Q110*(1-INDEX(in_dra_unload_in_dray,1,C110)))</f>
        <v>650</v>
      </c>
      <c r="BM110" s="88" t="n">
        <f aca="false">AL110+AN110+AO110+AR110+AU110+AZ110+BB110+BC110+BD110+BF110+BJ110+BK110+BL110</f>
        <v>26312.9937766175</v>
      </c>
      <c r="BN110" s="88" t="n">
        <f aca="false">AP110+AU110+BJ110+BK110+BL110</f>
        <v>10136.9789495494</v>
      </c>
      <c r="BO110" s="88" t="n">
        <f aca="false">AQ110+BF110</f>
        <v>1892.19515992217</v>
      </c>
      <c r="BP110" s="88" t="n">
        <f aca="false">AI110*(1+IF(K110=3,INDEX(in_sup_vat_rate,1,C110),0))+AO110*Y110/AB110+AV110*BA110+(BC110+BD110)*AV110/AY110+AZ110*AI110/AL110+BN110*AC110/AF110+BO110*Y110/AB110</f>
        <v>9126.29012242536</v>
      </c>
      <c r="BQ110" s="88" t="n">
        <f aca="false">AJ110*(1+IF(K110=3,INDEX(in_sup_vat_rate,1,C110),0))+AO110*Z110/AB110+AW110*BA110+(BC110+BD110)*AW110/AY110+AZ110*AJ110/AL110+BN110*AD110/AF110+BO110*Z110/AB110</f>
        <v>9600.34952745947</v>
      </c>
      <c r="BR110" s="88" t="n">
        <f aca="false">AK110*(1+IF(K110=3,INDEX(in_sup_vat_rate,1,C110),0))+AO110*AA110/AB110+AX110*BA110+(BC110+BD110)*AX110/AY110+AZ110*AK110/AL110+BN110*AE110/AF110+BO110*AA110/AB110</f>
        <v>7586.35412673268</v>
      </c>
      <c r="BS110" s="89" t="n">
        <f aca="false">BP110+BQ110+BR110-BM110</f>
        <v>0</v>
      </c>
      <c r="BT110" s="85" t="n">
        <f aca="false">Y110*(1-R110)</f>
        <v>19200</v>
      </c>
      <c r="BU110" s="85" t="n">
        <f aca="false">Z110*(1-R110)</f>
        <v>19200</v>
      </c>
      <c r="BV110" s="85" t="n">
        <f aca="false">AA110*(1-R110)</f>
        <v>19200</v>
      </c>
      <c r="BW110" s="85" t="n">
        <f aca="false">BT110+BU110+BV110</f>
        <v>57600</v>
      </c>
      <c r="BX110" s="90" t="n">
        <f aca="false">IF(BT110&gt;0,BP110/BT110,0)</f>
        <v>0.475327610542987</v>
      </c>
      <c r="BY110" s="90" t="n">
        <f aca="false">IF(BU110&gt;0,BQ110/BU110,0)</f>
        <v>0.500018204555181</v>
      </c>
      <c r="BZ110" s="90" t="n">
        <f aca="false">IF(BV110&gt;0,BR110/BV110,0)</f>
        <v>0.395122610767327</v>
      </c>
      <c r="CA110" s="90" t="n">
        <f aca="false">INDEX(in_mkt_listing_3464,1,C110)*(1-IF(sku_flute_3464="B",T110,0))*(1-S110)*N110</f>
        <v>0.1995</v>
      </c>
      <c r="CB110" s="90" t="n">
        <f aca="false">INDEX(in_mkt_listing_3463,1,C110)*(1-IF(sku_flute_3463="B",T110,0))*(1-S110)*N110</f>
        <v>0.23625</v>
      </c>
      <c r="CC110" s="90" t="n">
        <f aca="false">INDEX(in_mkt_listing_3460,1,C110)*(1-IF(sku_flute_3460="B",T110,0))*(1-S110)*N110</f>
        <v>0.21</v>
      </c>
      <c r="CD110" s="88" t="n">
        <f aca="false">BT110*CA110+BU110*CB110+BV110*CC110</f>
        <v>12398.4</v>
      </c>
      <c r="CE110" s="88" t="n">
        <f aca="false">CD110-BM110</f>
        <v>-13914.5937766175</v>
      </c>
      <c r="CF110" s="87" t="n">
        <f aca="false">IF(CD110&gt;0,CE110/CD110,0)</f>
        <v>-1.12228947094928</v>
      </c>
      <c r="CG110" s="87" t="n">
        <f aca="false">W110+INDEX(in_sel_processing,1,C110)+INDEX(in_sel_bad_debt,1,C110)</f>
        <v>0.095</v>
      </c>
      <c r="CH110" s="88" t="n">
        <f aca="false">CD110*CG110</f>
        <v>1177.848</v>
      </c>
      <c r="CI110" s="88" t="n">
        <f aca="false">INDEX(in_sel_testing,1,C110)*X110+INDEX(in_sel_admin,1,C110)</f>
        <v>4750</v>
      </c>
      <c r="CJ110" s="79" t="n">
        <f aca="false">INDEX(in_sup_lead_days,1,C110)</f>
        <v>35</v>
      </c>
      <c r="CK110" s="79" t="n">
        <f aca="false">CJ110+INDEX(in_oce_transit,1,C110)+IF(F110=4,INDEX(in_oce_lcl_extra_days,1,C110),0)</f>
        <v>73</v>
      </c>
      <c r="CL110" s="79" t="n">
        <f aca="false">CK110+2+INDEX(in_cus_dem_days,1,C110)</f>
        <v>78</v>
      </c>
      <c r="CM110" s="79" t="n">
        <f aca="false">CL110+U110</f>
        <v>138</v>
      </c>
      <c r="CN110" s="79" t="n">
        <f aca="false">CJ110+INDEX(in_sup_vat_lag,1,C110)</f>
        <v>215</v>
      </c>
      <c r="CO110" s="91" t="n">
        <f aca="false">INDEX(in_sup_advance,1,C110)</f>
        <v>0.5</v>
      </c>
      <c r="CP110" s="88" t="n">
        <f aca="false">CO110*(AL110+AM110)+AO110+INDEX(in_sel_testing,1,C110)*X110</f>
        <v>10536.6020926137</v>
      </c>
      <c r="CQ110" s="88" t="n">
        <f aca="false">(1-CO110)*(AL110+AM110)+AR110+AU110+AZ110</f>
        <v>13113.9157774785</v>
      </c>
      <c r="CR110" s="88" t="n">
        <f aca="false">BB110+BC110+BD110+BF110+BJ110</f>
        <v>3732.4759065253</v>
      </c>
      <c r="CS110" s="88" t="n">
        <f aca="false">BK110+BL110</f>
        <v>2930</v>
      </c>
      <c r="CT110" s="88" t="n">
        <f aca="false">IF(K110=2,AM110,0)</f>
        <v>0</v>
      </c>
      <c r="CU110" s="85" t="n">
        <f aca="false">IF(K110=2,CO110*AM110*(CN110-0)+(1-CO110)*AM110*(CN110-CJ110),0)</f>
        <v>0</v>
      </c>
      <c r="CV110" s="85" t="n">
        <f aca="false">(CP110-CO110*CT110)*(CM110-0)+(CQ110-(1-CO110)*CT110)*(CM110-CJ110)+CR110*(CM110-CK110)+CS110*(CM110-CL110)</f>
        <v>3223195.34778512</v>
      </c>
      <c r="CW110" s="88" t="n">
        <f aca="false">INDEX(in_sel_fin_rate,1,C110)/365*(CU110+CV110)</f>
        <v>1236.29410599977</v>
      </c>
      <c r="CX110" s="85" t="n">
        <f aca="false">CP110-IF(CN110&lt;=0,CT110,0)</f>
        <v>10536.6020926137</v>
      </c>
      <c r="CY110" s="85" t="n">
        <f aca="false">CP110+CQ110-IF(CN110&lt;=CJ110,CT110,0)</f>
        <v>23650.5178700922</v>
      </c>
      <c r="CZ110" s="85" t="n">
        <f aca="false">CP110+CQ110+CR110-IF(CN110&lt;=CK110,CT110,0)</f>
        <v>27382.9937766175</v>
      </c>
      <c r="DA110" s="85" t="n">
        <f aca="false">CP110+CQ110+CR110+CS110-IF(CN110&lt;=CL110,CT110,0)</f>
        <v>30312.9937766175</v>
      </c>
      <c r="DB110" s="88" t="n">
        <f aca="false">MAX(CX110,CY110,CZ110,DA110)</f>
        <v>30312.9937766175</v>
      </c>
      <c r="DC110" s="88" t="n">
        <f aca="false">CP110+CQ110+CR110+CS110</f>
        <v>30312.9937766175</v>
      </c>
      <c r="DD110" s="88" t="n">
        <f aca="false">CE110-CH110-CI110-CW110</f>
        <v>-21078.7358826173</v>
      </c>
      <c r="DE110" s="87" t="n">
        <f aca="false">IF(CD110&gt;0,DD110/CD110,0)</f>
        <v>-1.70011742504011</v>
      </c>
      <c r="DF110" s="86" t="n">
        <f aca="false">IF(CD110&gt;0,(BM110+CI110+CW110)/(CD110*(1-CG110)),0)</f>
        <v>2.87858279009957</v>
      </c>
      <c r="DG110" s="90" t="n">
        <f aca="false">IF(BW110&gt;0,BM110/BW110,0)</f>
        <v>0.456822808621832</v>
      </c>
      <c r="DH110" s="90" t="n">
        <f aca="false">IF(BW110&gt;0,CD110/BW110,0)</f>
        <v>0.21525</v>
      </c>
      <c r="DI110" s="90" t="n">
        <f aca="false">IF(AI110&gt;0,(AI110*IF(K110=3,INDEX(in_sup_vat_rate,1,C110),0)+AV110*BA110+(BC110+BD110)*AV110/AY110+AZ110*AI110/AL110)/AI110,0)</f>
        <v>0.303218326895857</v>
      </c>
      <c r="DJ110" s="90" t="n">
        <f aca="false">IF(AJ110&gt;0,(AJ110*IF(K110=3,INDEX(in_sup_vat_rate,1,C110),0)+AW110*BA110+(BC110+BD110)*AW110/AY110+AZ110*AJ110/AL110)/AJ110,0)</f>
        <v>0.30356406149334</v>
      </c>
      <c r="DK110" s="90" t="n">
        <f aca="false">IF(AK110&gt;0,(AK110*IF(K110=3,INDEX(in_sup_vat_rate,1,C110),0)+AX110*BA110+(BC110+BD110)*AX110/AY110+AZ110*AK110/AL110)/AK110,0)</f>
        <v>0.304465439055422</v>
      </c>
      <c r="DL110" s="90" t="n">
        <f aca="false">IF(Y110&gt;0,(BP110-AI110*(1+DI110))/Y110,0)</f>
        <v>0.207861933140179</v>
      </c>
      <c r="DM110" s="90" t="n">
        <f aca="false">IF(Z110&gt;0,(BQ110-AJ110*(1+DJ110))/Z110,0)</f>
        <v>0.245313825810928</v>
      </c>
      <c r="DN110" s="90" t="n">
        <f aca="false">IF(AA110&gt;0,(BR110-AK110*(1+DK110))/AA110,0)</f>
        <v>0.174181630869304</v>
      </c>
      <c r="DO110" s="86" t="n">
        <f aca="false">IF(Y110&gt;0,(CA110*(1-thr_gm_go)*(1-R110)-DL110)/(1+DI110)*I110/((1+AH110)*J110),"")</f>
        <v>-2.16224957653585</v>
      </c>
      <c r="DP110" s="86" t="n">
        <f aca="false">IF(Z110&gt;0,(CB110*(1-thr_gm_go)*(1-R110)-DM110)/(1+DJ110)*I110/((1+AH110)*J110),"")</f>
        <v>-2.53165735804887</v>
      </c>
      <c r="DQ110" s="86" t="n">
        <f aca="false">IF(AA110&gt;0,(CC110*(1-thr_gm_go)*(1-R110)-DN110)/(1+DK110)*I110/((1+AH110)*J110),"")</f>
        <v>-0.773014949403453</v>
      </c>
      <c r="DR110" s="92" t="n">
        <f aca="false">IF(AND(AY110*INDEX(in_cus_mpf_rate,1,C110)&gt;INDEX(in_cus_mpf_min,1,C110),AY110*INDEX(in_cus_mpf_rate,1,C110)&lt;INDEX(in_cus_mpf_max,1,C110)),INDEX(in_cus_mpf_rate,1,C110),0)</f>
        <v>0.003464</v>
      </c>
      <c r="DS110" s="88" t="n">
        <f aca="false">IF(AZ110&gt;INDEX(in_oce_ins_min,1,C110),INDEX(in_oce_ins_rate,1,C110)*(1+INDEX(in_oce_ins_uplift,1,C110))*AL110,0)</f>
        <v>0</v>
      </c>
      <c r="DT110" s="88" t="n">
        <f aca="false">(AL110+AN110)*(1+BA110+INDEX(in_cus_hmf,1,C110)+DR110)+DS110</f>
        <v>13598.657541382</v>
      </c>
      <c r="DU110" s="86" t="n">
        <f aca="false">IF(DT110&gt;0,(CD110*(1-thr_gm_go)-(BM110-DT110))/DT110,0)</f>
        <v>-0.251167162996918</v>
      </c>
      <c r="DV110" s="86" t="n">
        <f aca="false">IF(DT110&gt;0,(CD110-(BM110-DT110))/DT110,0)</f>
        <v>-0.0232328988559439</v>
      </c>
      <c r="DW110" s="87" t="n">
        <f aca="false">(1+AH110)*J110*DU110-1</f>
        <v>-1.27628387929661</v>
      </c>
      <c r="DX110" s="87" t="n">
        <f aca="false">(1+AH110)*J110*DV110-1</f>
        <v>-1.02555618874154</v>
      </c>
      <c r="DY110" s="85" t="n">
        <f aca="false">IF(G110&gt;0,(CD110*(1-thr_gm_go)-(BM110-AT110))/G110,"")</f>
        <v>-12114.1937766175</v>
      </c>
      <c r="DZ110" s="90" t="n">
        <f aca="false">IF(AB110&gt;0,(AL110+AN110+BB110+BC110+BD110)/AB110,0)</f>
        <v>0.227764099670154</v>
      </c>
      <c r="EA110" s="88" t="n">
        <f aca="false">BM110-DZ110*AB110</f>
        <v>12647.1477964082</v>
      </c>
      <c r="EB110" s="90" t="n">
        <f aca="false">IF(AB110&gt;0,CD110/AB110,0)</f>
        <v>0.20664</v>
      </c>
      <c r="EC110" s="85" t="str">
        <f aca="false">IF(EB110*(1-thr_gm_go)-DZ110&gt;0,EA110/(EB110*(1-thr_gm_go)-DZ110),"n/a")</f>
        <v>n/a</v>
      </c>
      <c r="ED110" s="85" t="str">
        <f aca="false">IF(EB110-DZ110&gt;0,EA110/(EB110-DZ110),"n/a")</f>
        <v>n/a</v>
      </c>
      <c r="EE110" s="93" t="b">
        <f aca="false">INDEX(cfg_fits,D110,C110)</f>
        <v>0</v>
      </c>
      <c r="EF110" s="87" t="n">
        <f aca="false">IF(F110=4,"",INDEX(cfg_lenutil,D110,C110))</f>
        <v>1.03302598491199</v>
      </c>
      <c r="EG110" s="31" t="str">
        <f aca="false">IF(O110&gt;1,"Check fit (units scaled up)","")</f>
        <v/>
      </c>
    </row>
    <row r="111" customFormat="false" ht="15" hidden="false" customHeight="false" outlineLevel="0" collapsed="false">
      <c r="A111" s="78" t="n">
        <v>3022</v>
      </c>
      <c r="B111" s="9" t="s">
        <v>3259</v>
      </c>
      <c r="C111" s="78" t="n">
        <v>3</v>
      </c>
      <c r="D111" s="78" t="n">
        <v>2</v>
      </c>
      <c r="E111" s="78" t="n">
        <v>2</v>
      </c>
      <c r="F111" s="79" t="n">
        <f aca="false">INDEX(cfg_ct,D111)</f>
        <v>2</v>
      </c>
      <c r="G111" s="79" t="n">
        <f aca="false">INDEX(cfg_n,D111)</f>
        <v>1</v>
      </c>
      <c r="H111" s="79" t="n">
        <f aca="false">INDEX(dest_port,E111)</f>
        <v>1</v>
      </c>
      <c r="I111" s="80" t="n">
        <f aca="false">INDEX(in_fx_cbe,1,C111)*(1-INDEX(in_fx_spread,1,C111))</f>
        <v>48.265</v>
      </c>
      <c r="J111" s="81" t="n">
        <f aca="false">1</f>
        <v>1</v>
      </c>
      <c r="K111" s="82" t="n">
        <f aca="false">INDEX(in_sup_vat_mode,1,C111)</f>
        <v>3</v>
      </c>
      <c r="L111" s="83" t="n">
        <f aca="false">INDEX(in_cus_s301,1,C111)</f>
        <v>0.125</v>
      </c>
      <c r="M111" s="84" t="n">
        <f aca="false">1</f>
        <v>1</v>
      </c>
      <c r="N111" s="81" t="n">
        <f aca="false">1</f>
        <v>1</v>
      </c>
      <c r="O111" s="81" t="n">
        <f aca="false">1</f>
        <v>1</v>
      </c>
      <c r="P111" s="81" t="n">
        <f aca="false">1</f>
        <v>1</v>
      </c>
      <c r="Q111" s="81" t="n">
        <f aca="false">1</f>
        <v>1</v>
      </c>
      <c r="R111" s="83" t="n">
        <f aca="false">INDEX(in_sel_damage,1,C111)</f>
        <v>0.04</v>
      </c>
      <c r="S111" s="83" t="n">
        <f aca="false">INDEX(in_mkt_dist_margin,1,C111)</f>
        <v>0.3</v>
      </c>
      <c r="T111" s="83" t="n">
        <f aca="false">INDEX(in_mkt_eflute_disc,1,C111)</f>
        <v>0.25</v>
      </c>
      <c r="U111" s="82" t="n">
        <f aca="false">INDEX(in_sel_credit_days,1,C111)</f>
        <v>60</v>
      </c>
      <c r="V111" s="81" t="n">
        <f aca="false">1</f>
        <v>1</v>
      </c>
      <c r="W111" s="83" t="n">
        <f aca="false">INDEX(in_sel_commission,1,C111)</f>
        <v>0.07</v>
      </c>
      <c r="X111" s="82" t="n">
        <f aca="false">1</f>
        <v>1</v>
      </c>
      <c r="Y111" s="85" t="n">
        <f aca="false">INDEX(cfg_u_3464,D111,C111)*O111</f>
        <v>20000</v>
      </c>
      <c r="Z111" s="85" t="n">
        <f aca="false">INDEX(cfg_u_3463,D111,C111)*O111</f>
        <v>20000</v>
      </c>
      <c r="AA111" s="85" t="n">
        <f aca="false">INDEX(cfg_u_3460,D111,C111)*O111</f>
        <v>20000</v>
      </c>
      <c r="AB111" s="85" t="n">
        <f aca="false">Y111+Z111+AA111</f>
        <v>60000</v>
      </c>
      <c r="AC111" s="86" t="n">
        <f aca="false">Y111*INDEX(lg_vpu_3464,C111)</f>
        <v>16.00632</v>
      </c>
      <c r="AD111" s="86" t="n">
        <f aca="false">Z111*INDEX(lg_vpu_3463,C111)</f>
        <v>19.58112</v>
      </c>
      <c r="AE111" s="86" t="n">
        <f aca="false">AA111*INDEX(lg_vpu_3460,C111)</f>
        <v>12.79152</v>
      </c>
      <c r="AF111" s="86" t="n">
        <f aca="false">AC111+AD111+AE111</f>
        <v>48.37896</v>
      </c>
      <c r="AG111" s="85" t="n">
        <f aca="false">Y111*INDEX(lg_kpu_3464,C111)+Z111*INDEX(lg_kpu_3463,C111)+AA111*INDEX(lg_kpu_3460,C111)</f>
        <v>11802.43968</v>
      </c>
      <c r="AH111" s="87" t="n">
        <f aca="false">INDEX(in_sup_requote,1,C111)</f>
        <v>0.1</v>
      </c>
      <c r="AI111" s="88" t="n">
        <f aca="false">Y111*q_price_3464*(1+AH111)*J111/I111</f>
        <v>3812.90790427846</v>
      </c>
      <c r="AJ111" s="88" t="n">
        <f aca="false">Z111*q_price_3463*(1+AH111)*J111/I111</f>
        <v>3600.95307158396</v>
      </c>
      <c r="AK111" s="88" t="n">
        <f aca="false">AA111*q_price_3460*(1+AH111)*J111/I111</f>
        <v>3145.13622707966</v>
      </c>
      <c r="AL111" s="88" t="n">
        <f aca="false">AI111+AJ111+AK111</f>
        <v>10558.9972029421</v>
      </c>
      <c r="AM111" s="88" t="n">
        <f aca="false">IF(OR(K111=2,K111=3),AL111*INDEX(in_sup_vat_rate,1,C111),0)</f>
        <v>1478.25960841189</v>
      </c>
      <c r="AN111" s="88" t="n">
        <f aca="false">IF(K111=3,AM111,0)</f>
        <v>1478.25960841189</v>
      </c>
      <c r="AO111" s="88" t="n">
        <f aca="false">INDEX(in_sup_tooling_egp,1,C111)/I111</f>
        <v>517.973686936704</v>
      </c>
      <c r="AP111" s="88" t="n">
        <f aca="false">IF(F111=4,INDEX(in_ori_lcl_truck,1,C111)*V111/I111+INDEX(in_ori_lcl_cfs_o,1,C111),G111*(IF(F111=1,INDEX(in_ori_truck_20,1,C111),INDEX(in_ori_truck_40,1,C111))*V111/I111+INDEX(in_ori_terminal,1,C111)+IF(F111=1,INDEX(in_ori_othc_20,1,C111),INDEX(in_ori_othc_40,1,C111))*(1-INDEX(in_ori_othc_in_freight,1,C111))+INDEX(in_ori_seal,1,C111)+INDEX(in_ori_inspection,1,C111)+INDEX(in_ori_dd_days,1,C111)*IF(F111=1,INDEX(in_ori_dd_20,1,C111),INDEX(in_ori_dd_40,1,C111))+INDEX(in_ori_loading_egp,1,C111)/I111))</f>
        <v>882.378949549363</v>
      </c>
      <c r="AQ111" s="88" t="n">
        <f aca="false">(INDEX(in_ori_clearance,1,C111)+INDEX(in_ori_coo,1,C111))/I111+INDEX(in_ori_bl_fee,1,C111)+INDEX(in_ori_fwd_fee,1,C111)+INDEX(in_ori_qc,1,C111)+INDEX(in_ori_wires,1,C111)*INDEX(in_ori_wire_fee,1,C111)</f>
        <v>1167.90842225215</v>
      </c>
      <c r="AR111" s="88" t="n">
        <f aca="false">AP111+AQ111</f>
        <v>2050.28737180151</v>
      </c>
      <c r="AS111" s="85" t="n">
        <f aca="false">INDEX(tbl_port_diff,H111,C111)</f>
        <v>0</v>
      </c>
      <c r="AT111" s="88" t="n">
        <f aca="false">IF(F111=4,MAX(AF111*INDEX(in_oce_lcl_factor,1,C111),AG111/1000,1)*INDEX(in_oce_lcl_rate,1,C111)*M111,G111*(INDEX(tbl_ocean_rate,MIN(F111,3),C111)+AS111)*M111)</f>
        <v>4900</v>
      </c>
      <c r="AU111" s="88" t="n">
        <f aca="false">AT111+INDEX(in_oce_ams,1,C111)</f>
        <v>4945</v>
      </c>
      <c r="AV111" s="88" t="n">
        <f aca="false">AI111*(1+IF(K111=3,INDEX(in_sup_vat_rate,1,C111),0))+AO111*Y111/AB111</f>
        <v>4519.37290652302</v>
      </c>
      <c r="AW111" s="88" t="n">
        <f aca="false">AJ111*(1+IF(K111=3,INDEX(in_sup_vat_rate,1,C111),0))+AO111*Z111/AB111</f>
        <v>4277.74439725129</v>
      </c>
      <c r="AX111" s="88" t="n">
        <f aca="false">AK111*(1+IF(K111=3,INDEX(in_sup_vat_rate,1,C111),0))+AO111*AA111/AB111</f>
        <v>3758.11319451639</v>
      </c>
      <c r="AY111" s="88" t="n">
        <f aca="false">AV111+AW111+AX111</f>
        <v>12555.2304982907</v>
      </c>
      <c r="AZ111" s="88" t="n">
        <f aca="false">MAX(INDEX(in_oce_ins_min,1,C111),INDEX(in_oce_ins_rate,1,C111)*(1+INDEX(in_oce_ins_uplift,1,C111))*(AL111+AO111+AR111+AU111))*(1-INDEX(in_oce_ins_in_other,1,C111))</f>
        <v>100</v>
      </c>
      <c r="BA111" s="87" t="n">
        <f aca="false">INDEX(in_cus_mfn,1,C111)+L111</f>
        <v>0.125</v>
      </c>
      <c r="BB111" s="88" t="n">
        <f aca="false">AY111*BA111</f>
        <v>1569.40381228634</v>
      </c>
      <c r="BC111" s="88" t="n">
        <f aca="false">MIN(MAX(AY111*INDEX(in_cus_mpf_rate,1,C111),INDEX(in_cus_mpf_min,1,C111)),INDEX(in_cus_mpf_max,1,C111))</f>
        <v>43.4913184460789</v>
      </c>
      <c r="BD111" s="88" t="n">
        <f aca="false">AY111*INDEX(in_cus_hmf,1,C111)</f>
        <v>15.6940381228634</v>
      </c>
      <c r="BE111" s="88" t="n">
        <f aca="false">MAX(INDEX(in_cus_stb_min,1,C111),INDEX(in_cus_stb_rate,1,C111)/1000*(AY111+BB111+BC111+BD111))</f>
        <v>99.2867376700218</v>
      </c>
      <c r="BF111" s="88" t="n">
        <f aca="false">INDEX(in_cus_broker,1,C111)+INDEX(in_cus_isf,1,C111)+INDEX(in_cus_do_fee,1,C111)+BE111+INDEX(in_cus_isf_bond,1,C111)</f>
        <v>724.286737670022</v>
      </c>
      <c r="BG111" s="88" t="n">
        <f aca="false">IF(H111=1,INDEX(in_cus_cfc,1,C111)*INDEX(ct_teu,F111)*G111*(1-INDEX(in_cus_cfc_in_freight,1,C111)),0)</f>
        <v>29.6</v>
      </c>
      <c r="BH111" s="88" t="n">
        <f aca="false">IF(F111=4,1,G111)*(INDEX(in_cus_exam,1,C111)+INDEX(in_cus_exam_dray,1,C111))</f>
        <v>600</v>
      </c>
      <c r="BI111" s="88" t="n">
        <f aca="false">IF(F111=4,1,G111)*INDEX(in_cus_dem_days,1,C111)*INDEX(in_cus_dem_rate,1,C111)</f>
        <v>750</v>
      </c>
      <c r="BJ111" s="88" t="n">
        <f aca="false">BG111+BH111+BI111</f>
        <v>1379.6</v>
      </c>
      <c r="BK111" s="88" t="n">
        <f aca="false">IF(F111=4,(INDEX(in_dra_lcl_cfs_d,1,C111)+INDEX(in_dra_lcl_deliv,1,C111))*P111,G111*(INDEX(tbl_dest_line,E111,C111)*P111*(1+INDEX(in_dra_fsc,1,C111))+INDEX(tbl_dest_tolls,E111,C111)+INDEX(in_dra_chassis_days,1,C111)*INDEX(tbl_dest_chassis,E111,C111)*(1-INDEX(in_dra_chassis_in_dray,1,C111))+INDEX(in_dra_wait_hours,1,C111)*INDEX(in_dra_wait_rate,1,C111)+INDEX(in_dra_split,1,C111)+INDEX(in_dra_prepull,1,C111)+INDEX(in_dra_dryrun,1,C111)))</f>
        <v>2660</v>
      </c>
      <c r="BL111" s="88" t="n">
        <f aca="false">IF(F111=4,0,G111*IF(F111=1,INDEX(in_dra_unload_20,1,C111),INDEX(in_dra_unload_40,1,C111))*Q111*(1-INDEX(in_dra_unload_in_dray,1,C111)))</f>
        <v>650</v>
      </c>
      <c r="BM111" s="88" t="n">
        <f aca="false">AL111+AN111+AO111+AR111+AU111+AZ111+BB111+BC111+BD111+BF111+BJ111+BK111+BL111</f>
        <v>26692.9937766175</v>
      </c>
      <c r="BN111" s="88" t="n">
        <f aca="false">AP111+AU111+BJ111+BK111+BL111</f>
        <v>10516.9789495494</v>
      </c>
      <c r="BO111" s="88" t="n">
        <f aca="false">AQ111+BF111</f>
        <v>1892.19515992217</v>
      </c>
      <c r="BP111" s="88" t="n">
        <f aca="false">AI111*(1+IF(K111=3,INDEX(in_sup_vat_rate,1,C111),0))+AO111*Y111/AB111+AV111*BA111+(BC111+BD111)*AV111/AY111+AZ111*AI111/AL111+BN111*AC111/AF111+BO111*Y111/AB111</f>
        <v>9252.01423059138</v>
      </c>
      <c r="BQ111" s="88" t="n">
        <f aca="false">AJ111*(1+IF(K111=3,INDEX(in_sup_vat_rate,1,C111),0))+AO111*Z111/AB111+AW111*BA111+(BC111+BD111)*AW111/AY111+AZ111*AJ111/AL111+BN111*AD111/AF111+BO111*Z111/AB111</f>
        <v>9754.15245335949</v>
      </c>
      <c r="BR111" s="88" t="n">
        <f aca="false">AK111*(1+IF(K111=3,INDEX(in_sup_vat_rate,1,C111),0))+AO111*AA111/AB111+AX111*BA111+(BC111+BD111)*AX111/AY111+AZ111*AK111/AL111+BN111*AE111/AF111+BO111*AA111/AB111</f>
        <v>7686.82709266663</v>
      </c>
      <c r="BS111" s="89" t="n">
        <f aca="false">BP111+BQ111+BR111-BM111</f>
        <v>0</v>
      </c>
      <c r="BT111" s="85" t="n">
        <f aca="false">Y111*(1-R111)</f>
        <v>19200</v>
      </c>
      <c r="BU111" s="85" t="n">
        <f aca="false">Z111*(1-R111)</f>
        <v>19200</v>
      </c>
      <c r="BV111" s="85" t="n">
        <f aca="false">AA111*(1-R111)</f>
        <v>19200</v>
      </c>
      <c r="BW111" s="85" t="n">
        <f aca="false">BT111+BU111+BV111</f>
        <v>57600</v>
      </c>
      <c r="BX111" s="90" t="n">
        <f aca="false">IF(BT111&gt;0,BP111/BT111,0)</f>
        <v>0.481875741176635</v>
      </c>
      <c r="BY111" s="90" t="n">
        <f aca="false">IF(BU111&gt;0,BQ111/BU111,0)</f>
        <v>0.508028773612473</v>
      </c>
      <c r="BZ111" s="90" t="n">
        <f aca="false">IF(BV111&gt;0,BR111/BV111,0)</f>
        <v>0.400355577743053</v>
      </c>
      <c r="CA111" s="90" t="n">
        <f aca="false">INDEX(in_mkt_listing_3464,1,C111)*(1-IF(sku_flute_3464="B",T111,0))*(1-S111)*N111</f>
        <v>0.1995</v>
      </c>
      <c r="CB111" s="90" t="n">
        <f aca="false">INDEX(in_mkt_listing_3463,1,C111)*(1-IF(sku_flute_3463="B",T111,0))*(1-S111)*N111</f>
        <v>0.23625</v>
      </c>
      <c r="CC111" s="90" t="n">
        <f aca="false">INDEX(in_mkt_listing_3460,1,C111)*(1-IF(sku_flute_3460="B",T111,0))*(1-S111)*N111</f>
        <v>0.21</v>
      </c>
      <c r="CD111" s="88" t="n">
        <f aca="false">BT111*CA111+BU111*CB111+BV111*CC111</f>
        <v>12398.4</v>
      </c>
      <c r="CE111" s="88" t="n">
        <f aca="false">CD111-BM111</f>
        <v>-14294.5937766175</v>
      </c>
      <c r="CF111" s="87" t="n">
        <f aca="false">IF(CD111&gt;0,CE111/CD111,0)</f>
        <v>-1.15293858696425</v>
      </c>
      <c r="CG111" s="87" t="n">
        <f aca="false">W111+INDEX(in_sel_processing,1,C111)+INDEX(in_sel_bad_debt,1,C111)</f>
        <v>0.095</v>
      </c>
      <c r="CH111" s="88" t="n">
        <f aca="false">CD111*CG111</f>
        <v>1177.848</v>
      </c>
      <c r="CI111" s="88" t="n">
        <f aca="false">INDEX(in_sel_testing,1,C111)*X111+INDEX(in_sel_admin,1,C111)</f>
        <v>4750</v>
      </c>
      <c r="CJ111" s="79" t="n">
        <f aca="false">INDEX(in_sup_lead_days,1,C111)</f>
        <v>35</v>
      </c>
      <c r="CK111" s="79" t="n">
        <f aca="false">CJ111+INDEX(in_oce_transit,1,C111)+IF(F111=4,INDEX(in_oce_lcl_extra_days,1,C111),0)</f>
        <v>73</v>
      </c>
      <c r="CL111" s="79" t="n">
        <f aca="false">CK111+2+INDEX(in_cus_dem_days,1,C111)</f>
        <v>78</v>
      </c>
      <c r="CM111" s="79" t="n">
        <f aca="false">CL111+U111</f>
        <v>138</v>
      </c>
      <c r="CN111" s="79" t="n">
        <f aca="false">CJ111+INDEX(in_sup_vat_lag,1,C111)</f>
        <v>215</v>
      </c>
      <c r="CO111" s="91" t="n">
        <f aca="false">INDEX(in_sup_advance,1,C111)</f>
        <v>0.5</v>
      </c>
      <c r="CP111" s="88" t="n">
        <f aca="false">CO111*(AL111+AM111)+AO111+INDEX(in_sel_testing,1,C111)*X111</f>
        <v>10536.6020926137</v>
      </c>
      <c r="CQ111" s="88" t="n">
        <f aca="false">(1-CO111)*(AL111+AM111)+AR111+AU111+AZ111</f>
        <v>13113.9157774785</v>
      </c>
      <c r="CR111" s="88" t="n">
        <f aca="false">BB111+BC111+BD111+BF111+BJ111</f>
        <v>3732.4759065253</v>
      </c>
      <c r="CS111" s="88" t="n">
        <f aca="false">BK111+BL111</f>
        <v>3310</v>
      </c>
      <c r="CT111" s="88" t="n">
        <f aca="false">IF(K111=2,AM111,0)</f>
        <v>0</v>
      </c>
      <c r="CU111" s="85" t="n">
        <f aca="false">IF(K111=2,CO111*AM111*(CN111-0)+(1-CO111)*AM111*(CN111-CJ111),0)</f>
        <v>0</v>
      </c>
      <c r="CV111" s="85" t="n">
        <f aca="false">(CP111-CO111*CT111)*(CM111-0)+(CQ111-(1-CO111)*CT111)*(CM111-CJ111)+CR111*(CM111-CK111)+CS111*(CM111-CL111)</f>
        <v>3245995.34778512</v>
      </c>
      <c r="CW111" s="88" t="n">
        <f aca="false">INDEX(in_sel_fin_rate,1,C111)/365*(CU111+CV111)</f>
        <v>1245.03931147922</v>
      </c>
      <c r="CX111" s="85" t="n">
        <f aca="false">CP111-IF(CN111&lt;=0,CT111,0)</f>
        <v>10536.6020926137</v>
      </c>
      <c r="CY111" s="85" t="n">
        <f aca="false">CP111+CQ111-IF(CN111&lt;=CJ111,CT111,0)</f>
        <v>23650.5178700922</v>
      </c>
      <c r="CZ111" s="85" t="n">
        <f aca="false">CP111+CQ111+CR111-IF(CN111&lt;=CK111,CT111,0)</f>
        <v>27382.9937766175</v>
      </c>
      <c r="DA111" s="85" t="n">
        <f aca="false">CP111+CQ111+CR111+CS111-IF(CN111&lt;=CL111,CT111,0)</f>
        <v>30692.9937766175</v>
      </c>
      <c r="DB111" s="88" t="n">
        <f aca="false">MAX(CX111,CY111,CZ111,DA111)</f>
        <v>30692.9937766175</v>
      </c>
      <c r="DC111" s="88" t="n">
        <f aca="false">CP111+CQ111+CR111+CS111</f>
        <v>30692.9937766175</v>
      </c>
      <c r="DD111" s="88" t="n">
        <f aca="false">CE111-CH111-CI111-CW111</f>
        <v>-21467.4810880967</v>
      </c>
      <c r="DE111" s="87" t="n">
        <f aca="false">IF(CD111&gt;0,DD111/CD111,0)</f>
        <v>-1.73147189057433</v>
      </c>
      <c r="DF111" s="86" t="n">
        <f aca="false">IF(CD111&gt;0,(BM111+CI111+CW111)/(CD111*(1-CG111)),0)</f>
        <v>2.91322860836942</v>
      </c>
      <c r="DG111" s="90" t="n">
        <f aca="false">IF(BW111&gt;0,BM111/BW111,0)</f>
        <v>0.463420030844054</v>
      </c>
      <c r="DH111" s="90" t="n">
        <f aca="false">IF(BW111&gt;0,CD111/BW111,0)</f>
        <v>0.21525</v>
      </c>
      <c r="DI111" s="90" t="n">
        <f aca="false">IF(AI111&gt;0,(AI111*IF(K111=3,INDEX(in_sup_vat_rate,1,C111),0)+AV111*BA111+(BC111+BD111)*AV111/AY111+AZ111*AI111/AL111)/AI111,0)</f>
        <v>0.303218326895857</v>
      </c>
      <c r="DJ111" s="90" t="n">
        <f aca="false">IF(AJ111&gt;0,(AJ111*IF(K111=3,INDEX(in_sup_vat_rate,1,C111),0)+AW111*BA111+(BC111+BD111)*AW111/AY111+AZ111*AJ111/AL111)/AJ111,0)</f>
        <v>0.30356406149334</v>
      </c>
      <c r="DK111" s="90" t="n">
        <f aca="false">IF(AK111&gt;0,(AK111*IF(K111=3,INDEX(in_sup_vat_rate,1,C111),0)+AX111*BA111+(BC111+BD111)*AX111/AY111+AZ111*AK111/AL111)/AK111,0)</f>
        <v>0.304465439055422</v>
      </c>
      <c r="DL111" s="90" t="n">
        <f aca="false">IF(Y111&gt;0,(BP111-AI111*(1+DI111))/Y111,0)</f>
        <v>0.214148138548481</v>
      </c>
      <c r="DM111" s="90" t="n">
        <f aca="false">IF(Z111&gt;0,(BQ111-AJ111*(1+DJ111))/Z111,0)</f>
        <v>0.253003972105929</v>
      </c>
      <c r="DN111" s="90" t="n">
        <f aca="false">IF(AA111&gt;0,(BR111-AK111*(1+DK111))/AA111,0)</f>
        <v>0.179205279166002</v>
      </c>
      <c r="DO111" s="86" t="n">
        <f aca="false">IF(Y111&gt;0,(CA111*(1-thr_gm_go)*(1-R111)-DL111)/(1+DI111)*I111/((1+AH111)*J111),"")</f>
        <v>-2.37389603931748</v>
      </c>
      <c r="DP111" s="86" t="n">
        <f aca="false">IF(Z111&gt;0,(CB111*(1-thr_gm_go)*(1-R111)-DM111)/(1+DJ111)*I111/((1+AH111)*J111),"")</f>
        <v>-2.79050359067041</v>
      </c>
      <c r="DQ111" s="86" t="n">
        <f aca="false">IF(AA111&gt;0,(CC111*(1-thr_gm_go)*(1-R111)-DN111)/(1+DK111)*I111/((1+AH111)*J111),"")</f>
        <v>-0.941991435710142</v>
      </c>
      <c r="DR111" s="92" t="n">
        <f aca="false">IF(AND(AY111*INDEX(in_cus_mpf_rate,1,C111)&gt;INDEX(in_cus_mpf_min,1,C111),AY111*INDEX(in_cus_mpf_rate,1,C111)&lt;INDEX(in_cus_mpf_max,1,C111)),INDEX(in_cus_mpf_rate,1,C111),0)</f>
        <v>0.003464</v>
      </c>
      <c r="DS111" s="88" t="n">
        <f aca="false">IF(AZ111&gt;INDEX(in_oce_ins_min,1,C111),INDEX(in_oce_ins_rate,1,C111)*(1+INDEX(in_oce_ins_uplift,1,C111))*AL111,0)</f>
        <v>0</v>
      </c>
      <c r="DT111" s="88" t="n">
        <f aca="false">(AL111+AN111)*(1+BA111+INDEX(in_cus_hmf,1,C111)+DR111)+DS111</f>
        <v>13598.657541382</v>
      </c>
      <c r="DU111" s="86" t="n">
        <f aca="false">IF(DT111&gt;0,(CD111*(1-thr_gm_go)-(BM111-DT111))/DT111,0)</f>
        <v>-0.279111097818692</v>
      </c>
      <c r="DV111" s="86" t="n">
        <f aca="false">IF(DT111&gt;0,(CD111-(BM111-DT111))/DT111,0)</f>
        <v>-0.0511768336777177</v>
      </c>
      <c r="DW111" s="87" t="n">
        <f aca="false">(1+AH111)*J111*DU111-1</f>
        <v>-1.30702220760056</v>
      </c>
      <c r="DX111" s="87" t="n">
        <f aca="false">(1+AH111)*J111*DV111-1</f>
        <v>-1.05629451704549</v>
      </c>
      <c r="DY111" s="85" t="n">
        <f aca="false">IF(G111&gt;0,(CD111*(1-thr_gm_go)-(BM111-AT111))/G111,"")</f>
        <v>-12494.1937766175</v>
      </c>
      <c r="DZ111" s="90" t="n">
        <f aca="false">IF(AB111&gt;0,(AL111+AN111+BB111+BC111+BD111)/AB111,0)</f>
        <v>0.227764099670154</v>
      </c>
      <c r="EA111" s="88" t="n">
        <f aca="false">BM111-DZ111*AB111</f>
        <v>13027.1477964082</v>
      </c>
      <c r="EB111" s="90" t="n">
        <f aca="false">IF(AB111&gt;0,CD111/AB111,0)</f>
        <v>0.20664</v>
      </c>
      <c r="EC111" s="85" t="str">
        <f aca="false">IF(EB111*(1-thr_gm_go)-DZ111&gt;0,EA111/(EB111*(1-thr_gm_go)-DZ111),"n/a")</f>
        <v>n/a</v>
      </c>
      <c r="ED111" s="85" t="str">
        <f aca="false">IF(EB111-DZ111&gt;0,EA111/(EB111-DZ111),"n/a")</f>
        <v>n/a</v>
      </c>
      <c r="EE111" s="93" t="b">
        <f aca="false">INDEX(cfg_fits,D111,C111)</f>
        <v>0</v>
      </c>
      <c r="EF111" s="87" t="n">
        <f aca="false">IF(F111=4,"",INDEX(cfg_lenutil,D111,C111))</f>
        <v>1.03302598491199</v>
      </c>
      <c r="EG111" s="31" t="str">
        <f aca="false">IF(O111&gt;1,"Check fit (units scaled up)","")</f>
        <v/>
      </c>
    </row>
    <row r="112" customFormat="false" ht="15" hidden="false" customHeight="false" outlineLevel="0" collapsed="false">
      <c r="A112" s="78" t="n">
        <v>3023</v>
      </c>
      <c r="B112" s="9" t="s">
        <v>3260</v>
      </c>
      <c r="C112" s="78" t="n">
        <v>3</v>
      </c>
      <c r="D112" s="78" t="n">
        <v>2</v>
      </c>
      <c r="E112" s="78" t="n">
        <v>3</v>
      </c>
      <c r="F112" s="79" t="n">
        <f aca="false">INDEX(cfg_ct,D112)</f>
        <v>2</v>
      </c>
      <c r="G112" s="79" t="n">
        <f aca="false">INDEX(cfg_n,D112)</f>
        <v>1</v>
      </c>
      <c r="H112" s="79" t="n">
        <f aca="false">INDEX(dest_port,E112)</f>
        <v>2</v>
      </c>
      <c r="I112" s="80" t="n">
        <f aca="false">INDEX(in_fx_cbe,1,C112)*(1-INDEX(in_fx_spread,1,C112))</f>
        <v>48.265</v>
      </c>
      <c r="J112" s="81" t="n">
        <f aca="false">1</f>
        <v>1</v>
      </c>
      <c r="K112" s="82" t="n">
        <f aca="false">INDEX(in_sup_vat_mode,1,C112)</f>
        <v>3</v>
      </c>
      <c r="L112" s="83" t="n">
        <f aca="false">INDEX(in_cus_s301,1,C112)</f>
        <v>0.125</v>
      </c>
      <c r="M112" s="84" t="n">
        <f aca="false">1</f>
        <v>1</v>
      </c>
      <c r="N112" s="81" t="n">
        <f aca="false">1</f>
        <v>1</v>
      </c>
      <c r="O112" s="81" t="n">
        <f aca="false">1</f>
        <v>1</v>
      </c>
      <c r="P112" s="81" t="n">
        <f aca="false">1</f>
        <v>1</v>
      </c>
      <c r="Q112" s="81" t="n">
        <f aca="false">1</f>
        <v>1</v>
      </c>
      <c r="R112" s="83" t="n">
        <f aca="false">INDEX(in_sel_damage,1,C112)</f>
        <v>0.04</v>
      </c>
      <c r="S112" s="83" t="n">
        <f aca="false">INDEX(in_mkt_dist_margin,1,C112)</f>
        <v>0.3</v>
      </c>
      <c r="T112" s="83" t="n">
        <f aca="false">INDEX(in_mkt_eflute_disc,1,C112)</f>
        <v>0.25</v>
      </c>
      <c r="U112" s="82" t="n">
        <f aca="false">INDEX(in_sel_credit_days,1,C112)</f>
        <v>60</v>
      </c>
      <c r="V112" s="81" t="n">
        <f aca="false">1</f>
        <v>1</v>
      </c>
      <c r="W112" s="83" t="n">
        <f aca="false">INDEX(in_sel_commission,1,C112)</f>
        <v>0.07</v>
      </c>
      <c r="X112" s="82" t="n">
        <f aca="false">1</f>
        <v>1</v>
      </c>
      <c r="Y112" s="85" t="n">
        <f aca="false">INDEX(cfg_u_3464,D112,C112)*O112</f>
        <v>20000</v>
      </c>
      <c r="Z112" s="85" t="n">
        <f aca="false">INDEX(cfg_u_3463,D112,C112)*O112</f>
        <v>20000</v>
      </c>
      <c r="AA112" s="85" t="n">
        <f aca="false">INDEX(cfg_u_3460,D112,C112)*O112</f>
        <v>20000</v>
      </c>
      <c r="AB112" s="85" t="n">
        <f aca="false">Y112+Z112+AA112</f>
        <v>60000</v>
      </c>
      <c r="AC112" s="86" t="n">
        <f aca="false">Y112*INDEX(lg_vpu_3464,C112)</f>
        <v>16.00632</v>
      </c>
      <c r="AD112" s="86" t="n">
        <f aca="false">Z112*INDEX(lg_vpu_3463,C112)</f>
        <v>19.58112</v>
      </c>
      <c r="AE112" s="86" t="n">
        <f aca="false">AA112*INDEX(lg_vpu_3460,C112)</f>
        <v>12.79152</v>
      </c>
      <c r="AF112" s="86" t="n">
        <f aca="false">AC112+AD112+AE112</f>
        <v>48.37896</v>
      </c>
      <c r="AG112" s="85" t="n">
        <f aca="false">Y112*INDEX(lg_kpu_3464,C112)+Z112*INDEX(lg_kpu_3463,C112)+AA112*INDEX(lg_kpu_3460,C112)</f>
        <v>11802.43968</v>
      </c>
      <c r="AH112" s="87" t="n">
        <f aca="false">INDEX(in_sup_requote,1,C112)</f>
        <v>0.1</v>
      </c>
      <c r="AI112" s="88" t="n">
        <f aca="false">Y112*q_price_3464*(1+AH112)*J112/I112</f>
        <v>3812.90790427846</v>
      </c>
      <c r="AJ112" s="88" t="n">
        <f aca="false">Z112*q_price_3463*(1+AH112)*J112/I112</f>
        <v>3600.95307158396</v>
      </c>
      <c r="AK112" s="88" t="n">
        <f aca="false">AA112*q_price_3460*(1+AH112)*J112/I112</f>
        <v>3145.13622707966</v>
      </c>
      <c r="AL112" s="88" t="n">
        <f aca="false">AI112+AJ112+AK112</f>
        <v>10558.9972029421</v>
      </c>
      <c r="AM112" s="88" t="n">
        <f aca="false">IF(OR(K112=2,K112=3),AL112*INDEX(in_sup_vat_rate,1,C112),0)</f>
        <v>1478.25960841189</v>
      </c>
      <c r="AN112" s="88" t="n">
        <f aca="false">IF(K112=3,AM112,0)</f>
        <v>1478.25960841189</v>
      </c>
      <c r="AO112" s="88" t="n">
        <f aca="false">INDEX(in_sup_tooling_egp,1,C112)/I112</f>
        <v>517.973686936704</v>
      </c>
      <c r="AP112" s="88" t="n">
        <f aca="false">IF(F112=4,INDEX(in_ori_lcl_truck,1,C112)*V112/I112+INDEX(in_ori_lcl_cfs_o,1,C112),G112*(IF(F112=1,INDEX(in_ori_truck_20,1,C112),INDEX(in_ori_truck_40,1,C112))*V112/I112+INDEX(in_ori_terminal,1,C112)+IF(F112=1,INDEX(in_ori_othc_20,1,C112),INDEX(in_ori_othc_40,1,C112))*(1-INDEX(in_ori_othc_in_freight,1,C112))+INDEX(in_ori_seal,1,C112)+INDEX(in_ori_inspection,1,C112)+INDEX(in_ori_dd_days,1,C112)*IF(F112=1,INDEX(in_ori_dd_20,1,C112),INDEX(in_ori_dd_40,1,C112))+INDEX(in_ori_loading_egp,1,C112)/I112))</f>
        <v>882.378949549363</v>
      </c>
      <c r="AQ112" s="88" t="n">
        <f aca="false">(INDEX(in_ori_clearance,1,C112)+INDEX(in_ori_coo,1,C112))/I112+INDEX(in_ori_bl_fee,1,C112)+INDEX(in_ori_fwd_fee,1,C112)+INDEX(in_ori_qc,1,C112)+INDEX(in_ori_wires,1,C112)*INDEX(in_ori_wire_fee,1,C112)</f>
        <v>1167.90842225215</v>
      </c>
      <c r="AR112" s="88" t="n">
        <f aca="false">AP112+AQ112</f>
        <v>2050.28737180151</v>
      </c>
      <c r="AS112" s="85" t="n">
        <f aca="false">INDEX(tbl_port_diff,H112,C112)</f>
        <v>300</v>
      </c>
      <c r="AT112" s="88" t="n">
        <f aca="false">IF(F112=4,MAX(AF112*INDEX(in_oce_lcl_factor,1,C112),AG112/1000,1)*INDEX(in_oce_lcl_rate,1,C112)*M112,G112*(INDEX(tbl_ocean_rate,MIN(F112,3),C112)+AS112)*M112)</f>
        <v>5200</v>
      </c>
      <c r="AU112" s="88" t="n">
        <f aca="false">AT112+INDEX(in_oce_ams,1,C112)</f>
        <v>5245</v>
      </c>
      <c r="AV112" s="88" t="n">
        <f aca="false">AI112*(1+IF(K112=3,INDEX(in_sup_vat_rate,1,C112),0))+AO112*Y112/AB112</f>
        <v>4519.37290652302</v>
      </c>
      <c r="AW112" s="88" t="n">
        <f aca="false">AJ112*(1+IF(K112=3,INDEX(in_sup_vat_rate,1,C112),0))+AO112*Z112/AB112</f>
        <v>4277.74439725129</v>
      </c>
      <c r="AX112" s="88" t="n">
        <f aca="false">AK112*(1+IF(K112=3,INDEX(in_sup_vat_rate,1,C112),0))+AO112*AA112/AB112</f>
        <v>3758.11319451639</v>
      </c>
      <c r="AY112" s="88" t="n">
        <f aca="false">AV112+AW112+AX112</f>
        <v>12555.2304982907</v>
      </c>
      <c r="AZ112" s="88" t="n">
        <f aca="false">MAX(INDEX(in_oce_ins_min,1,C112),INDEX(in_oce_ins_rate,1,C112)*(1+INDEX(in_oce_ins_uplift,1,C112))*(AL112+AO112+AR112+AU112))*(1-INDEX(in_oce_ins_in_other,1,C112))</f>
        <v>100</v>
      </c>
      <c r="BA112" s="87" t="n">
        <f aca="false">INDEX(in_cus_mfn,1,C112)+L112</f>
        <v>0.125</v>
      </c>
      <c r="BB112" s="88" t="n">
        <f aca="false">AY112*BA112</f>
        <v>1569.40381228634</v>
      </c>
      <c r="BC112" s="88" t="n">
        <f aca="false">MIN(MAX(AY112*INDEX(in_cus_mpf_rate,1,C112),INDEX(in_cus_mpf_min,1,C112)),INDEX(in_cus_mpf_max,1,C112))</f>
        <v>43.4913184460789</v>
      </c>
      <c r="BD112" s="88" t="n">
        <f aca="false">AY112*INDEX(in_cus_hmf,1,C112)</f>
        <v>15.6940381228634</v>
      </c>
      <c r="BE112" s="88" t="n">
        <f aca="false">MAX(INDEX(in_cus_stb_min,1,C112),INDEX(in_cus_stb_rate,1,C112)/1000*(AY112+BB112+BC112+BD112))</f>
        <v>99.2867376700218</v>
      </c>
      <c r="BF112" s="88" t="n">
        <f aca="false">INDEX(in_cus_broker,1,C112)+INDEX(in_cus_isf,1,C112)+INDEX(in_cus_do_fee,1,C112)+BE112+INDEX(in_cus_isf_bond,1,C112)</f>
        <v>724.286737670022</v>
      </c>
      <c r="BG112" s="88" t="n">
        <f aca="false">IF(H112=1,INDEX(in_cus_cfc,1,C112)*INDEX(ct_teu,F112)*G112*(1-INDEX(in_cus_cfc_in_freight,1,C112)),0)</f>
        <v>0</v>
      </c>
      <c r="BH112" s="88" t="n">
        <f aca="false">IF(F112=4,1,G112)*(INDEX(in_cus_exam,1,C112)+INDEX(in_cus_exam_dray,1,C112))</f>
        <v>600</v>
      </c>
      <c r="BI112" s="88" t="n">
        <f aca="false">IF(F112=4,1,G112)*INDEX(in_cus_dem_days,1,C112)*INDEX(in_cus_dem_rate,1,C112)</f>
        <v>750</v>
      </c>
      <c r="BJ112" s="88" t="n">
        <f aca="false">BG112+BH112+BI112</f>
        <v>1350</v>
      </c>
      <c r="BK112" s="88" t="n">
        <f aca="false">IF(F112=4,(INDEX(in_dra_lcl_cfs_d,1,C112)+INDEX(in_dra_lcl_deliv,1,C112))*P112,G112*(INDEX(tbl_dest_line,E112,C112)*P112*(1+INDEX(in_dra_fsc,1,C112))+INDEX(tbl_dest_tolls,E112,C112)+INDEX(in_dra_chassis_days,1,C112)*INDEX(tbl_dest_chassis,E112,C112)*(1-INDEX(in_dra_chassis_in_dray,1,C112))+INDEX(in_dra_wait_hours,1,C112)*INDEX(in_dra_wait_rate,1,C112)+INDEX(in_dra_split,1,C112)+INDEX(in_dra_prepull,1,C112)+INDEX(in_dra_dryrun,1,C112)))</f>
        <v>2100</v>
      </c>
      <c r="BL112" s="88" t="n">
        <f aca="false">IF(F112=4,0,G112*IF(F112=1,INDEX(in_dra_unload_20,1,C112),INDEX(in_dra_unload_40,1,C112))*Q112*(1-INDEX(in_dra_unload_in_dray,1,C112)))</f>
        <v>650</v>
      </c>
      <c r="BM112" s="88" t="n">
        <f aca="false">AL112+AN112+AO112+AR112+AU112+AZ112+BB112+BC112+BD112+BF112+BJ112+BK112+BL112</f>
        <v>26403.3937766175</v>
      </c>
      <c r="BN112" s="88" t="n">
        <f aca="false">AP112+AU112+BJ112+BK112+BL112</f>
        <v>10227.3789495494</v>
      </c>
      <c r="BO112" s="88" t="n">
        <f aca="false">AQ112+BF112</f>
        <v>1892.19515992217</v>
      </c>
      <c r="BP112" s="88" t="n">
        <f aca="false">AI112*(1+IF(K112=3,INDEX(in_sup_vat_rate,1,C112),0))+AO112*Y112/AB112+AV112*BA112+(BC112+BD112)*AV112/AY112+AZ112*AI112/AL112+BN112*AC112/AF112+BO112*Y112/AB112</f>
        <v>9156.19922605222</v>
      </c>
      <c r="BQ112" s="88" t="n">
        <f aca="false">AJ112*(1+IF(K112=3,INDEX(in_sup_vat_rate,1,C112),0))+AO112*Z112/AB112+AW112*BA112+(BC112+BD112)*AW112/AY112+AZ112*AJ112/AL112+BN112*AD112/AF112+BO112*Z112/AB112</f>
        <v>9636.938434042</v>
      </c>
      <c r="BR112" s="88" t="n">
        <f aca="false">AK112*(1+IF(K112=3,INDEX(in_sup_vat_rate,1,C112),0))+AO112*AA112/AB112+AX112*BA112+(BC112+BD112)*AX112/AY112+AZ112*AK112/AL112+BN112*AE112/AF112+BO112*AA112/AB112</f>
        <v>7610.25611652328</v>
      </c>
      <c r="BS112" s="89" t="n">
        <f aca="false">BP112+BQ112+BR112-BM112</f>
        <v>0</v>
      </c>
      <c r="BT112" s="85" t="n">
        <f aca="false">Y112*(1-R112)</f>
        <v>19200</v>
      </c>
      <c r="BU112" s="85" t="n">
        <f aca="false">Z112*(1-R112)</f>
        <v>19200</v>
      </c>
      <c r="BV112" s="85" t="n">
        <f aca="false">AA112*(1-R112)</f>
        <v>19200</v>
      </c>
      <c r="BW112" s="85" t="n">
        <f aca="false">BT112+BU112+BV112</f>
        <v>57600</v>
      </c>
      <c r="BX112" s="90" t="n">
        <f aca="false">IF(BT112&gt;0,BP112/BT112,0)</f>
        <v>0.476885376356887</v>
      </c>
      <c r="BY112" s="90" t="n">
        <f aca="false">IF(BU112&gt;0,BQ112/BU112,0)</f>
        <v>0.501923876773021</v>
      </c>
      <c r="BZ112" s="90" t="n">
        <f aca="false">IF(BV112&gt;0,BR112/BV112,0)</f>
        <v>0.396367506068921</v>
      </c>
      <c r="CA112" s="90" t="n">
        <f aca="false">INDEX(in_mkt_listing_3464,1,C112)*(1-IF(sku_flute_3464="B",T112,0))*(1-S112)*N112</f>
        <v>0.1995</v>
      </c>
      <c r="CB112" s="90" t="n">
        <f aca="false">INDEX(in_mkt_listing_3463,1,C112)*(1-IF(sku_flute_3463="B",T112,0))*(1-S112)*N112</f>
        <v>0.23625</v>
      </c>
      <c r="CC112" s="90" t="n">
        <f aca="false">INDEX(in_mkt_listing_3460,1,C112)*(1-IF(sku_flute_3460="B",T112,0))*(1-S112)*N112</f>
        <v>0.21</v>
      </c>
      <c r="CD112" s="88" t="n">
        <f aca="false">BT112*CA112+BU112*CB112+BV112*CC112</f>
        <v>12398.4</v>
      </c>
      <c r="CE112" s="88" t="n">
        <f aca="false">CD112-BM112</f>
        <v>-14004.9937766175</v>
      </c>
      <c r="CF112" s="87" t="n">
        <f aca="false">IF(CD112&gt;0,CE112/CD112,0)</f>
        <v>-1.1295807343381</v>
      </c>
      <c r="CG112" s="87" t="n">
        <f aca="false">W112+INDEX(in_sel_processing,1,C112)+INDEX(in_sel_bad_debt,1,C112)</f>
        <v>0.095</v>
      </c>
      <c r="CH112" s="88" t="n">
        <f aca="false">CD112*CG112</f>
        <v>1177.848</v>
      </c>
      <c r="CI112" s="88" t="n">
        <f aca="false">INDEX(in_sel_testing,1,C112)*X112+INDEX(in_sel_admin,1,C112)</f>
        <v>4750</v>
      </c>
      <c r="CJ112" s="79" t="n">
        <f aca="false">INDEX(in_sup_lead_days,1,C112)</f>
        <v>35</v>
      </c>
      <c r="CK112" s="79" t="n">
        <f aca="false">CJ112+INDEX(in_oce_transit,1,C112)+IF(F112=4,INDEX(in_oce_lcl_extra_days,1,C112),0)</f>
        <v>73</v>
      </c>
      <c r="CL112" s="79" t="n">
        <f aca="false">CK112+2+INDEX(in_cus_dem_days,1,C112)</f>
        <v>78</v>
      </c>
      <c r="CM112" s="79" t="n">
        <f aca="false">CL112+U112</f>
        <v>138</v>
      </c>
      <c r="CN112" s="79" t="n">
        <f aca="false">CJ112+INDEX(in_sup_vat_lag,1,C112)</f>
        <v>215</v>
      </c>
      <c r="CO112" s="91" t="n">
        <f aca="false">INDEX(in_sup_advance,1,C112)</f>
        <v>0.5</v>
      </c>
      <c r="CP112" s="88" t="n">
        <f aca="false">CO112*(AL112+AM112)+AO112+INDEX(in_sel_testing,1,C112)*X112</f>
        <v>10536.6020926137</v>
      </c>
      <c r="CQ112" s="88" t="n">
        <f aca="false">(1-CO112)*(AL112+AM112)+AR112+AU112+AZ112</f>
        <v>13413.9157774785</v>
      </c>
      <c r="CR112" s="88" t="n">
        <f aca="false">BB112+BC112+BD112+BF112+BJ112</f>
        <v>3702.8759065253</v>
      </c>
      <c r="CS112" s="88" t="n">
        <f aca="false">BK112+BL112</f>
        <v>2750</v>
      </c>
      <c r="CT112" s="88" t="n">
        <f aca="false">IF(K112=2,AM112,0)</f>
        <v>0</v>
      </c>
      <c r="CU112" s="85" t="n">
        <f aca="false">IF(K112=2,CO112*AM112*(CN112-0)+(1-CO112)*AM112*(CN112-CJ112),0)</f>
        <v>0</v>
      </c>
      <c r="CV112" s="85" t="n">
        <f aca="false">(CP112-CO112*CT112)*(CM112-0)+(CQ112-(1-CO112)*CT112)*(CM112-CJ112)+CR112*(CM112-CK112)+CS112*(CM112-CL112)</f>
        <v>3241371.34778512</v>
      </c>
      <c r="CW112" s="88" t="n">
        <f aca="false">INDEX(in_sel_fin_rate,1,C112)/365*(CU112+CV112)</f>
        <v>1243.26572243813</v>
      </c>
      <c r="CX112" s="85" t="n">
        <f aca="false">CP112-IF(CN112&lt;=0,CT112,0)</f>
        <v>10536.6020926137</v>
      </c>
      <c r="CY112" s="85" t="n">
        <f aca="false">CP112+CQ112-IF(CN112&lt;=CJ112,CT112,0)</f>
        <v>23950.5178700922</v>
      </c>
      <c r="CZ112" s="85" t="n">
        <f aca="false">CP112+CQ112+CR112-IF(CN112&lt;=CK112,CT112,0)</f>
        <v>27653.3937766175</v>
      </c>
      <c r="DA112" s="85" t="n">
        <f aca="false">CP112+CQ112+CR112+CS112-IF(CN112&lt;=CL112,CT112,0)</f>
        <v>30403.3937766175</v>
      </c>
      <c r="DB112" s="88" t="n">
        <f aca="false">MAX(CX112,CY112,CZ112,DA112)</f>
        <v>30403.3937766175</v>
      </c>
      <c r="DC112" s="88" t="n">
        <f aca="false">CP112+CQ112+CR112+CS112</f>
        <v>30403.3937766175</v>
      </c>
      <c r="DD112" s="88" t="n">
        <f aca="false">CE112-CH112-CI112-CW112</f>
        <v>-21176.1074990556</v>
      </c>
      <c r="DE112" s="87" t="n">
        <f aca="false">IF(CD112&gt;0,DD112/CD112,0)</f>
        <v>-1.70797098811586</v>
      </c>
      <c r="DF112" s="86" t="n">
        <f aca="false">IF(CD112&gt;0,(BM112+CI112+CW112)/(CD112*(1-CG112)),0)</f>
        <v>2.88726076034901</v>
      </c>
      <c r="DG112" s="90" t="n">
        <f aca="false">IF(BW112&gt;0,BM112/BW112,0)</f>
        <v>0.458392253066276</v>
      </c>
      <c r="DH112" s="90" t="n">
        <f aca="false">IF(BW112&gt;0,CD112/BW112,0)</f>
        <v>0.21525</v>
      </c>
      <c r="DI112" s="90" t="n">
        <f aca="false">IF(AI112&gt;0,(AI112*IF(K112=3,INDEX(in_sup_vat_rate,1,C112),0)+AV112*BA112+(BC112+BD112)*AV112/AY112+AZ112*AI112/AL112)/AI112,0)</f>
        <v>0.303218326895857</v>
      </c>
      <c r="DJ112" s="90" t="n">
        <f aca="false">IF(AJ112&gt;0,(AJ112*IF(K112=3,INDEX(in_sup_vat_rate,1,C112),0)+AW112*BA112+(BC112+BD112)*AW112/AY112+AZ112*AJ112/AL112)/AJ112,0)</f>
        <v>0.30356406149334</v>
      </c>
      <c r="DK112" s="90" t="n">
        <f aca="false">IF(AK112&gt;0,(AK112*IF(K112=3,INDEX(in_sup_vat_rate,1,C112),0)+AX112*BA112+(BC112+BD112)*AX112/AY112+AZ112*AK112/AL112)/AK112,0)</f>
        <v>0.304465439055422</v>
      </c>
      <c r="DL112" s="90" t="n">
        <f aca="false">IF(Y112&gt;0,(BP112-AI112*(1+DI112))/Y112,0)</f>
        <v>0.209357388321523</v>
      </c>
      <c r="DM112" s="90" t="n">
        <f aca="false">IF(Z112&gt;0,(BQ112-AJ112*(1+DJ112))/Z112,0)</f>
        <v>0.247143271140055</v>
      </c>
      <c r="DN112" s="90" t="n">
        <f aca="false">IF(AA112&gt;0,(BR112-AK112*(1+DK112))/AA112,0)</f>
        <v>0.175376730358835</v>
      </c>
      <c r="DO112" s="86" t="n">
        <f aca="false">IF(Y112&gt;0,(CA112*(1-thr_gm_go)*(1-R112)-DL112)/(1+DI112)*I112/((1+AH112)*J112),"")</f>
        <v>-2.21259915610284</v>
      </c>
      <c r="DP112" s="86" t="n">
        <f aca="false">IF(Z112&gt;0,(CB112*(1-thr_gm_go)*(1-R112)-DM112)/(1+DJ112)*I112/((1+AH112)*J112),"")</f>
        <v>-2.59323551444094</v>
      </c>
      <c r="DQ112" s="86" t="n">
        <f aca="false">IF(AA112&gt;0,(CC112*(1-thr_gm_go)*(1-R112)-DN112)/(1+DK112)*I112/((1+AH112)*J112),"")</f>
        <v>-0.813213566145887</v>
      </c>
      <c r="DR112" s="92" t="n">
        <f aca="false">IF(AND(AY112*INDEX(in_cus_mpf_rate,1,C112)&gt;INDEX(in_cus_mpf_min,1,C112),AY112*INDEX(in_cus_mpf_rate,1,C112)&lt;INDEX(in_cus_mpf_max,1,C112)),INDEX(in_cus_mpf_rate,1,C112),0)</f>
        <v>0.003464</v>
      </c>
      <c r="DS112" s="88" t="n">
        <f aca="false">IF(AZ112&gt;INDEX(in_oce_ins_min,1,C112),INDEX(in_oce_ins_rate,1,C112)*(1+INDEX(in_oce_ins_uplift,1,C112))*AL112,0)</f>
        <v>0</v>
      </c>
      <c r="DT112" s="88" t="n">
        <f aca="false">(AL112+AN112)*(1+BA112+INDEX(in_cus_hmf,1,C112)+DR112)+DS112</f>
        <v>13598.657541382</v>
      </c>
      <c r="DU112" s="86" t="n">
        <f aca="false">IF(DT112&gt;0,(CD112*(1-thr_gm_go)-(BM112-DT112))/DT112,0)</f>
        <v>-0.257814878017677</v>
      </c>
      <c r="DV112" s="86" t="n">
        <f aca="false">IF(DT112&gt;0,(CD112-(BM112-DT112))/DT112,0)</f>
        <v>-0.0298806138767028</v>
      </c>
      <c r="DW112" s="87" t="n">
        <f aca="false">(1+AH112)*J112*DU112-1</f>
        <v>-1.28359636581944</v>
      </c>
      <c r="DX112" s="87" t="n">
        <f aca="false">(1+AH112)*J112*DV112-1</f>
        <v>-1.03286867526437</v>
      </c>
      <c r="DY112" s="85" t="n">
        <f aca="false">IF(G112&gt;0,(CD112*(1-thr_gm_go)-(BM112-AT112))/G112,"")</f>
        <v>-11904.5937766175</v>
      </c>
      <c r="DZ112" s="90" t="n">
        <f aca="false">IF(AB112&gt;0,(AL112+AN112+BB112+BC112+BD112)/AB112,0)</f>
        <v>0.227764099670154</v>
      </c>
      <c r="EA112" s="88" t="n">
        <f aca="false">BM112-DZ112*AB112</f>
        <v>12737.5477964082</v>
      </c>
      <c r="EB112" s="90" t="n">
        <f aca="false">IF(AB112&gt;0,CD112/AB112,0)</f>
        <v>0.20664</v>
      </c>
      <c r="EC112" s="85" t="str">
        <f aca="false">IF(EB112*(1-thr_gm_go)-DZ112&gt;0,EA112/(EB112*(1-thr_gm_go)-DZ112),"n/a")</f>
        <v>n/a</v>
      </c>
      <c r="ED112" s="85" t="str">
        <f aca="false">IF(EB112-DZ112&gt;0,EA112/(EB112-DZ112),"n/a")</f>
        <v>n/a</v>
      </c>
      <c r="EE112" s="93" t="b">
        <f aca="false">INDEX(cfg_fits,D112,C112)</f>
        <v>0</v>
      </c>
      <c r="EF112" s="87" t="n">
        <f aca="false">IF(F112=4,"",INDEX(cfg_lenutil,D112,C112))</f>
        <v>1.03302598491199</v>
      </c>
      <c r="EG112" s="31" t="str">
        <f aca="false">IF(O112&gt;1,"Check fit (units scaled up)","")</f>
        <v/>
      </c>
    </row>
    <row r="113" customFormat="false" ht="15" hidden="false" customHeight="false" outlineLevel="0" collapsed="false">
      <c r="A113" s="78" t="n">
        <v>3024</v>
      </c>
      <c r="B113" s="9" t="s">
        <v>3261</v>
      </c>
      <c r="C113" s="78" t="n">
        <v>3</v>
      </c>
      <c r="D113" s="78" t="n">
        <v>2</v>
      </c>
      <c r="E113" s="78" t="n">
        <v>4</v>
      </c>
      <c r="F113" s="79" t="n">
        <f aca="false">INDEX(cfg_ct,D113)</f>
        <v>2</v>
      </c>
      <c r="G113" s="79" t="n">
        <f aca="false">INDEX(cfg_n,D113)</f>
        <v>1</v>
      </c>
      <c r="H113" s="79" t="n">
        <f aca="false">INDEX(dest_port,E113)</f>
        <v>3</v>
      </c>
      <c r="I113" s="80" t="n">
        <f aca="false">INDEX(in_fx_cbe,1,C113)*(1-INDEX(in_fx_spread,1,C113))</f>
        <v>48.265</v>
      </c>
      <c r="J113" s="81" t="n">
        <f aca="false">1</f>
        <v>1</v>
      </c>
      <c r="K113" s="82" t="n">
        <f aca="false">INDEX(in_sup_vat_mode,1,C113)</f>
        <v>3</v>
      </c>
      <c r="L113" s="83" t="n">
        <f aca="false">INDEX(in_cus_s301,1,C113)</f>
        <v>0.125</v>
      </c>
      <c r="M113" s="84" t="n">
        <f aca="false">1</f>
        <v>1</v>
      </c>
      <c r="N113" s="81" t="n">
        <f aca="false">1</f>
        <v>1</v>
      </c>
      <c r="O113" s="81" t="n">
        <f aca="false">1</f>
        <v>1</v>
      </c>
      <c r="P113" s="81" t="n">
        <f aca="false">1</f>
        <v>1</v>
      </c>
      <c r="Q113" s="81" t="n">
        <f aca="false">1</f>
        <v>1</v>
      </c>
      <c r="R113" s="83" t="n">
        <f aca="false">INDEX(in_sel_damage,1,C113)</f>
        <v>0.04</v>
      </c>
      <c r="S113" s="83" t="n">
        <f aca="false">INDEX(in_mkt_dist_margin,1,C113)</f>
        <v>0.3</v>
      </c>
      <c r="T113" s="83" t="n">
        <f aca="false">INDEX(in_mkt_eflute_disc,1,C113)</f>
        <v>0.25</v>
      </c>
      <c r="U113" s="82" t="n">
        <f aca="false">INDEX(in_sel_credit_days,1,C113)</f>
        <v>60</v>
      </c>
      <c r="V113" s="81" t="n">
        <f aca="false">1</f>
        <v>1</v>
      </c>
      <c r="W113" s="83" t="n">
        <f aca="false">INDEX(in_sel_commission,1,C113)</f>
        <v>0.07</v>
      </c>
      <c r="X113" s="82" t="n">
        <f aca="false">1</f>
        <v>1</v>
      </c>
      <c r="Y113" s="85" t="n">
        <f aca="false">INDEX(cfg_u_3464,D113,C113)*O113</f>
        <v>20000</v>
      </c>
      <c r="Z113" s="85" t="n">
        <f aca="false">INDEX(cfg_u_3463,D113,C113)*O113</f>
        <v>20000</v>
      </c>
      <c r="AA113" s="85" t="n">
        <f aca="false">INDEX(cfg_u_3460,D113,C113)*O113</f>
        <v>20000</v>
      </c>
      <c r="AB113" s="85" t="n">
        <f aca="false">Y113+Z113+AA113</f>
        <v>60000</v>
      </c>
      <c r="AC113" s="86" t="n">
        <f aca="false">Y113*INDEX(lg_vpu_3464,C113)</f>
        <v>16.00632</v>
      </c>
      <c r="AD113" s="86" t="n">
        <f aca="false">Z113*INDEX(lg_vpu_3463,C113)</f>
        <v>19.58112</v>
      </c>
      <c r="AE113" s="86" t="n">
        <f aca="false">AA113*INDEX(lg_vpu_3460,C113)</f>
        <v>12.79152</v>
      </c>
      <c r="AF113" s="86" t="n">
        <f aca="false">AC113+AD113+AE113</f>
        <v>48.37896</v>
      </c>
      <c r="AG113" s="85" t="n">
        <f aca="false">Y113*INDEX(lg_kpu_3464,C113)+Z113*INDEX(lg_kpu_3463,C113)+AA113*INDEX(lg_kpu_3460,C113)</f>
        <v>11802.43968</v>
      </c>
      <c r="AH113" s="87" t="n">
        <f aca="false">INDEX(in_sup_requote,1,C113)</f>
        <v>0.1</v>
      </c>
      <c r="AI113" s="88" t="n">
        <f aca="false">Y113*q_price_3464*(1+AH113)*J113/I113</f>
        <v>3812.90790427846</v>
      </c>
      <c r="AJ113" s="88" t="n">
        <f aca="false">Z113*q_price_3463*(1+AH113)*J113/I113</f>
        <v>3600.95307158396</v>
      </c>
      <c r="AK113" s="88" t="n">
        <f aca="false">AA113*q_price_3460*(1+AH113)*J113/I113</f>
        <v>3145.13622707966</v>
      </c>
      <c r="AL113" s="88" t="n">
        <f aca="false">AI113+AJ113+AK113</f>
        <v>10558.9972029421</v>
      </c>
      <c r="AM113" s="88" t="n">
        <f aca="false">IF(OR(K113=2,K113=3),AL113*INDEX(in_sup_vat_rate,1,C113),0)</f>
        <v>1478.25960841189</v>
      </c>
      <c r="AN113" s="88" t="n">
        <f aca="false">IF(K113=3,AM113,0)</f>
        <v>1478.25960841189</v>
      </c>
      <c r="AO113" s="88" t="n">
        <f aca="false">INDEX(in_sup_tooling_egp,1,C113)/I113</f>
        <v>517.973686936704</v>
      </c>
      <c r="AP113" s="88" t="n">
        <f aca="false">IF(F113=4,INDEX(in_ori_lcl_truck,1,C113)*V113/I113+INDEX(in_ori_lcl_cfs_o,1,C113),G113*(IF(F113=1,INDEX(in_ori_truck_20,1,C113),INDEX(in_ori_truck_40,1,C113))*V113/I113+INDEX(in_ori_terminal,1,C113)+IF(F113=1,INDEX(in_ori_othc_20,1,C113),INDEX(in_ori_othc_40,1,C113))*(1-INDEX(in_ori_othc_in_freight,1,C113))+INDEX(in_ori_seal,1,C113)+INDEX(in_ori_inspection,1,C113)+INDEX(in_ori_dd_days,1,C113)*IF(F113=1,INDEX(in_ori_dd_20,1,C113),INDEX(in_ori_dd_40,1,C113))+INDEX(in_ori_loading_egp,1,C113)/I113))</f>
        <v>882.378949549363</v>
      </c>
      <c r="AQ113" s="88" t="n">
        <f aca="false">(INDEX(in_ori_clearance,1,C113)+INDEX(in_ori_coo,1,C113))/I113+INDEX(in_ori_bl_fee,1,C113)+INDEX(in_ori_fwd_fee,1,C113)+INDEX(in_ori_qc,1,C113)+INDEX(in_ori_wires,1,C113)*INDEX(in_ori_wire_fee,1,C113)</f>
        <v>1167.90842225215</v>
      </c>
      <c r="AR113" s="88" t="n">
        <f aca="false">AP113+AQ113</f>
        <v>2050.28737180151</v>
      </c>
      <c r="AS113" s="85" t="n">
        <f aca="false">INDEX(tbl_port_diff,H113,C113)</f>
        <v>100</v>
      </c>
      <c r="AT113" s="88" t="n">
        <f aca="false">IF(F113=4,MAX(AF113*INDEX(in_oce_lcl_factor,1,C113),AG113/1000,1)*INDEX(in_oce_lcl_rate,1,C113)*M113,G113*(INDEX(tbl_ocean_rate,MIN(F113,3),C113)+AS113)*M113)</f>
        <v>5000</v>
      </c>
      <c r="AU113" s="88" t="n">
        <f aca="false">AT113+INDEX(in_oce_ams,1,C113)</f>
        <v>5045</v>
      </c>
      <c r="AV113" s="88" t="n">
        <f aca="false">AI113*(1+IF(K113=3,INDEX(in_sup_vat_rate,1,C113),0))+AO113*Y113/AB113</f>
        <v>4519.37290652302</v>
      </c>
      <c r="AW113" s="88" t="n">
        <f aca="false">AJ113*(1+IF(K113=3,INDEX(in_sup_vat_rate,1,C113),0))+AO113*Z113/AB113</f>
        <v>4277.74439725129</v>
      </c>
      <c r="AX113" s="88" t="n">
        <f aca="false">AK113*(1+IF(K113=3,INDEX(in_sup_vat_rate,1,C113),0))+AO113*AA113/AB113</f>
        <v>3758.11319451639</v>
      </c>
      <c r="AY113" s="88" t="n">
        <f aca="false">AV113+AW113+AX113</f>
        <v>12555.2304982907</v>
      </c>
      <c r="AZ113" s="88" t="n">
        <f aca="false">MAX(INDEX(in_oce_ins_min,1,C113),INDEX(in_oce_ins_rate,1,C113)*(1+INDEX(in_oce_ins_uplift,1,C113))*(AL113+AO113+AR113+AU113))*(1-INDEX(in_oce_ins_in_other,1,C113))</f>
        <v>100</v>
      </c>
      <c r="BA113" s="87" t="n">
        <f aca="false">INDEX(in_cus_mfn,1,C113)+L113</f>
        <v>0.125</v>
      </c>
      <c r="BB113" s="88" t="n">
        <f aca="false">AY113*BA113</f>
        <v>1569.40381228634</v>
      </c>
      <c r="BC113" s="88" t="n">
        <f aca="false">MIN(MAX(AY113*INDEX(in_cus_mpf_rate,1,C113),INDEX(in_cus_mpf_min,1,C113)),INDEX(in_cus_mpf_max,1,C113))</f>
        <v>43.4913184460789</v>
      </c>
      <c r="BD113" s="88" t="n">
        <f aca="false">AY113*INDEX(in_cus_hmf,1,C113)</f>
        <v>15.6940381228634</v>
      </c>
      <c r="BE113" s="88" t="n">
        <f aca="false">MAX(INDEX(in_cus_stb_min,1,C113),INDEX(in_cus_stb_rate,1,C113)/1000*(AY113+BB113+BC113+BD113))</f>
        <v>99.2867376700218</v>
      </c>
      <c r="BF113" s="88" t="n">
        <f aca="false">INDEX(in_cus_broker,1,C113)+INDEX(in_cus_isf,1,C113)+INDEX(in_cus_do_fee,1,C113)+BE113+INDEX(in_cus_isf_bond,1,C113)</f>
        <v>724.286737670022</v>
      </c>
      <c r="BG113" s="88" t="n">
        <f aca="false">IF(H113=1,INDEX(in_cus_cfc,1,C113)*INDEX(ct_teu,F113)*G113*(1-INDEX(in_cus_cfc_in_freight,1,C113)),0)</f>
        <v>0</v>
      </c>
      <c r="BH113" s="88" t="n">
        <f aca="false">IF(F113=4,1,G113)*(INDEX(in_cus_exam,1,C113)+INDEX(in_cus_exam_dray,1,C113))</f>
        <v>600</v>
      </c>
      <c r="BI113" s="88" t="n">
        <f aca="false">IF(F113=4,1,G113)*INDEX(in_cus_dem_days,1,C113)*INDEX(in_cus_dem_rate,1,C113)</f>
        <v>750</v>
      </c>
      <c r="BJ113" s="88" t="n">
        <f aca="false">BG113+BH113+BI113</f>
        <v>1350</v>
      </c>
      <c r="BK113" s="88" t="n">
        <f aca="false">IF(F113=4,(INDEX(in_dra_lcl_cfs_d,1,C113)+INDEX(in_dra_lcl_deliv,1,C113))*P113,G113*(INDEX(tbl_dest_line,E113,C113)*P113*(1+INDEX(in_dra_fsc,1,C113))+INDEX(tbl_dest_tolls,E113,C113)+INDEX(in_dra_chassis_days,1,C113)*INDEX(tbl_dest_chassis,E113,C113)*(1-INDEX(in_dra_chassis_in_dray,1,C113))+INDEX(in_dra_wait_hours,1,C113)*INDEX(in_dra_wait_rate,1,C113)+INDEX(in_dra_split,1,C113)+INDEX(in_dra_prepull,1,C113)+INDEX(in_dra_dryrun,1,C113)))</f>
        <v>2850</v>
      </c>
      <c r="BL113" s="88" t="n">
        <f aca="false">IF(F113=4,0,G113*IF(F113=1,INDEX(in_dra_unload_20,1,C113),INDEX(in_dra_unload_40,1,C113))*Q113*(1-INDEX(in_dra_unload_in_dray,1,C113)))</f>
        <v>650</v>
      </c>
      <c r="BM113" s="88" t="n">
        <f aca="false">AL113+AN113+AO113+AR113+AU113+AZ113+BB113+BC113+BD113+BF113+BJ113+BK113+BL113</f>
        <v>26953.3937766175</v>
      </c>
      <c r="BN113" s="88" t="n">
        <f aca="false">AP113+AU113+BJ113+BK113+BL113</f>
        <v>10777.3789495494</v>
      </c>
      <c r="BO113" s="88" t="n">
        <f aca="false">AQ113+BF113</f>
        <v>1892.19515992217</v>
      </c>
      <c r="BP113" s="88" t="n">
        <f aca="false">AI113*(1+IF(K113=3,INDEX(in_sup_vat_rate,1,C113),0))+AO113*Y113/AB113+AV113*BA113+(BC113+BD113)*AV113/AY113+AZ113*AI113/AL113+BN113*AC113/AF113+BO113*Y113/AB113</f>
        <v>9338.16832997674</v>
      </c>
      <c r="BQ113" s="88" t="n">
        <f aca="false">AJ113*(1+IF(K113=3,INDEX(in_sup_vat_rate,1,C113),0))+AO113*Z113/AB113+AW113*BA113+(BC113+BD113)*AW113/AY113+AZ113*AJ113/AL113+BN113*AD113/AF113+BO113*Z113/AB113</f>
        <v>9859.54793205519</v>
      </c>
      <c r="BR113" s="88" t="n">
        <f aca="false">AK113*(1+IF(K113=3,INDEX(in_sup_vat_rate,1,C113),0))+AO113*AA113/AB113+AX113*BA113+(BC113+BD113)*AX113/AY113+AZ113*AK113/AL113+BN113*AE113/AF113+BO113*AA113/AB113</f>
        <v>7755.67751458558</v>
      </c>
      <c r="BS113" s="89" t="n">
        <f aca="false">BP113+BQ113+BR113-BM113</f>
        <v>0</v>
      </c>
      <c r="BT113" s="85" t="n">
        <f aca="false">Y113*(1-R113)</f>
        <v>19200</v>
      </c>
      <c r="BU113" s="85" t="n">
        <f aca="false">Z113*(1-R113)</f>
        <v>19200</v>
      </c>
      <c r="BV113" s="85" t="n">
        <f aca="false">AA113*(1-R113)</f>
        <v>19200</v>
      </c>
      <c r="BW113" s="85" t="n">
        <f aca="false">BT113+BU113+BV113</f>
        <v>57600</v>
      </c>
      <c r="BX113" s="90" t="n">
        <f aca="false">IF(BT113&gt;0,BP113/BT113,0)</f>
        <v>0.486362933852955</v>
      </c>
      <c r="BY113" s="90" t="n">
        <f aca="false">IF(BU113&gt;0,BQ113/BU113,0)</f>
        <v>0.513518121461208</v>
      </c>
      <c r="BZ113" s="90" t="n">
        <f aca="false">IF(BV113&gt;0,BR113/BV113,0)</f>
        <v>0.403941537217999</v>
      </c>
      <c r="CA113" s="90" t="n">
        <f aca="false">INDEX(in_mkt_listing_3464,1,C113)*(1-IF(sku_flute_3464="B",T113,0))*(1-S113)*N113</f>
        <v>0.1995</v>
      </c>
      <c r="CB113" s="90" t="n">
        <f aca="false">INDEX(in_mkt_listing_3463,1,C113)*(1-IF(sku_flute_3463="B",T113,0))*(1-S113)*N113</f>
        <v>0.23625</v>
      </c>
      <c r="CC113" s="90" t="n">
        <f aca="false">INDEX(in_mkt_listing_3460,1,C113)*(1-IF(sku_flute_3460="B",T113,0))*(1-S113)*N113</f>
        <v>0.21</v>
      </c>
      <c r="CD113" s="88" t="n">
        <f aca="false">BT113*CA113+BU113*CB113+BV113*CC113</f>
        <v>12398.4</v>
      </c>
      <c r="CE113" s="88" t="n">
        <f aca="false">CD113-BM113</f>
        <v>-14554.9937766175</v>
      </c>
      <c r="CF113" s="87" t="n">
        <f aca="false">IF(CD113&gt;0,CE113/CD113,0)</f>
        <v>-1.17394129699135</v>
      </c>
      <c r="CG113" s="87" t="n">
        <f aca="false">W113+INDEX(in_sel_processing,1,C113)+INDEX(in_sel_bad_debt,1,C113)</f>
        <v>0.095</v>
      </c>
      <c r="CH113" s="88" t="n">
        <f aca="false">CD113*CG113</f>
        <v>1177.848</v>
      </c>
      <c r="CI113" s="88" t="n">
        <f aca="false">INDEX(in_sel_testing,1,C113)*X113+INDEX(in_sel_admin,1,C113)</f>
        <v>4750</v>
      </c>
      <c r="CJ113" s="79" t="n">
        <f aca="false">INDEX(in_sup_lead_days,1,C113)</f>
        <v>35</v>
      </c>
      <c r="CK113" s="79" t="n">
        <f aca="false">CJ113+INDEX(in_oce_transit,1,C113)+IF(F113=4,INDEX(in_oce_lcl_extra_days,1,C113),0)</f>
        <v>73</v>
      </c>
      <c r="CL113" s="79" t="n">
        <f aca="false">CK113+2+INDEX(in_cus_dem_days,1,C113)</f>
        <v>78</v>
      </c>
      <c r="CM113" s="79" t="n">
        <f aca="false">CL113+U113</f>
        <v>138</v>
      </c>
      <c r="CN113" s="79" t="n">
        <f aca="false">CJ113+INDEX(in_sup_vat_lag,1,C113)</f>
        <v>215</v>
      </c>
      <c r="CO113" s="91" t="n">
        <f aca="false">INDEX(in_sup_advance,1,C113)</f>
        <v>0.5</v>
      </c>
      <c r="CP113" s="88" t="n">
        <f aca="false">CO113*(AL113+AM113)+AO113+INDEX(in_sel_testing,1,C113)*X113</f>
        <v>10536.6020926137</v>
      </c>
      <c r="CQ113" s="88" t="n">
        <f aca="false">(1-CO113)*(AL113+AM113)+AR113+AU113+AZ113</f>
        <v>13213.9157774785</v>
      </c>
      <c r="CR113" s="88" t="n">
        <f aca="false">BB113+BC113+BD113+BF113+BJ113</f>
        <v>3702.8759065253</v>
      </c>
      <c r="CS113" s="88" t="n">
        <f aca="false">BK113+BL113</f>
        <v>3500</v>
      </c>
      <c r="CT113" s="88" t="n">
        <f aca="false">IF(K113=2,AM113,0)</f>
        <v>0</v>
      </c>
      <c r="CU113" s="85" t="n">
        <f aca="false">IF(K113=2,CO113*AM113*(CN113-0)+(1-CO113)*AM113*(CN113-CJ113),0)</f>
        <v>0</v>
      </c>
      <c r="CV113" s="85" t="n">
        <f aca="false">(CP113-CO113*CT113)*(CM113-0)+(CQ113-(1-CO113)*CT113)*(CM113-CJ113)+CR113*(CM113-CK113)+CS113*(CM113-CL113)</f>
        <v>3265771.34778512</v>
      </c>
      <c r="CW113" s="88" t="n">
        <f aca="false">INDEX(in_sel_fin_rate,1,C113)/365*(CU113+CV113)</f>
        <v>1252.62462654772</v>
      </c>
      <c r="CX113" s="85" t="n">
        <f aca="false">CP113-IF(CN113&lt;=0,CT113,0)</f>
        <v>10536.6020926137</v>
      </c>
      <c r="CY113" s="85" t="n">
        <f aca="false">CP113+CQ113-IF(CN113&lt;=CJ113,CT113,0)</f>
        <v>23750.5178700922</v>
      </c>
      <c r="CZ113" s="85" t="n">
        <f aca="false">CP113+CQ113+CR113-IF(CN113&lt;=CK113,CT113,0)</f>
        <v>27453.3937766175</v>
      </c>
      <c r="DA113" s="85" t="n">
        <f aca="false">CP113+CQ113+CR113+CS113-IF(CN113&lt;=CL113,CT113,0)</f>
        <v>30953.3937766175</v>
      </c>
      <c r="DB113" s="88" t="n">
        <f aca="false">MAX(CX113,CY113,CZ113,DA113)</f>
        <v>30953.3937766175</v>
      </c>
      <c r="DC113" s="88" t="n">
        <f aca="false">CP113+CQ113+CR113+CS113</f>
        <v>30953.3937766175</v>
      </c>
      <c r="DD113" s="88" t="n">
        <f aca="false">CE113-CH113-CI113-CW113</f>
        <v>-21735.4664031652</v>
      </c>
      <c r="DE113" s="87" t="n">
        <f aca="false">IF(CD113&gt;0,DD113/CD113,0)</f>
        <v>-1.75308639850023</v>
      </c>
      <c r="DF113" s="86" t="n">
        <f aca="false">IF(CD113&gt;0,(BM113+CI113+CW113)/(CD113*(1-CG113)),0)</f>
        <v>2.93711204254169</v>
      </c>
      <c r="DG113" s="90" t="n">
        <f aca="false">IF(BW113&gt;0,BM113/BW113,0)</f>
        <v>0.467940864177387</v>
      </c>
      <c r="DH113" s="90" t="n">
        <f aca="false">IF(BW113&gt;0,CD113/BW113,0)</f>
        <v>0.21525</v>
      </c>
      <c r="DI113" s="90" t="n">
        <f aca="false">IF(AI113&gt;0,(AI113*IF(K113=3,INDEX(in_sup_vat_rate,1,C113),0)+AV113*BA113+(BC113+BD113)*AV113/AY113+AZ113*AI113/AL113)/AI113,0)</f>
        <v>0.303218326895857</v>
      </c>
      <c r="DJ113" s="90" t="n">
        <f aca="false">IF(AJ113&gt;0,(AJ113*IF(K113=3,INDEX(in_sup_vat_rate,1,C113),0)+AW113*BA113+(BC113+BD113)*AW113/AY113+AZ113*AJ113/AL113)/AJ113,0)</f>
        <v>0.30356406149334</v>
      </c>
      <c r="DK113" s="90" t="n">
        <f aca="false">IF(AK113&gt;0,(AK113*IF(K113=3,INDEX(in_sup_vat_rate,1,C113),0)+AX113*BA113+(BC113+BD113)*AX113/AY113+AZ113*AK113/AL113)/AK113,0)</f>
        <v>0.304465439055422</v>
      </c>
      <c r="DL113" s="90" t="n">
        <f aca="false">IF(Y113&gt;0,(BP113-AI113*(1+DI113))/Y113,0)</f>
        <v>0.218455843517748</v>
      </c>
      <c r="DM113" s="90" t="n">
        <f aca="false">IF(Z113&gt;0,(BQ113-AJ113*(1+DJ113))/Z113,0)</f>
        <v>0.258273746040714</v>
      </c>
      <c r="DN113" s="90" t="n">
        <f aca="false">IF(AA113&gt;0,(BR113-AK113*(1+DK113))/AA113,0)</f>
        <v>0.18264780026195</v>
      </c>
      <c r="DO113" s="86" t="n">
        <f aca="false">IF(Y113&gt;0,(CA113*(1-thr_gm_go)*(1-R113)-DL113)/(1+DI113)*I113/((1+AH113)*J113),"")</f>
        <v>-2.51892956276046</v>
      </c>
      <c r="DP113" s="86" t="n">
        <f aca="false">IF(Z113&gt;0,(CB113*(1-thr_gm_go)*(1-R113)-DM113)/(1+DJ113)*I113/((1+AH113)*J113),"")</f>
        <v>-2.9678813774458</v>
      </c>
      <c r="DQ113" s="86" t="n">
        <f aca="false">IF(AA113&gt;0,(CC113*(1-thr_gm_go)*(1-R113)-DN113)/(1+DK113)*I113/((1+AH113)*J113),"")</f>
        <v>-1.05778479632662</v>
      </c>
      <c r="DR113" s="92" t="n">
        <f aca="false">IF(AND(AY113*INDEX(in_cus_mpf_rate,1,C113)&gt;INDEX(in_cus_mpf_min,1,C113),AY113*INDEX(in_cus_mpf_rate,1,C113)&lt;INDEX(in_cus_mpf_max,1,C113)),INDEX(in_cus_mpf_rate,1,C113),0)</f>
        <v>0.003464</v>
      </c>
      <c r="DS113" s="88" t="n">
        <f aca="false">IF(AZ113&gt;INDEX(in_oce_ins_min,1,C113),INDEX(in_oce_ins_rate,1,C113)*(1+INDEX(in_oce_ins_uplift,1,C113))*AL113,0)</f>
        <v>0</v>
      </c>
      <c r="DT113" s="88" t="n">
        <f aca="false">(AL113+AN113)*(1+BA113+INDEX(in_cus_hmf,1,C113)+DR113)+DS113</f>
        <v>13598.657541382</v>
      </c>
      <c r="DU113" s="86" t="n">
        <f aca="false">IF(DT113&gt;0,(CD113*(1-thr_gm_go)-(BM113-DT113))/DT113,0)</f>
        <v>-0.298260046838665</v>
      </c>
      <c r="DV113" s="86" t="n">
        <f aca="false">IF(DT113&gt;0,(CD113-(BM113-DT113))/DT113,0)</f>
        <v>-0.0703257826976912</v>
      </c>
      <c r="DW113" s="87" t="n">
        <f aca="false">(1+AH113)*J113*DU113-1</f>
        <v>-1.32808605152253</v>
      </c>
      <c r="DX113" s="87" t="n">
        <f aca="false">(1+AH113)*J113*DV113-1</f>
        <v>-1.07735836096746</v>
      </c>
      <c r="DY113" s="85" t="n">
        <f aca="false">IF(G113&gt;0,(CD113*(1-thr_gm_go)-(BM113-AT113))/G113,"")</f>
        <v>-12654.5937766175</v>
      </c>
      <c r="DZ113" s="90" t="n">
        <f aca="false">IF(AB113&gt;0,(AL113+AN113+BB113+BC113+BD113)/AB113,0)</f>
        <v>0.227764099670154</v>
      </c>
      <c r="EA113" s="88" t="n">
        <f aca="false">BM113-DZ113*AB113</f>
        <v>13287.5477964082</v>
      </c>
      <c r="EB113" s="90" t="n">
        <f aca="false">IF(AB113&gt;0,CD113/AB113,0)</f>
        <v>0.20664</v>
      </c>
      <c r="EC113" s="85" t="str">
        <f aca="false">IF(EB113*(1-thr_gm_go)-DZ113&gt;0,EA113/(EB113*(1-thr_gm_go)-DZ113),"n/a")</f>
        <v>n/a</v>
      </c>
      <c r="ED113" s="85" t="str">
        <f aca="false">IF(EB113-DZ113&gt;0,EA113/(EB113-DZ113),"n/a")</f>
        <v>n/a</v>
      </c>
      <c r="EE113" s="93" t="b">
        <f aca="false">INDEX(cfg_fits,D113,C113)</f>
        <v>0</v>
      </c>
      <c r="EF113" s="87" t="n">
        <f aca="false">IF(F113=4,"",INDEX(cfg_lenutil,D113,C113))</f>
        <v>1.03302598491199</v>
      </c>
      <c r="EG113" s="31" t="str">
        <f aca="false">IF(O113&gt;1,"Check fit (units scaled up)","")</f>
        <v/>
      </c>
    </row>
    <row r="114" customFormat="false" ht="15" hidden="false" customHeight="false" outlineLevel="0" collapsed="false">
      <c r="A114" s="78" t="n">
        <v>3025</v>
      </c>
      <c r="B114" s="9" t="s">
        <v>3262</v>
      </c>
      <c r="C114" s="78" t="n">
        <v>3</v>
      </c>
      <c r="D114" s="78" t="n">
        <v>2</v>
      </c>
      <c r="E114" s="78" t="n">
        <v>5</v>
      </c>
      <c r="F114" s="79" t="n">
        <f aca="false">INDEX(cfg_ct,D114)</f>
        <v>2</v>
      </c>
      <c r="G114" s="79" t="n">
        <f aca="false">INDEX(cfg_n,D114)</f>
        <v>1</v>
      </c>
      <c r="H114" s="79" t="n">
        <f aca="false">INDEX(dest_port,E114)</f>
        <v>4</v>
      </c>
      <c r="I114" s="80" t="n">
        <f aca="false">INDEX(in_fx_cbe,1,C114)*(1-INDEX(in_fx_spread,1,C114))</f>
        <v>48.265</v>
      </c>
      <c r="J114" s="81" t="n">
        <f aca="false">1</f>
        <v>1</v>
      </c>
      <c r="K114" s="82" t="n">
        <f aca="false">INDEX(in_sup_vat_mode,1,C114)</f>
        <v>3</v>
      </c>
      <c r="L114" s="83" t="n">
        <f aca="false">INDEX(in_cus_s301,1,C114)</f>
        <v>0.125</v>
      </c>
      <c r="M114" s="84" t="n">
        <f aca="false">1</f>
        <v>1</v>
      </c>
      <c r="N114" s="81" t="n">
        <f aca="false">1</f>
        <v>1</v>
      </c>
      <c r="O114" s="81" t="n">
        <f aca="false">1</f>
        <v>1</v>
      </c>
      <c r="P114" s="81" t="n">
        <f aca="false">1</f>
        <v>1</v>
      </c>
      <c r="Q114" s="81" t="n">
        <f aca="false">1</f>
        <v>1</v>
      </c>
      <c r="R114" s="83" t="n">
        <f aca="false">INDEX(in_sel_damage,1,C114)</f>
        <v>0.04</v>
      </c>
      <c r="S114" s="83" t="n">
        <f aca="false">INDEX(in_mkt_dist_margin,1,C114)</f>
        <v>0.3</v>
      </c>
      <c r="T114" s="83" t="n">
        <f aca="false">INDEX(in_mkt_eflute_disc,1,C114)</f>
        <v>0.25</v>
      </c>
      <c r="U114" s="82" t="n">
        <f aca="false">INDEX(in_sel_credit_days,1,C114)</f>
        <v>60</v>
      </c>
      <c r="V114" s="81" t="n">
        <f aca="false">1</f>
        <v>1</v>
      </c>
      <c r="W114" s="83" t="n">
        <f aca="false">INDEX(in_sel_commission,1,C114)</f>
        <v>0.07</v>
      </c>
      <c r="X114" s="82" t="n">
        <f aca="false">1</f>
        <v>1</v>
      </c>
      <c r="Y114" s="85" t="n">
        <f aca="false">INDEX(cfg_u_3464,D114,C114)*O114</f>
        <v>20000</v>
      </c>
      <c r="Z114" s="85" t="n">
        <f aca="false">INDEX(cfg_u_3463,D114,C114)*O114</f>
        <v>20000</v>
      </c>
      <c r="AA114" s="85" t="n">
        <f aca="false">INDEX(cfg_u_3460,D114,C114)*O114</f>
        <v>20000</v>
      </c>
      <c r="AB114" s="85" t="n">
        <f aca="false">Y114+Z114+AA114</f>
        <v>60000</v>
      </c>
      <c r="AC114" s="86" t="n">
        <f aca="false">Y114*INDEX(lg_vpu_3464,C114)</f>
        <v>16.00632</v>
      </c>
      <c r="AD114" s="86" t="n">
        <f aca="false">Z114*INDEX(lg_vpu_3463,C114)</f>
        <v>19.58112</v>
      </c>
      <c r="AE114" s="86" t="n">
        <f aca="false">AA114*INDEX(lg_vpu_3460,C114)</f>
        <v>12.79152</v>
      </c>
      <c r="AF114" s="86" t="n">
        <f aca="false">AC114+AD114+AE114</f>
        <v>48.37896</v>
      </c>
      <c r="AG114" s="85" t="n">
        <f aca="false">Y114*INDEX(lg_kpu_3464,C114)+Z114*INDEX(lg_kpu_3463,C114)+AA114*INDEX(lg_kpu_3460,C114)</f>
        <v>11802.43968</v>
      </c>
      <c r="AH114" s="87" t="n">
        <f aca="false">INDEX(in_sup_requote,1,C114)</f>
        <v>0.1</v>
      </c>
      <c r="AI114" s="88" t="n">
        <f aca="false">Y114*q_price_3464*(1+AH114)*J114/I114</f>
        <v>3812.90790427846</v>
      </c>
      <c r="AJ114" s="88" t="n">
        <f aca="false">Z114*q_price_3463*(1+AH114)*J114/I114</f>
        <v>3600.95307158396</v>
      </c>
      <c r="AK114" s="88" t="n">
        <f aca="false">AA114*q_price_3460*(1+AH114)*J114/I114</f>
        <v>3145.13622707966</v>
      </c>
      <c r="AL114" s="88" t="n">
        <f aca="false">AI114+AJ114+AK114</f>
        <v>10558.9972029421</v>
      </c>
      <c r="AM114" s="88" t="n">
        <f aca="false">IF(OR(K114=2,K114=3),AL114*INDEX(in_sup_vat_rate,1,C114),0)</f>
        <v>1478.25960841189</v>
      </c>
      <c r="AN114" s="88" t="n">
        <f aca="false">IF(K114=3,AM114,0)</f>
        <v>1478.25960841189</v>
      </c>
      <c r="AO114" s="88" t="n">
        <f aca="false">INDEX(in_sup_tooling_egp,1,C114)/I114</f>
        <v>517.973686936704</v>
      </c>
      <c r="AP114" s="88" t="n">
        <f aca="false">IF(F114=4,INDEX(in_ori_lcl_truck,1,C114)*V114/I114+INDEX(in_ori_lcl_cfs_o,1,C114),G114*(IF(F114=1,INDEX(in_ori_truck_20,1,C114),INDEX(in_ori_truck_40,1,C114))*V114/I114+INDEX(in_ori_terminal,1,C114)+IF(F114=1,INDEX(in_ori_othc_20,1,C114),INDEX(in_ori_othc_40,1,C114))*(1-INDEX(in_ori_othc_in_freight,1,C114))+INDEX(in_ori_seal,1,C114)+INDEX(in_ori_inspection,1,C114)+INDEX(in_ori_dd_days,1,C114)*IF(F114=1,INDEX(in_ori_dd_20,1,C114),INDEX(in_ori_dd_40,1,C114))+INDEX(in_ori_loading_egp,1,C114)/I114))</f>
        <v>882.378949549363</v>
      </c>
      <c r="AQ114" s="88" t="n">
        <f aca="false">(INDEX(in_ori_clearance,1,C114)+INDEX(in_ori_coo,1,C114))/I114+INDEX(in_ori_bl_fee,1,C114)+INDEX(in_ori_fwd_fee,1,C114)+INDEX(in_ori_qc,1,C114)+INDEX(in_ori_wires,1,C114)*INDEX(in_ori_wire_fee,1,C114)</f>
        <v>1167.90842225215</v>
      </c>
      <c r="AR114" s="88" t="n">
        <f aca="false">AP114+AQ114</f>
        <v>2050.28737180151</v>
      </c>
      <c r="AS114" s="85" t="n">
        <f aca="false">INDEX(tbl_port_diff,H114,C114)</f>
        <v>200</v>
      </c>
      <c r="AT114" s="88" t="n">
        <f aca="false">IF(F114=4,MAX(AF114*INDEX(in_oce_lcl_factor,1,C114),AG114/1000,1)*INDEX(in_oce_lcl_rate,1,C114)*M114,G114*(INDEX(tbl_ocean_rate,MIN(F114,3),C114)+AS114)*M114)</f>
        <v>5100</v>
      </c>
      <c r="AU114" s="88" t="n">
        <f aca="false">AT114+INDEX(in_oce_ams,1,C114)</f>
        <v>5145</v>
      </c>
      <c r="AV114" s="88" t="n">
        <f aca="false">AI114*(1+IF(K114=3,INDEX(in_sup_vat_rate,1,C114),0))+AO114*Y114/AB114</f>
        <v>4519.37290652302</v>
      </c>
      <c r="AW114" s="88" t="n">
        <f aca="false">AJ114*(1+IF(K114=3,INDEX(in_sup_vat_rate,1,C114),0))+AO114*Z114/AB114</f>
        <v>4277.74439725129</v>
      </c>
      <c r="AX114" s="88" t="n">
        <f aca="false">AK114*(1+IF(K114=3,INDEX(in_sup_vat_rate,1,C114),0))+AO114*AA114/AB114</f>
        <v>3758.11319451639</v>
      </c>
      <c r="AY114" s="88" t="n">
        <f aca="false">AV114+AW114+AX114</f>
        <v>12555.2304982907</v>
      </c>
      <c r="AZ114" s="88" t="n">
        <f aca="false">MAX(INDEX(in_oce_ins_min,1,C114),INDEX(in_oce_ins_rate,1,C114)*(1+INDEX(in_oce_ins_uplift,1,C114))*(AL114+AO114+AR114+AU114))*(1-INDEX(in_oce_ins_in_other,1,C114))</f>
        <v>100</v>
      </c>
      <c r="BA114" s="87" t="n">
        <f aca="false">INDEX(in_cus_mfn,1,C114)+L114</f>
        <v>0.125</v>
      </c>
      <c r="BB114" s="88" t="n">
        <f aca="false">AY114*BA114</f>
        <v>1569.40381228634</v>
      </c>
      <c r="BC114" s="88" t="n">
        <f aca="false">MIN(MAX(AY114*INDEX(in_cus_mpf_rate,1,C114),INDEX(in_cus_mpf_min,1,C114)),INDEX(in_cus_mpf_max,1,C114))</f>
        <v>43.4913184460789</v>
      </c>
      <c r="BD114" s="88" t="n">
        <f aca="false">AY114*INDEX(in_cus_hmf,1,C114)</f>
        <v>15.6940381228634</v>
      </c>
      <c r="BE114" s="88" t="n">
        <f aca="false">MAX(INDEX(in_cus_stb_min,1,C114),INDEX(in_cus_stb_rate,1,C114)/1000*(AY114+BB114+BC114+BD114))</f>
        <v>99.2867376700218</v>
      </c>
      <c r="BF114" s="88" t="n">
        <f aca="false">INDEX(in_cus_broker,1,C114)+INDEX(in_cus_isf,1,C114)+INDEX(in_cus_do_fee,1,C114)+BE114+INDEX(in_cus_isf_bond,1,C114)</f>
        <v>724.286737670022</v>
      </c>
      <c r="BG114" s="88" t="n">
        <f aca="false">IF(H114=1,INDEX(in_cus_cfc,1,C114)*INDEX(ct_teu,F114)*G114*(1-INDEX(in_cus_cfc_in_freight,1,C114)),0)</f>
        <v>0</v>
      </c>
      <c r="BH114" s="88" t="n">
        <f aca="false">IF(F114=4,1,G114)*(INDEX(in_cus_exam,1,C114)+INDEX(in_cus_exam_dray,1,C114))</f>
        <v>600</v>
      </c>
      <c r="BI114" s="88" t="n">
        <f aca="false">IF(F114=4,1,G114)*INDEX(in_cus_dem_days,1,C114)*INDEX(in_cus_dem_rate,1,C114)</f>
        <v>750</v>
      </c>
      <c r="BJ114" s="88" t="n">
        <f aca="false">BG114+BH114+BI114</f>
        <v>1350</v>
      </c>
      <c r="BK114" s="88" t="n">
        <f aca="false">IF(F114=4,(INDEX(in_dra_lcl_cfs_d,1,C114)+INDEX(in_dra_lcl_deliv,1,C114))*P114,G114*(INDEX(tbl_dest_line,E114,C114)*P114*(1+INDEX(in_dra_fsc,1,C114))+INDEX(tbl_dest_tolls,E114,C114)+INDEX(in_dra_chassis_days,1,C114)*INDEX(tbl_dest_chassis,E114,C114)*(1-INDEX(in_dra_chassis_in_dray,1,C114))+INDEX(in_dra_wait_hours,1,C114)*INDEX(in_dra_wait_rate,1,C114)+INDEX(in_dra_split,1,C114)+INDEX(in_dra_prepull,1,C114)+INDEX(in_dra_dryrun,1,C114)))</f>
        <v>3465</v>
      </c>
      <c r="BL114" s="88" t="n">
        <f aca="false">IF(F114=4,0,G114*IF(F114=1,INDEX(in_dra_unload_20,1,C114),INDEX(in_dra_unload_40,1,C114))*Q114*(1-INDEX(in_dra_unload_in_dray,1,C114)))</f>
        <v>650</v>
      </c>
      <c r="BM114" s="88" t="n">
        <f aca="false">AL114+AN114+AO114+AR114+AU114+AZ114+BB114+BC114+BD114+BF114+BJ114+BK114+BL114</f>
        <v>27668.3937766175</v>
      </c>
      <c r="BN114" s="88" t="n">
        <f aca="false">AP114+AU114+BJ114+BK114+BL114</f>
        <v>11492.3789495494</v>
      </c>
      <c r="BO114" s="88" t="n">
        <f aca="false">AQ114+BF114</f>
        <v>1892.19515992217</v>
      </c>
      <c r="BP114" s="88" t="n">
        <f aca="false">AI114*(1+IF(K114=3,INDEX(in_sup_vat_rate,1,C114),0))+AO114*Y114/AB114+AV114*BA114+(BC114+BD114)*AV114/AY114+AZ114*AI114/AL114+BN114*AC114/AF114+BO114*Y114/AB114</f>
        <v>9574.72816507861</v>
      </c>
      <c r="BQ114" s="88" t="n">
        <f aca="false">AJ114*(1+IF(K114=3,INDEX(in_sup_vat_rate,1,C114),0))+AO114*Z114/AB114+AW114*BA114+(BC114+BD114)*AW114/AY114+AZ114*AJ114/AL114+BN114*AD114/AF114+BO114*Z114/AB114</f>
        <v>10148.9402794723</v>
      </c>
      <c r="BR114" s="88" t="n">
        <f aca="false">AK114*(1+IF(K114=3,INDEX(in_sup_vat_rate,1,C114),0))+AO114*AA114/AB114+AX114*BA114+(BC114+BD114)*AX114/AY114+AZ114*AK114/AL114+BN114*AE114/AF114+BO114*AA114/AB114</f>
        <v>7944.72533206656</v>
      </c>
      <c r="BS114" s="89" t="n">
        <f aca="false">BP114+BQ114+BR114-BM114</f>
        <v>0</v>
      </c>
      <c r="BT114" s="85" t="n">
        <f aca="false">Y114*(1-R114)</f>
        <v>19200</v>
      </c>
      <c r="BU114" s="85" t="n">
        <f aca="false">Z114*(1-R114)</f>
        <v>19200</v>
      </c>
      <c r="BV114" s="85" t="n">
        <f aca="false">AA114*(1-R114)</f>
        <v>19200</v>
      </c>
      <c r="BW114" s="85" t="n">
        <f aca="false">BT114+BU114+BV114</f>
        <v>57600</v>
      </c>
      <c r="BX114" s="90" t="n">
        <f aca="false">IF(BT114&gt;0,BP114/BT114,0)</f>
        <v>0.498683758597844</v>
      </c>
      <c r="BY114" s="90" t="n">
        <f aca="false">IF(BU114&gt;0,BQ114/BU114,0)</f>
        <v>0.528590639555851</v>
      </c>
      <c r="BZ114" s="90" t="n">
        <f aca="false">IF(BV114&gt;0,BR114/BV114,0)</f>
        <v>0.4137877777118</v>
      </c>
      <c r="CA114" s="90" t="n">
        <f aca="false">INDEX(in_mkt_listing_3464,1,C114)*(1-IF(sku_flute_3464="B",T114,0))*(1-S114)*N114</f>
        <v>0.1995</v>
      </c>
      <c r="CB114" s="90" t="n">
        <f aca="false">INDEX(in_mkt_listing_3463,1,C114)*(1-IF(sku_flute_3463="B",T114,0))*(1-S114)*N114</f>
        <v>0.23625</v>
      </c>
      <c r="CC114" s="90" t="n">
        <f aca="false">INDEX(in_mkt_listing_3460,1,C114)*(1-IF(sku_flute_3460="B",T114,0))*(1-S114)*N114</f>
        <v>0.21</v>
      </c>
      <c r="CD114" s="88" t="n">
        <f aca="false">BT114*CA114+BU114*CB114+BV114*CC114</f>
        <v>12398.4</v>
      </c>
      <c r="CE114" s="88" t="n">
        <f aca="false">CD114-BM114</f>
        <v>-15269.9937766175</v>
      </c>
      <c r="CF114" s="87" t="n">
        <f aca="false">IF(CD114&gt;0,CE114/CD114,0)</f>
        <v>-1.23161002844057</v>
      </c>
      <c r="CG114" s="87" t="n">
        <f aca="false">W114+INDEX(in_sel_processing,1,C114)+INDEX(in_sel_bad_debt,1,C114)</f>
        <v>0.095</v>
      </c>
      <c r="CH114" s="88" t="n">
        <f aca="false">CD114*CG114</f>
        <v>1177.848</v>
      </c>
      <c r="CI114" s="88" t="n">
        <f aca="false">INDEX(in_sel_testing,1,C114)*X114+INDEX(in_sel_admin,1,C114)</f>
        <v>4750</v>
      </c>
      <c r="CJ114" s="79" t="n">
        <f aca="false">INDEX(in_sup_lead_days,1,C114)</f>
        <v>35</v>
      </c>
      <c r="CK114" s="79" t="n">
        <f aca="false">CJ114+INDEX(in_oce_transit,1,C114)+IF(F114=4,INDEX(in_oce_lcl_extra_days,1,C114),0)</f>
        <v>73</v>
      </c>
      <c r="CL114" s="79" t="n">
        <f aca="false">CK114+2+INDEX(in_cus_dem_days,1,C114)</f>
        <v>78</v>
      </c>
      <c r="CM114" s="79" t="n">
        <f aca="false">CL114+U114</f>
        <v>138</v>
      </c>
      <c r="CN114" s="79" t="n">
        <f aca="false">CJ114+INDEX(in_sup_vat_lag,1,C114)</f>
        <v>215</v>
      </c>
      <c r="CO114" s="91" t="n">
        <f aca="false">INDEX(in_sup_advance,1,C114)</f>
        <v>0.5</v>
      </c>
      <c r="CP114" s="88" t="n">
        <f aca="false">CO114*(AL114+AM114)+AO114+INDEX(in_sel_testing,1,C114)*X114</f>
        <v>10536.6020926137</v>
      </c>
      <c r="CQ114" s="88" t="n">
        <f aca="false">(1-CO114)*(AL114+AM114)+AR114+AU114+AZ114</f>
        <v>13313.9157774785</v>
      </c>
      <c r="CR114" s="88" t="n">
        <f aca="false">BB114+BC114+BD114+BF114+BJ114</f>
        <v>3702.8759065253</v>
      </c>
      <c r="CS114" s="88" t="n">
        <f aca="false">BK114+BL114</f>
        <v>4115</v>
      </c>
      <c r="CT114" s="88" t="n">
        <f aca="false">IF(K114=2,AM114,0)</f>
        <v>0</v>
      </c>
      <c r="CU114" s="85" t="n">
        <f aca="false">IF(K114=2,CO114*AM114*(CN114-0)+(1-CO114)*AM114*(CN114-CJ114),0)</f>
        <v>0</v>
      </c>
      <c r="CV114" s="85" t="n">
        <f aca="false">(CP114-CO114*CT114)*(CM114-0)+(CQ114-(1-CO114)*CT114)*(CM114-CJ114)+CR114*(CM114-CK114)+CS114*(CM114-CL114)</f>
        <v>3312971.34778512</v>
      </c>
      <c r="CW114" s="88" t="n">
        <f aca="false">INDEX(in_sel_fin_rate,1,C114)/365*(CU114+CV114)</f>
        <v>1270.72873613676</v>
      </c>
      <c r="CX114" s="85" t="n">
        <f aca="false">CP114-IF(CN114&lt;=0,CT114,0)</f>
        <v>10536.6020926137</v>
      </c>
      <c r="CY114" s="85" t="n">
        <f aca="false">CP114+CQ114-IF(CN114&lt;=CJ114,CT114,0)</f>
        <v>23850.5178700922</v>
      </c>
      <c r="CZ114" s="85" t="n">
        <f aca="false">CP114+CQ114+CR114-IF(CN114&lt;=CK114,CT114,0)</f>
        <v>27553.3937766175</v>
      </c>
      <c r="DA114" s="85" t="n">
        <f aca="false">CP114+CQ114+CR114+CS114-IF(CN114&lt;=CL114,CT114,0)</f>
        <v>31668.3937766175</v>
      </c>
      <c r="DB114" s="88" t="n">
        <f aca="false">MAX(CX114,CY114,CZ114,DA114)</f>
        <v>31668.3937766175</v>
      </c>
      <c r="DC114" s="88" t="n">
        <f aca="false">CP114+CQ114+CR114+CS114</f>
        <v>31668.3937766175</v>
      </c>
      <c r="DD114" s="88" t="n">
        <f aca="false">CE114-CH114-CI114-CW114</f>
        <v>-22468.5705127543</v>
      </c>
      <c r="DE114" s="87" t="n">
        <f aca="false">IF(CD114&gt;0,DD114/CD114,0)</f>
        <v>-1.81221532719982</v>
      </c>
      <c r="DF114" s="86" t="n">
        <f aca="false">IF(CD114&gt;0,(BM114+CI114+CW114)/(CD114*(1-CG114)),0)</f>
        <v>3.00244787535892</v>
      </c>
      <c r="DG114" s="90" t="n">
        <f aca="false">IF(BW114&gt;0,BM114/BW114,0)</f>
        <v>0.480354058621832</v>
      </c>
      <c r="DH114" s="90" t="n">
        <f aca="false">IF(BW114&gt;0,CD114/BW114,0)</f>
        <v>0.21525</v>
      </c>
      <c r="DI114" s="90" t="n">
        <f aca="false">IF(AI114&gt;0,(AI114*IF(K114=3,INDEX(in_sup_vat_rate,1,C114),0)+AV114*BA114+(BC114+BD114)*AV114/AY114+AZ114*AI114/AL114)/AI114,0)</f>
        <v>0.303218326895857</v>
      </c>
      <c r="DJ114" s="90" t="n">
        <f aca="false">IF(AJ114&gt;0,(AJ114*IF(K114=3,INDEX(in_sup_vat_rate,1,C114),0)+AW114*BA114+(BC114+BD114)*AW114/AY114+AZ114*AJ114/AL114)/AJ114,0)</f>
        <v>0.30356406149334</v>
      </c>
      <c r="DK114" s="90" t="n">
        <f aca="false">IF(AK114&gt;0,(AK114*IF(K114=3,INDEX(in_sup_vat_rate,1,C114),0)+AX114*BA114+(BC114+BD114)*AX114/AY114+AZ114*AK114/AL114)/AK114,0)</f>
        <v>0.304465439055422</v>
      </c>
      <c r="DL114" s="90" t="n">
        <f aca="false">IF(Y114&gt;0,(BP114-AI114*(1+DI114))/Y114,0)</f>
        <v>0.230283835272842</v>
      </c>
      <c r="DM114" s="90" t="n">
        <f aca="false">IF(Z114&gt;0,(BQ114-AJ114*(1+DJ114))/Z114,0)</f>
        <v>0.272743363411571</v>
      </c>
      <c r="DN114" s="90" t="n">
        <f aca="false">IF(AA114&gt;0,(BR114-AK114*(1+DK114))/AA114,0)</f>
        <v>0.192100191135999</v>
      </c>
      <c r="DO114" s="86" t="n">
        <f aca="false">IF(Y114&gt;0,(CA114*(1-thr_gm_go)*(1-R114)-DL114)/(1+DI114)*I114/((1+AH114)*J114),"")</f>
        <v>-2.91715909141537</v>
      </c>
      <c r="DP114" s="86" t="n">
        <f aca="false">IF(Z114&gt;0,(CB114*(1-thr_gm_go)*(1-R114)-DM114)/(1+DJ114)*I114/((1+AH114)*J114),"")</f>
        <v>-3.45492099935212</v>
      </c>
      <c r="DQ114" s="86" t="n">
        <f aca="false">IF(AA114&gt;0,(CC114*(1-thr_gm_go)*(1-R114)-DN114)/(1+DK114)*I114/((1+AH114)*J114),"")</f>
        <v>-1.37572739556158</v>
      </c>
      <c r="DR114" s="92" t="n">
        <f aca="false">IF(AND(AY114*INDEX(in_cus_mpf_rate,1,C114)&gt;INDEX(in_cus_mpf_min,1,C114),AY114*INDEX(in_cus_mpf_rate,1,C114)&lt;INDEX(in_cus_mpf_max,1,C114)),INDEX(in_cus_mpf_rate,1,C114),0)</f>
        <v>0.003464</v>
      </c>
      <c r="DS114" s="88" t="n">
        <f aca="false">IF(AZ114&gt;INDEX(in_oce_ins_min,1,C114),INDEX(in_oce_ins_rate,1,C114)*(1+INDEX(in_oce_ins_uplift,1,C114))*AL114,0)</f>
        <v>0</v>
      </c>
      <c r="DT114" s="88" t="n">
        <f aca="false">(AL114+AN114)*(1+BA114+INDEX(in_cus_hmf,1,C114)+DR114)+DS114</f>
        <v>13598.657541382</v>
      </c>
      <c r="DU114" s="86" t="n">
        <f aca="false">IF(DT114&gt;0,(CD114*(1-thr_gm_go)-(BM114-DT114))/DT114,0)</f>
        <v>-0.35083876630595</v>
      </c>
      <c r="DV114" s="86" t="n">
        <f aca="false">IF(DT114&gt;0,(CD114-(BM114-DT114))/DT114,0)</f>
        <v>-0.122904502164976</v>
      </c>
      <c r="DW114" s="87" t="n">
        <f aca="false">(1+AH114)*J114*DU114-1</f>
        <v>-1.38592264293655</v>
      </c>
      <c r="DX114" s="87" t="n">
        <f aca="false">(1+AH114)*J114*DV114-1</f>
        <v>-1.13519495238147</v>
      </c>
      <c r="DY114" s="85" t="n">
        <f aca="false">IF(G114&gt;0,(CD114*(1-thr_gm_go)-(BM114-AT114))/G114,"")</f>
        <v>-13269.5937766175</v>
      </c>
      <c r="DZ114" s="90" t="n">
        <f aca="false">IF(AB114&gt;0,(AL114+AN114+BB114+BC114+BD114)/AB114,0)</f>
        <v>0.227764099670154</v>
      </c>
      <c r="EA114" s="88" t="n">
        <f aca="false">BM114-DZ114*AB114</f>
        <v>14002.5477964082</v>
      </c>
      <c r="EB114" s="90" t="n">
        <f aca="false">IF(AB114&gt;0,CD114/AB114,0)</f>
        <v>0.20664</v>
      </c>
      <c r="EC114" s="85" t="str">
        <f aca="false">IF(EB114*(1-thr_gm_go)-DZ114&gt;0,EA114/(EB114*(1-thr_gm_go)-DZ114),"n/a")</f>
        <v>n/a</v>
      </c>
      <c r="ED114" s="85" t="str">
        <f aca="false">IF(EB114-DZ114&gt;0,EA114/(EB114-DZ114),"n/a")</f>
        <v>n/a</v>
      </c>
      <c r="EE114" s="93" t="b">
        <f aca="false">INDEX(cfg_fits,D114,C114)</f>
        <v>0</v>
      </c>
      <c r="EF114" s="87" t="n">
        <f aca="false">IF(F114=4,"",INDEX(cfg_lenutil,D114,C114))</f>
        <v>1.03302598491199</v>
      </c>
      <c r="EG114" s="31" t="str">
        <f aca="false">IF(O114&gt;1,"Check fit (units scaled up)","")</f>
        <v/>
      </c>
    </row>
    <row r="115" customFormat="false" ht="15" hidden="false" customHeight="false" outlineLevel="0" collapsed="false">
      <c r="A115" s="78" t="n">
        <v>3031</v>
      </c>
      <c r="B115" s="9" t="s">
        <v>3263</v>
      </c>
      <c r="C115" s="78" t="n">
        <v>3</v>
      </c>
      <c r="D115" s="78" t="n">
        <v>3</v>
      </c>
      <c r="E115" s="78" t="n">
        <v>1</v>
      </c>
      <c r="F115" s="79" t="n">
        <f aca="false">INDEX(cfg_ct,D115)</f>
        <v>1</v>
      </c>
      <c r="G115" s="79" t="n">
        <f aca="false">INDEX(cfg_n,D115)</f>
        <v>2</v>
      </c>
      <c r="H115" s="79" t="n">
        <f aca="false">INDEX(dest_port,E115)</f>
        <v>1</v>
      </c>
      <c r="I115" s="80" t="n">
        <f aca="false">INDEX(in_fx_cbe,1,C115)*(1-INDEX(in_fx_spread,1,C115))</f>
        <v>48.265</v>
      </c>
      <c r="J115" s="81" t="n">
        <f aca="false">1</f>
        <v>1</v>
      </c>
      <c r="K115" s="82" t="n">
        <f aca="false">INDEX(in_sup_vat_mode,1,C115)</f>
        <v>3</v>
      </c>
      <c r="L115" s="83" t="n">
        <f aca="false">INDEX(in_cus_s301,1,C115)</f>
        <v>0.125</v>
      </c>
      <c r="M115" s="84" t="n">
        <f aca="false">1</f>
        <v>1</v>
      </c>
      <c r="N115" s="81" t="n">
        <f aca="false">1</f>
        <v>1</v>
      </c>
      <c r="O115" s="81" t="n">
        <f aca="false">1</f>
        <v>1</v>
      </c>
      <c r="P115" s="81" t="n">
        <f aca="false">1</f>
        <v>1</v>
      </c>
      <c r="Q115" s="81" t="n">
        <f aca="false">1</f>
        <v>1</v>
      </c>
      <c r="R115" s="83" t="n">
        <f aca="false">INDEX(in_sel_damage,1,C115)</f>
        <v>0.04</v>
      </c>
      <c r="S115" s="83" t="n">
        <f aca="false">INDEX(in_mkt_dist_margin,1,C115)</f>
        <v>0.3</v>
      </c>
      <c r="T115" s="83" t="n">
        <f aca="false">INDEX(in_mkt_eflute_disc,1,C115)</f>
        <v>0.25</v>
      </c>
      <c r="U115" s="82" t="n">
        <f aca="false">INDEX(in_sel_credit_days,1,C115)</f>
        <v>60</v>
      </c>
      <c r="V115" s="81" t="n">
        <f aca="false">1</f>
        <v>1</v>
      </c>
      <c r="W115" s="83" t="n">
        <f aca="false">INDEX(in_sel_commission,1,C115)</f>
        <v>0.07</v>
      </c>
      <c r="X115" s="82" t="n">
        <f aca="false">1</f>
        <v>1</v>
      </c>
      <c r="Y115" s="85" t="n">
        <f aca="false">INDEX(cfg_u_3464,D115,C115)*O115</f>
        <v>20000</v>
      </c>
      <c r="Z115" s="85" t="n">
        <f aca="false">INDEX(cfg_u_3463,D115,C115)*O115</f>
        <v>20000</v>
      </c>
      <c r="AA115" s="85" t="n">
        <f aca="false">INDEX(cfg_u_3460,D115,C115)*O115</f>
        <v>20000</v>
      </c>
      <c r="AB115" s="85" t="n">
        <f aca="false">Y115+Z115+AA115</f>
        <v>60000</v>
      </c>
      <c r="AC115" s="86" t="n">
        <f aca="false">Y115*INDEX(lg_vpu_3464,C115)</f>
        <v>16.00632</v>
      </c>
      <c r="AD115" s="86" t="n">
        <f aca="false">Z115*INDEX(lg_vpu_3463,C115)</f>
        <v>19.58112</v>
      </c>
      <c r="AE115" s="86" t="n">
        <f aca="false">AA115*INDEX(lg_vpu_3460,C115)</f>
        <v>12.79152</v>
      </c>
      <c r="AF115" s="86" t="n">
        <f aca="false">AC115+AD115+AE115</f>
        <v>48.37896</v>
      </c>
      <c r="AG115" s="85" t="n">
        <f aca="false">Y115*INDEX(lg_kpu_3464,C115)+Z115*INDEX(lg_kpu_3463,C115)+AA115*INDEX(lg_kpu_3460,C115)</f>
        <v>11802.43968</v>
      </c>
      <c r="AH115" s="87" t="n">
        <f aca="false">INDEX(in_sup_requote,1,C115)</f>
        <v>0.1</v>
      </c>
      <c r="AI115" s="88" t="n">
        <f aca="false">Y115*q_price_3464*(1+AH115)*J115/I115</f>
        <v>3812.90790427846</v>
      </c>
      <c r="AJ115" s="88" t="n">
        <f aca="false">Z115*q_price_3463*(1+AH115)*J115/I115</f>
        <v>3600.95307158396</v>
      </c>
      <c r="AK115" s="88" t="n">
        <f aca="false">AA115*q_price_3460*(1+AH115)*J115/I115</f>
        <v>3145.13622707966</v>
      </c>
      <c r="AL115" s="88" t="n">
        <f aca="false">AI115+AJ115+AK115</f>
        <v>10558.9972029421</v>
      </c>
      <c r="AM115" s="88" t="n">
        <f aca="false">IF(OR(K115=2,K115=3),AL115*INDEX(in_sup_vat_rate,1,C115),0)</f>
        <v>1478.25960841189</v>
      </c>
      <c r="AN115" s="88" t="n">
        <f aca="false">IF(K115=3,AM115,0)</f>
        <v>1478.25960841189</v>
      </c>
      <c r="AO115" s="88" t="n">
        <f aca="false">INDEX(in_sup_tooling_egp,1,C115)/I115</f>
        <v>517.973686936704</v>
      </c>
      <c r="AP115" s="88" t="n">
        <f aca="false">IF(F115=4,INDEX(in_ori_lcl_truck,1,C115)*V115/I115+INDEX(in_ori_lcl_cfs_o,1,C115),G115*(IF(F115=1,INDEX(in_ori_truck_20,1,C115),INDEX(in_ori_truck_40,1,C115))*V115/I115+INDEX(in_ori_terminal,1,C115)+IF(F115=1,INDEX(in_ori_othc_20,1,C115),INDEX(in_ori_othc_40,1,C115))*(1-INDEX(in_ori_othc_in_freight,1,C115))+INDEX(in_ori_seal,1,C115)+INDEX(in_ori_inspection,1,C115)+INDEX(in_ori_dd_days,1,C115)*IF(F115=1,INDEX(in_ori_dd_20,1,C115),INDEX(in_ori_dd_40,1,C115))+INDEX(in_ori_loading_egp,1,C115)/I115))</f>
        <v>1354.28737180151</v>
      </c>
      <c r="AQ115" s="88" t="n">
        <f aca="false">(INDEX(in_ori_clearance,1,C115)+INDEX(in_ori_coo,1,C115))/I115+INDEX(in_ori_bl_fee,1,C115)+INDEX(in_ori_fwd_fee,1,C115)+INDEX(in_ori_qc,1,C115)+INDEX(in_ori_wires,1,C115)*INDEX(in_ori_wire_fee,1,C115)</f>
        <v>1167.90842225215</v>
      </c>
      <c r="AR115" s="88" t="n">
        <f aca="false">AP115+AQ115</f>
        <v>2522.19579405366</v>
      </c>
      <c r="AS115" s="85" t="n">
        <f aca="false">INDEX(tbl_port_diff,H115,C115)</f>
        <v>0</v>
      </c>
      <c r="AT115" s="88" t="n">
        <f aca="false">IF(F115=4,MAX(AF115*INDEX(in_oce_lcl_factor,1,C115),AG115/1000,1)*INDEX(in_oce_lcl_rate,1,C115)*M115,G115*(INDEX(tbl_ocean_rate,MIN(F115,3),C115)+AS115)*M115)</f>
        <v>7800</v>
      </c>
      <c r="AU115" s="88" t="n">
        <f aca="false">AT115+INDEX(in_oce_ams,1,C115)</f>
        <v>7845</v>
      </c>
      <c r="AV115" s="88" t="n">
        <f aca="false">AI115*(1+IF(K115=3,INDEX(in_sup_vat_rate,1,C115),0))+AO115*Y115/AB115</f>
        <v>4519.37290652302</v>
      </c>
      <c r="AW115" s="88" t="n">
        <f aca="false">AJ115*(1+IF(K115=3,INDEX(in_sup_vat_rate,1,C115),0))+AO115*Z115/AB115</f>
        <v>4277.74439725129</v>
      </c>
      <c r="AX115" s="88" t="n">
        <f aca="false">AK115*(1+IF(K115=3,INDEX(in_sup_vat_rate,1,C115),0))+AO115*AA115/AB115</f>
        <v>3758.11319451639</v>
      </c>
      <c r="AY115" s="88" t="n">
        <f aca="false">AV115+AW115+AX115</f>
        <v>12555.2304982907</v>
      </c>
      <c r="AZ115" s="88" t="n">
        <f aca="false">MAX(INDEX(in_oce_ins_min,1,C115),INDEX(in_oce_ins_rate,1,C115)*(1+INDEX(in_oce_ins_uplift,1,C115))*(AL115+AO115+AR115+AU115))*(1-INDEX(in_oce_ins_in_other,1,C115))</f>
        <v>100</v>
      </c>
      <c r="BA115" s="87" t="n">
        <f aca="false">INDEX(in_cus_mfn,1,C115)+L115</f>
        <v>0.125</v>
      </c>
      <c r="BB115" s="88" t="n">
        <f aca="false">AY115*BA115</f>
        <v>1569.40381228634</v>
      </c>
      <c r="BC115" s="88" t="n">
        <f aca="false">MIN(MAX(AY115*INDEX(in_cus_mpf_rate,1,C115),INDEX(in_cus_mpf_min,1,C115)),INDEX(in_cus_mpf_max,1,C115))</f>
        <v>43.4913184460789</v>
      </c>
      <c r="BD115" s="88" t="n">
        <f aca="false">AY115*INDEX(in_cus_hmf,1,C115)</f>
        <v>15.6940381228634</v>
      </c>
      <c r="BE115" s="88" t="n">
        <f aca="false">MAX(INDEX(in_cus_stb_min,1,C115),INDEX(in_cus_stb_rate,1,C115)/1000*(AY115+BB115+BC115+BD115))</f>
        <v>99.2867376700218</v>
      </c>
      <c r="BF115" s="88" t="n">
        <f aca="false">INDEX(in_cus_broker,1,C115)+INDEX(in_cus_isf,1,C115)+INDEX(in_cus_do_fee,1,C115)+BE115+INDEX(in_cus_isf_bond,1,C115)</f>
        <v>724.286737670022</v>
      </c>
      <c r="BG115" s="88" t="n">
        <f aca="false">IF(H115=1,INDEX(in_cus_cfc,1,C115)*INDEX(ct_teu,F115)*G115*(1-INDEX(in_cus_cfc_in_freight,1,C115)),0)</f>
        <v>29.6</v>
      </c>
      <c r="BH115" s="88" t="n">
        <f aca="false">IF(F115=4,1,G115)*(INDEX(in_cus_exam,1,C115)+INDEX(in_cus_exam_dray,1,C115))</f>
        <v>1200</v>
      </c>
      <c r="BI115" s="88" t="n">
        <f aca="false">IF(F115=4,1,G115)*INDEX(in_cus_dem_days,1,C115)*INDEX(in_cus_dem_rate,1,C115)</f>
        <v>1500</v>
      </c>
      <c r="BJ115" s="88" t="n">
        <f aca="false">BG115+BH115+BI115</f>
        <v>2729.6</v>
      </c>
      <c r="BK115" s="88" t="n">
        <f aca="false">IF(F115=4,(INDEX(in_dra_lcl_cfs_d,1,C115)+INDEX(in_dra_lcl_deliv,1,C115))*P115,G115*(INDEX(tbl_dest_line,E115,C115)*P115*(1+INDEX(in_dra_fsc,1,C115))+INDEX(tbl_dest_tolls,E115,C115)+INDEX(in_dra_chassis_days,1,C115)*INDEX(tbl_dest_chassis,E115,C115)*(1-INDEX(in_dra_chassis_in_dray,1,C115))+INDEX(in_dra_wait_hours,1,C115)*INDEX(in_dra_wait_rate,1,C115)+INDEX(in_dra_split,1,C115)+INDEX(in_dra_prepull,1,C115)+INDEX(in_dra_dryrun,1,C115)))</f>
        <v>4560</v>
      </c>
      <c r="BL115" s="88" t="n">
        <f aca="false">IF(F115=4,0,G115*IF(F115=1,INDEX(in_dra_unload_20,1,C115),INDEX(in_dra_unload_40,1,C115))*Q115*(1-INDEX(in_dra_unload_in_dray,1,C115)))</f>
        <v>900</v>
      </c>
      <c r="BM115" s="88" t="n">
        <f aca="false">AL115+AN115+AO115+AR115+AU115+AZ115+BB115+BC115+BD115+BF115+BJ115+BK115+BL115</f>
        <v>33564.9021988697</v>
      </c>
      <c r="BN115" s="88" t="n">
        <f aca="false">AP115+AU115+BJ115+BK115+BL115</f>
        <v>17388.8873718015</v>
      </c>
      <c r="BO115" s="88" t="n">
        <f aca="false">AQ115+BF115</f>
        <v>1892.19515992217</v>
      </c>
      <c r="BP115" s="88" t="n">
        <f aca="false">AI115*(1+IF(K115=3,INDEX(in_sup_vat_rate,1,C115),0))+AO115*Y115/AB115+AV115*BA115+(BC115+BD115)*AV115/AY115+AZ115*AI115/AL115+BN115*AC115/AF115+BO115*Y115/AB115</f>
        <v>11525.6051721342</v>
      </c>
      <c r="BQ115" s="88" t="n">
        <f aca="false">AJ115*(1+IF(K115=3,INDEX(in_sup_vat_rate,1,C115),0))+AO115*Z115/AB115+AW115*BA115+(BC115+BD115)*AW115/AY115+AZ115*AJ115/AL115+BN115*AD115/AF115+BO115*Z115/AB115</f>
        <v>12535.5198793052</v>
      </c>
      <c r="BR115" s="88" t="n">
        <f aca="false">AK115*(1+IF(K115=3,INDEX(in_sup_vat_rate,1,C115),0))+AO115*AA115/AB115+AX115*BA115+(BC115+BD115)*AX115/AY115+AZ115*AK115/AL115+BN115*AE115/AF115+BO115*AA115/AB115</f>
        <v>9503.77714743024</v>
      </c>
      <c r="BS115" s="89" t="n">
        <f aca="false">BP115+BQ115+BR115-BM115</f>
        <v>0</v>
      </c>
      <c r="BT115" s="85" t="n">
        <f aca="false">Y115*(1-R115)</f>
        <v>19200</v>
      </c>
      <c r="BU115" s="85" t="n">
        <f aca="false">Z115*(1-R115)</f>
        <v>19200</v>
      </c>
      <c r="BV115" s="85" t="n">
        <f aca="false">AA115*(1-R115)</f>
        <v>19200</v>
      </c>
      <c r="BW115" s="85" t="n">
        <f aca="false">BT115+BU115+BV115</f>
        <v>57600</v>
      </c>
      <c r="BX115" s="90" t="n">
        <f aca="false">IF(BT115&gt;0,BP115/BT115,0)</f>
        <v>0.600291936048657</v>
      </c>
      <c r="BY115" s="90" t="n">
        <f aca="false">IF(BU115&gt;0,BQ115/BU115,0)</f>
        <v>0.652891660380479</v>
      </c>
      <c r="BZ115" s="90" t="n">
        <f aca="false">IF(BV115&gt;0,BR115/BV115,0)</f>
        <v>0.494988393095325</v>
      </c>
      <c r="CA115" s="90" t="n">
        <f aca="false">INDEX(in_mkt_listing_3464,1,C115)*(1-IF(sku_flute_3464="B",T115,0))*(1-S115)*N115</f>
        <v>0.1995</v>
      </c>
      <c r="CB115" s="90" t="n">
        <f aca="false">INDEX(in_mkt_listing_3463,1,C115)*(1-IF(sku_flute_3463="B",T115,0))*(1-S115)*N115</f>
        <v>0.23625</v>
      </c>
      <c r="CC115" s="90" t="n">
        <f aca="false">INDEX(in_mkt_listing_3460,1,C115)*(1-IF(sku_flute_3460="B",T115,0))*(1-S115)*N115</f>
        <v>0.21</v>
      </c>
      <c r="CD115" s="88" t="n">
        <f aca="false">BT115*CA115+BU115*CB115+BV115*CC115</f>
        <v>12398.4</v>
      </c>
      <c r="CE115" s="88" t="n">
        <f aca="false">CD115-BM115</f>
        <v>-21166.5021988696</v>
      </c>
      <c r="CF115" s="87" t="n">
        <f aca="false">IF(CD115&gt;0,CE115/CD115,0)</f>
        <v>-1.70719626716912</v>
      </c>
      <c r="CG115" s="87" t="n">
        <f aca="false">W115+INDEX(in_sel_processing,1,C115)+INDEX(in_sel_bad_debt,1,C115)</f>
        <v>0.095</v>
      </c>
      <c r="CH115" s="88" t="n">
        <f aca="false">CD115*CG115</f>
        <v>1177.848</v>
      </c>
      <c r="CI115" s="88" t="n">
        <f aca="false">INDEX(in_sel_testing,1,C115)*X115+INDEX(in_sel_admin,1,C115)</f>
        <v>4750</v>
      </c>
      <c r="CJ115" s="79" t="n">
        <f aca="false">INDEX(in_sup_lead_days,1,C115)</f>
        <v>35</v>
      </c>
      <c r="CK115" s="79" t="n">
        <f aca="false">CJ115+INDEX(in_oce_transit,1,C115)+IF(F115=4,INDEX(in_oce_lcl_extra_days,1,C115),0)</f>
        <v>73</v>
      </c>
      <c r="CL115" s="79" t="n">
        <f aca="false">CK115+2+INDEX(in_cus_dem_days,1,C115)</f>
        <v>78</v>
      </c>
      <c r="CM115" s="79" t="n">
        <f aca="false">CL115+U115</f>
        <v>138</v>
      </c>
      <c r="CN115" s="79" t="n">
        <f aca="false">CJ115+INDEX(in_sup_vat_lag,1,C115)</f>
        <v>215</v>
      </c>
      <c r="CO115" s="91" t="n">
        <f aca="false">INDEX(in_sup_advance,1,C115)</f>
        <v>0.5</v>
      </c>
      <c r="CP115" s="88" t="n">
        <f aca="false">CO115*(AL115+AM115)+AO115+INDEX(in_sel_testing,1,C115)*X115</f>
        <v>10536.6020926137</v>
      </c>
      <c r="CQ115" s="88" t="n">
        <f aca="false">(1-CO115)*(AL115+AM115)+AR115+AU115+AZ115</f>
        <v>16485.8241997307</v>
      </c>
      <c r="CR115" s="88" t="n">
        <f aca="false">BB115+BC115+BD115+BF115+BJ115</f>
        <v>5082.4759065253</v>
      </c>
      <c r="CS115" s="88" t="n">
        <f aca="false">BK115+BL115</f>
        <v>5460</v>
      </c>
      <c r="CT115" s="88" t="n">
        <f aca="false">IF(K115=2,AM115,0)</f>
        <v>0</v>
      </c>
      <c r="CU115" s="85" t="n">
        <f aca="false">IF(K115=2,CO115*AM115*(CN115-0)+(1-CO115)*AM115*(CN115-CJ115),0)</f>
        <v>0</v>
      </c>
      <c r="CV115" s="85" t="n">
        <f aca="false">(CP115-CO115*CT115)*(CM115-0)+(CQ115-(1-CO115)*CT115)*(CM115-CJ115)+CR115*(CM115-CK115)+CS115*(CM115-CL115)</f>
        <v>3810051.91527709</v>
      </c>
      <c r="CW115" s="88" t="n">
        <f aca="false">INDEX(in_sel_fin_rate,1,C115)/365*(CU115+CV115)</f>
        <v>1461.38977572272</v>
      </c>
      <c r="CX115" s="85" t="n">
        <f aca="false">CP115-IF(CN115&lt;=0,CT115,0)</f>
        <v>10536.6020926137</v>
      </c>
      <c r="CY115" s="85" t="n">
        <f aca="false">CP115+CQ115-IF(CN115&lt;=CJ115,CT115,0)</f>
        <v>27022.4262923444</v>
      </c>
      <c r="CZ115" s="85" t="n">
        <f aca="false">CP115+CQ115+CR115-IF(CN115&lt;=CK115,CT115,0)</f>
        <v>32104.9021988696</v>
      </c>
      <c r="DA115" s="85" t="n">
        <f aca="false">CP115+CQ115+CR115+CS115-IF(CN115&lt;=CL115,CT115,0)</f>
        <v>37564.9021988697</v>
      </c>
      <c r="DB115" s="88" t="n">
        <f aca="false">MAX(CX115,CY115,CZ115,DA115)</f>
        <v>37564.9021988697</v>
      </c>
      <c r="DC115" s="88" t="n">
        <f aca="false">CP115+CQ115+CR115+CS115</f>
        <v>37564.9021988697</v>
      </c>
      <c r="DD115" s="88" t="n">
        <f aca="false">CE115-CH115-CI115-CW115</f>
        <v>-28555.7399745924</v>
      </c>
      <c r="DE115" s="87" t="n">
        <f aca="false">IF(CD115&gt;0,DD115/CD115,0)</f>
        <v>-2.30317944045944</v>
      </c>
      <c r="DF115" s="86" t="n">
        <f aca="false">IF(CD115&gt;0,(BM115+CI115+CW115)/(CD115*(1-CG115)),0)</f>
        <v>3.54494965796624</v>
      </c>
      <c r="DG115" s="90" t="n">
        <f aca="false">IF(BW115&gt;0,BM115/BW115,0)</f>
        <v>0.582723996508154</v>
      </c>
      <c r="DH115" s="90" t="n">
        <f aca="false">IF(BW115&gt;0,CD115/BW115,0)</f>
        <v>0.21525</v>
      </c>
      <c r="DI115" s="90" t="n">
        <f aca="false">IF(AI115&gt;0,(AI115*IF(K115=3,INDEX(in_sup_vat_rate,1,C115),0)+AV115*BA115+(BC115+BD115)*AV115/AY115+AZ115*AI115/AL115)/AI115,0)</f>
        <v>0.303218326895857</v>
      </c>
      <c r="DJ115" s="90" t="n">
        <f aca="false">IF(AJ115&gt;0,(AJ115*IF(K115=3,INDEX(in_sup_vat_rate,1,C115),0)+AW115*BA115+(BC115+BD115)*AW115/AY115+AZ115*AJ115/AL115)/AJ115,0)</f>
        <v>0.30356406149334</v>
      </c>
      <c r="DK115" s="90" t="n">
        <f aca="false">IF(AK115&gt;0,(AK115*IF(K115=3,INDEX(in_sup_vat_rate,1,C115),0)+AX115*BA115+(BC115+BD115)*AX115/AY115+AZ115*AK115/AL115)/AK115,0)</f>
        <v>0.304465439055422</v>
      </c>
      <c r="DL115" s="90" t="n">
        <f aca="false">IF(Y115&gt;0,(BP115-AI115*(1+DI115))/Y115,0)</f>
        <v>0.327827685625622</v>
      </c>
      <c r="DM115" s="90" t="n">
        <f aca="false">IF(Z115&gt;0,(BQ115-AJ115*(1+DJ115))/Z115,0)</f>
        <v>0.392072343403214</v>
      </c>
      <c r="DN115" s="90" t="n">
        <f aca="false">IF(AA115&gt;0,(BR115-AK115*(1+DK115))/AA115,0)</f>
        <v>0.270052781904183</v>
      </c>
      <c r="DO115" s="86" t="n">
        <f aca="false">IF(Y115&gt;0,(CA115*(1-thr_gm_go)*(1-R115)-DL115)/(1+DI115)*I115/((1+AH115)*J115),"")</f>
        <v>-6.20130422386734</v>
      </c>
      <c r="DP115" s="86" t="n">
        <f aca="false">IF(Z115&gt;0,(CB115*(1-thr_gm_go)*(1-R115)-DM115)/(1+DJ115)*I115/((1+AH115)*J115),"")</f>
        <v>-7.47147097493408</v>
      </c>
      <c r="DQ115" s="86" t="n">
        <f aca="false">IF(AA115&gt;0,(CC115*(1-thr_gm_go)*(1-R115)-DN115)/(1+DK115)*I115/((1+AH115)*J115),"")</f>
        <v>-3.99775706574571</v>
      </c>
      <c r="DR115" s="92" t="n">
        <f aca="false">IF(AND(AY115*INDEX(in_cus_mpf_rate,1,C115)&gt;INDEX(in_cus_mpf_min,1,C115),AY115*INDEX(in_cus_mpf_rate,1,C115)&lt;INDEX(in_cus_mpf_max,1,C115)),INDEX(in_cus_mpf_rate,1,C115),0)</f>
        <v>0.003464</v>
      </c>
      <c r="DS115" s="88" t="n">
        <f aca="false">IF(AZ115&gt;INDEX(in_oce_ins_min,1,C115),INDEX(in_oce_ins_rate,1,C115)*(1+INDEX(in_oce_ins_uplift,1,C115))*AL115,0)</f>
        <v>0</v>
      </c>
      <c r="DT115" s="88" t="n">
        <f aca="false">(AL115+AN115)*(1+BA115+INDEX(in_cus_hmf,1,C115)+DR115)+DS115</f>
        <v>13598.657541382</v>
      </c>
      <c r="DU115" s="86" t="n">
        <f aca="false">IF(DT115&gt;0,(CD115*(1-thr_gm_go)-(BM115-DT115))/DT115,0)</f>
        <v>-0.784448363746619</v>
      </c>
      <c r="DV115" s="86" t="n">
        <f aca="false">IF(DT115&gt;0,(CD115-(BM115-DT115))/DT115,0)</f>
        <v>-0.556514099605645</v>
      </c>
      <c r="DW115" s="87" t="n">
        <f aca="false">(1+AH115)*J115*DU115-1</f>
        <v>-1.86289320012128</v>
      </c>
      <c r="DX115" s="87" t="n">
        <f aca="false">(1+AH115)*J115*DV115-1</f>
        <v>-1.61216550956621</v>
      </c>
      <c r="DY115" s="85" t="n">
        <f aca="false">IF(G115&gt;0,(CD115*(1-thr_gm_go)-(BM115-AT115))/G115,"")</f>
        <v>-8233.05109943482</v>
      </c>
      <c r="DZ115" s="90" t="n">
        <f aca="false">IF(AB115&gt;0,(AL115+AN115+BB115+BC115+BD115)/AB115,0)</f>
        <v>0.227764099670154</v>
      </c>
      <c r="EA115" s="88" t="n">
        <f aca="false">BM115-DZ115*AB115</f>
        <v>19899.0562186604</v>
      </c>
      <c r="EB115" s="90" t="n">
        <f aca="false">IF(AB115&gt;0,CD115/AB115,0)</f>
        <v>0.20664</v>
      </c>
      <c r="EC115" s="85" t="str">
        <f aca="false">IF(EB115*(1-thr_gm_go)-DZ115&gt;0,EA115/(EB115*(1-thr_gm_go)-DZ115),"n/a")</f>
        <v>n/a</v>
      </c>
      <c r="ED115" s="85" t="str">
        <f aca="false">IF(EB115-DZ115&gt;0,EA115/(EB115-DZ115),"n/a")</f>
        <v>n/a</v>
      </c>
      <c r="EE115" s="93" t="b">
        <f aca="false">INDEX(cfg_fits,D115,C115)</f>
        <v>0</v>
      </c>
      <c r="EF115" s="87" t="n">
        <f aca="false">IF(F115=4,"",INDEX(cfg_lenutil,D115,C115))</f>
        <v>1.14827586206897</v>
      </c>
      <c r="EG115" s="31" t="str">
        <f aca="false">IF(O115&gt;1,"Check fit (units scaled up)","")</f>
        <v/>
      </c>
    </row>
    <row r="116" customFormat="false" ht="15" hidden="false" customHeight="false" outlineLevel="0" collapsed="false">
      <c r="A116" s="78" t="n">
        <v>3032</v>
      </c>
      <c r="B116" s="9" t="s">
        <v>3264</v>
      </c>
      <c r="C116" s="78" t="n">
        <v>3</v>
      </c>
      <c r="D116" s="78" t="n">
        <v>3</v>
      </c>
      <c r="E116" s="78" t="n">
        <v>2</v>
      </c>
      <c r="F116" s="79" t="n">
        <f aca="false">INDEX(cfg_ct,D116)</f>
        <v>1</v>
      </c>
      <c r="G116" s="79" t="n">
        <f aca="false">INDEX(cfg_n,D116)</f>
        <v>2</v>
      </c>
      <c r="H116" s="79" t="n">
        <f aca="false">INDEX(dest_port,E116)</f>
        <v>1</v>
      </c>
      <c r="I116" s="80" t="n">
        <f aca="false">INDEX(in_fx_cbe,1,C116)*(1-INDEX(in_fx_spread,1,C116))</f>
        <v>48.265</v>
      </c>
      <c r="J116" s="81" t="n">
        <f aca="false">1</f>
        <v>1</v>
      </c>
      <c r="K116" s="82" t="n">
        <f aca="false">INDEX(in_sup_vat_mode,1,C116)</f>
        <v>3</v>
      </c>
      <c r="L116" s="83" t="n">
        <f aca="false">INDEX(in_cus_s301,1,C116)</f>
        <v>0.125</v>
      </c>
      <c r="M116" s="84" t="n">
        <f aca="false">1</f>
        <v>1</v>
      </c>
      <c r="N116" s="81" t="n">
        <f aca="false">1</f>
        <v>1</v>
      </c>
      <c r="O116" s="81" t="n">
        <f aca="false">1</f>
        <v>1</v>
      </c>
      <c r="P116" s="81" t="n">
        <f aca="false">1</f>
        <v>1</v>
      </c>
      <c r="Q116" s="81" t="n">
        <f aca="false">1</f>
        <v>1</v>
      </c>
      <c r="R116" s="83" t="n">
        <f aca="false">INDEX(in_sel_damage,1,C116)</f>
        <v>0.04</v>
      </c>
      <c r="S116" s="83" t="n">
        <f aca="false">INDEX(in_mkt_dist_margin,1,C116)</f>
        <v>0.3</v>
      </c>
      <c r="T116" s="83" t="n">
        <f aca="false">INDEX(in_mkt_eflute_disc,1,C116)</f>
        <v>0.25</v>
      </c>
      <c r="U116" s="82" t="n">
        <f aca="false">INDEX(in_sel_credit_days,1,C116)</f>
        <v>60</v>
      </c>
      <c r="V116" s="81" t="n">
        <f aca="false">1</f>
        <v>1</v>
      </c>
      <c r="W116" s="83" t="n">
        <f aca="false">INDEX(in_sel_commission,1,C116)</f>
        <v>0.07</v>
      </c>
      <c r="X116" s="82" t="n">
        <f aca="false">1</f>
        <v>1</v>
      </c>
      <c r="Y116" s="85" t="n">
        <f aca="false">INDEX(cfg_u_3464,D116,C116)*O116</f>
        <v>20000</v>
      </c>
      <c r="Z116" s="85" t="n">
        <f aca="false">INDEX(cfg_u_3463,D116,C116)*O116</f>
        <v>20000</v>
      </c>
      <c r="AA116" s="85" t="n">
        <f aca="false">INDEX(cfg_u_3460,D116,C116)*O116</f>
        <v>20000</v>
      </c>
      <c r="AB116" s="85" t="n">
        <f aca="false">Y116+Z116+AA116</f>
        <v>60000</v>
      </c>
      <c r="AC116" s="86" t="n">
        <f aca="false">Y116*INDEX(lg_vpu_3464,C116)</f>
        <v>16.00632</v>
      </c>
      <c r="AD116" s="86" t="n">
        <f aca="false">Z116*INDEX(lg_vpu_3463,C116)</f>
        <v>19.58112</v>
      </c>
      <c r="AE116" s="86" t="n">
        <f aca="false">AA116*INDEX(lg_vpu_3460,C116)</f>
        <v>12.79152</v>
      </c>
      <c r="AF116" s="86" t="n">
        <f aca="false">AC116+AD116+AE116</f>
        <v>48.37896</v>
      </c>
      <c r="AG116" s="85" t="n">
        <f aca="false">Y116*INDEX(lg_kpu_3464,C116)+Z116*INDEX(lg_kpu_3463,C116)+AA116*INDEX(lg_kpu_3460,C116)</f>
        <v>11802.43968</v>
      </c>
      <c r="AH116" s="87" t="n">
        <f aca="false">INDEX(in_sup_requote,1,C116)</f>
        <v>0.1</v>
      </c>
      <c r="AI116" s="88" t="n">
        <f aca="false">Y116*q_price_3464*(1+AH116)*J116/I116</f>
        <v>3812.90790427846</v>
      </c>
      <c r="AJ116" s="88" t="n">
        <f aca="false">Z116*q_price_3463*(1+AH116)*J116/I116</f>
        <v>3600.95307158396</v>
      </c>
      <c r="AK116" s="88" t="n">
        <f aca="false">AA116*q_price_3460*(1+AH116)*J116/I116</f>
        <v>3145.13622707966</v>
      </c>
      <c r="AL116" s="88" t="n">
        <f aca="false">AI116+AJ116+AK116</f>
        <v>10558.9972029421</v>
      </c>
      <c r="AM116" s="88" t="n">
        <f aca="false">IF(OR(K116=2,K116=3),AL116*INDEX(in_sup_vat_rate,1,C116),0)</f>
        <v>1478.25960841189</v>
      </c>
      <c r="AN116" s="88" t="n">
        <f aca="false">IF(K116=3,AM116,0)</f>
        <v>1478.25960841189</v>
      </c>
      <c r="AO116" s="88" t="n">
        <f aca="false">INDEX(in_sup_tooling_egp,1,C116)/I116</f>
        <v>517.973686936704</v>
      </c>
      <c r="AP116" s="88" t="n">
        <f aca="false">IF(F116=4,INDEX(in_ori_lcl_truck,1,C116)*V116/I116+INDEX(in_ori_lcl_cfs_o,1,C116),G116*(IF(F116=1,INDEX(in_ori_truck_20,1,C116),INDEX(in_ori_truck_40,1,C116))*V116/I116+INDEX(in_ori_terminal,1,C116)+IF(F116=1,INDEX(in_ori_othc_20,1,C116),INDEX(in_ori_othc_40,1,C116))*(1-INDEX(in_ori_othc_in_freight,1,C116))+INDEX(in_ori_seal,1,C116)+INDEX(in_ori_inspection,1,C116)+INDEX(in_ori_dd_days,1,C116)*IF(F116=1,INDEX(in_ori_dd_20,1,C116),INDEX(in_ori_dd_40,1,C116))+INDEX(in_ori_loading_egp,1,C116)/I116))</f>
        <v>1354.28737180151</v>
      </c>
      <c r="AQ116" s="88" t="n">
        <f aca="false">(INDEX(in_ori_clearance,1,C116)+INDEX(in_ori_coo,1,C116))/I116+INDEX(in_ori_bl_fee,1,C116)+INDEX(in_ori_fwd_fee,1,C116)+INDEX(in_ori_qc,1,C116)+INDEX(in_ori_wires,1,C116)*INDEX(in_ori_wire_fee,1,C116)</f>
        <v>1167.90842225215</v>
      </c>
      <c r="AR116" s="88" t="n">
        <f aca="false">AP116+AQ116</f>
        <v>2522.19579405366</v>
      </c>
      <c r="AS116" s="85" t="n">
        <f aca="false">INDEX(tbl_port_diff,H116,C116)</f>
        <v>0</v>
      </c>
      <c r="AT116" s="88" t="n">
        <f aca="false">IF(F116=4,MAX(AF116*INDEX(in_oce_lcl_factor,1,C116),AG116/1000,1)*INDEX(in_oce_lcl_rate,1,C116)*M116,G116*(INDEX(tbl_ocean_rate,MIN(F116,3),C116)+AS116)*M116)</f>
        <v>7800</v>
      </c>
      <c r="AU116" s="88" t="n">
        <f aca="false">AT116+INDEX(in_oce_ams,1,C116)</f>
        <v>7845</v>
      </c>
      <c r="AV116" s="88" t="n">
        <f aca="false">AI116*(1+IF(K116=3,INDEX(in_sup_vat_rate,1,C116),0))+AO116*Y116/AB116</f>
        <v>4519.37290652302</v>
      </c>
      <c r="AW116" s="88" t="n">
        <f aca="false">AJ116*(1+IF(K116=3,INDEX(in_sup_vat_rate,1,C116),0))+AO116*Z116/AB116</f>
        <v>4277.74439725129</v>
      </c>
      <c r="AX116" s="88" t="n">
        <f aca="false">AK116*(1+IF(K116=3,INDEX(in_sup_vat_rate,1,C116),0))+AO116*AA116/AB116</f>
        <v>3758.11319451639</v>
      </c>
      <c r="AY116" s="88" t="n">
        <f aca="false">AV116+AW116+AX116</f>
        <v>12555.2304982907</v>
      </c>
      <c r="AZ116" s="88" t="n">
        <f aca="false">MAX(INDEX(in_oce_ins_min,1,C116),INDEX(in_oce_ins_rate,1,C116)*(1+INDEX(in_oce_ins_uplift,1,C116))*(AL116+AO116+AR116+AU116))*(1-INDEX(in_oce_ins_in_other,1,C116))</f>
        <v>100</v>
      </c>
      <c r="BA116" s="87" t="n">
        <f aca="false">INDEX(in_cus_mfn,1,C116)+L116</f>
        <v>0.125</v>
      </c>
      <c r="BB116" s="88" t="n">
        <f aca="false">AY116*BA116</f>
        <v>1569.40381228634</v>
      </c>
      <c r="BC116" s="88" t="n">
        <f aca="false">MIN(MAX(AY116*INDEX(in_cus_mpf_rate,1,C116),INDEX(in_cus_mpf_min,1,C116)),INDEX(in_cus_mpf_max,1,C116))</f>
        <v>43.4913184460789</v>
      </c>
      <c r="BD116" s="88" t="n">
        <f aca="false">AY116*INDEX(in_cus_hmf,1,C116)</f>
        <v>15.6940381228634</v>
      </c>
      <c r="BE116" s="88" t="n">
        <f aca="false">MAX(INDEX(in_cus_stb_min,1,C116),INDEX(in_cus_stb_rate,1,C116)/1000*(AY116+BB116+BC116+BD116))</f>
        <v>99.2867376700218</v>
      </c>
      <c r="BF116" s="88" t="n">
        <f aca="false">INDEX(in_cus_broker,1,C116)+INDEX(in_cus_isf,1,C116)+INDEX(in_cus_do_fee,1,C116)+BE116+INDEX(in_cus_isf_bond,1,C116)</f>
        <v>724.286737670022</v>
      </c>
      <c r="BG116" s="88" t="n">
        <f aca="false">IF(H116=1,INDEX(in_cus_cfc,1,C116)*INDEX(ct_teu,F116)*G116*(1-INDEX(in_cus_cfc_in_freight,1,C116)),0)</f>
        <v>29.6</v>
      </c>
      <c r="BH116" s="88" t="n">
        <f aca="false">IF(F116=4,1,G116)*(INDEX(in_cus_exam,1,C116)+INDEX(in_cus_exam_dray,1,C116))</f>
        <v>1200</v>
      </c>
      <c r="BI116" s="88" t="n">
        <f aca="false">IF(F116=4,1,G116)*INDEX(in_cus_dem_days,1,C116)*INDEX(in_cus_dem_rate,1,C116)</f>
        <v>1500</v>
      </c>
      <c r="BJ116" s="88" t="n">
        <f aca="false">BG116+BH116+BI116</f>
        <v>2729.6</v>
      </c>
      <c r="BK116" s="88" t="n">
        <f aca="false">IF(F116=4,(INDEX(in_dra_lcl_cfs_d,1,C116)+INDEX(in_dra_lcl_deliv,1,C116))*P116,G116*(INDEX(tbl_dest_line,E116,C116)*P116*(1+INDEX(in_dra_fsc,1,C116))+INDEX(tbl_dest_tolls,E116,C116)+INDEX(in_dra_chassis_days,1,C116)*INDEX(tbl_dest_chassis,E116,C116)*(1-INDEX(in_dra_chassis_in_dray,1,C116))+INDEX(in_dra_wait_hours,1,C116)*INDEX(in_dra_wait_rate,1,C116)+INDEX(in_dra_split,1,C116)+INDEX(in_dra_prepull,1,C116)+INDEX(in_dra_dryrun,1,C116)))</f>
        <v>5320</v>
      </c>
      <c r="BL116" s="88" t="n">
        <f aca="false">IF(F116=4,0,G116*IF(F116=1,INDEX(in_dra_unload_20,1,C116),INDEX(in_dra_unload_40,1,C116))*Q116*(1-INDEX(in_dra_unload_in_dray,1,C116)))</f>
        <v>900</v>
      </c>
      <c r="BM116" s="88" t="n">
        <f aca="false">AL116+AN116+AO116+AR116+AU116+AZ116+BB116+BC116+BD116+BF116+BJ116+BK116+BL116</f>
        <v>34324.9021988697</v>
      </c>
      <c r="BN116" s="88" t="n">
        <f aca="false">AP116+AU116+BJ116+BK116+BL116</f>
        <v>18148.8873718015</v>
      </c>
      <c r="BO116" s="88" t="n">
        <f aca="false">AQ116+BF116</f>
        <v>1892.19515992217</v>
      </c>
      <c r="BP116" s="88" t="n">
        <f aca="false">AI116*(1+IF(K116=3,INDEX(in_sup_vat_rate,1,C116),0))+AO116*Y116/AB116+AV116*BA116+(BC116+BD116)*AV116/AY116+AZ116*AI116/AL116+BN116*AC116/AF116+BO116*Y116/AB116</f>
        <v>11777.0533884663</v>
      </c>
      <c r="BQ116" s="88" t="n">
        <f aca="false">AJ116*(1+IF(K116=3,INDEX(in_sup_vat_rate,1,C116),0))+AO116*Z116/AB116+AW116*BA116+(BC116+BD116)*AW116/AY116+AZ116*AJ116/AL116+BN116*AD116/AF116+BO116*Z116/AB116</f>
        <v>12843.1257311052</v>
      </c>
      <c r="BR116" s="88" t="n">
        <f aca="false">AK116*(1+IF(K116=3,INDEX(in_sup_vat_rate,1,C116),0))+AO116*AA116/AB116+AX116*BA116+(BC116+BD116)*AX116/AY116+AZ116*AK116/AL116+BN116*AE116/AF116+BO116*AA116/AB116</f>
        <v>9704.72307929815</v>
      </c>
      <c r="BS116" s="89" t="n">
        <f aca="false">BP116+BQ116+BR116-BM116</f>
        <v>0</v>
      </c>
      <c r="BT116" s="85" t="n">
        <f aca="false">Y116*(1-R116)</f>
        <v>19200</v>
      </c>
      <c r="BU116" s="85" t="n">
        <f aca="false">Z116*(1-R116)</f>
        <v>19200</v>
      </c>
      <c r="BV116" s="85" t="n">
        <f aca="false">AA116*(1-R116)</f>
        <v>19200</v>
      </c>
      <c r="BW116" s="85" t="n">
        <f aca="false">BT116+BU116+BV116</f>
        <v>57600</v>
      </c>
      <c r="BX116" s="90" t="n">
        <f aca="false">IF(BT116&gt;0,BP116/BT116,0)</f>
        <v>0.613388197315952</v>
      </c>
      <c r="BY116" s="90" t="n">
        <f aca="false">IF(BU116&gt;0,BQ116/BU116,0)</f>
        <v>0.668912798495064</v>
      </c>
      <c r="BZ116" s="90" t="n">
        <f aca="false">IF(BV116&gt;0,BR116/BV116,0)</f>
        <v>0.505454327046779</v>
      </c>
      <c r="CA116" s="90" t="n">
        <f aca="false">INDEX(in_mkt_listing_3464,1,C116)*(1-IF(sku_flute_3464="B",T116,0))*(1-S116)*N116</f>
        <v>0.1995</v>
      </c>
      <c r="CB116" s="90" t="n">
        <f aca="false">INDEX(in_mkt_listing_3463,1,C116)*(1-IF(sku_flute_3463="B",T116,0))*(1-S116)*N116</f>
        <v>0.23625</v>
      </c>
      <c r="CC116" s="90" t="n">
        <f aca="false">INDEX(in_mkt_listing_3460,1,C116)*(1-IF(sku_flute_3460="B",T116,0))*(1-S116)*N116</f>
        <v>0.21</v>
      </c>
      <c r="CD116" s="88" t="n">
        <f aca="false">BT116*CA116+BU116*CB116+BV116*CC116</f>
        <v>12398.4</v>
      </c>
      <c r="CE116" s="88" t="n">
        <f aca="false">CD116-BM116</f>
        <v>-21926.5021988696</v>
      </c>
      <c r="CF116" s="87" t="n">
        <f aca="false">IF(CD116&gt;0,CE116/CD116,0)</f>
        <v>-1.76849449919906</v>
      </c>
      <c r="CG116" s="87" t="n">
        <f aca="false">W116+INDEX(in_sel_processing,1,C116)+INDEX(in_sel_bad_debt,1,C116)</f>
        <v>0.095</v>
      </c>
      <c r="CH116" s="88" t="n">
        <f aca="false">CD116*CG116</f>
        <v>1177.848</v>
      </c>
      <c r="CI116" s="88" t="n">
        <f aca="false">INDEX(in_sel_testing,1,C116)*X116+INDEX(in_sel_admin,1,C116)</f>
        <v>4750</v>
      </c>
      <c r="CJ116" s="79" t="n">
        <f aca="false">INDEX(in_sup_lead_days,1,C116)</f>
        <v>35</v>
      </c>
      <c r="CK116" s="79" t="n">
        <f aca="false">CJ116+INDEX(in_oce_transit,1,C116)+IF(F116=4,INDEX(in_oce_lcl_extra_days,1,C116),0)</f>
        <v>73</v>
      </c>
      <c r="CL116" s="79" t="n">
        <f aca="false">CK116+2+INDEX(in_cus_dem_days,1,C116)</f>
        <v>78</v>
      </c>
      <c r="CM116" s="79" t="n">
        <f aca="false">CL116+U116</f>
        <v>138</v>
      </c>
      <c r="CN116" s="79" t="n">
        <f aca="false">CJ116+INDEX(in_sup_vat_lag,1,C116)</f>
        <v>215</v>
      </c>
      <c r="CO116" s="91" t="n">
        <f aca="false">INDEX(in_sup_advance,1,C116)</f>
        <v>0.5</v>
      </c>
      <c r="CP116" s="88" t="n">
        <f aca="false">CO116*(AL116+AM116)+AO116+INDEX(in_sel_testing,1,C116)*X116</f>
        <v>10536.6020926137</v>
      </c>
      <c r="CQ116" s="88" t="n">
        <f aca="false">(1-CO116)*(AL116+AM116)+AR116+AU116+AZ116</f>
        <v>16485.8241997307</v>
      </c>
      <c r="CR116" s="88" t="n">
        <f aca="false">BB116+BC116+BD116+BF116+BJ116</f>
        <v>5082.4759065253</v>
      </c>
      <c r="CS116" s="88" t="n">
        <f aca="false">BK116+BL116</f>
        <v>6220</v>
      </c>
      <c r="CT116" s="88" t="n">
        <f aca="false">IF(K116=2,AM116,0)</f>
        <v>0</v>
      </c>
      <c r="CU116" s="85" t="n">
        <f aca="false">IF(K116=2,CO116*AM116*(CN116-0)+(1-CO116)*AM116*(CN116-CJ116),0)</f>
        <v>0</v>
      </c>
      <c r="CV116" s="85" t="n">
        <f aca="false">(CP116-CO116*CT116)*(CM116-0)+(CQ116-(1-CO116)*CT116)*(CM116-CJ116)+CR116*(CM116-CK116)+CS116*(CM116-CL116)</f>
        <v>3855651.91527709</v>
      </c>
      <c r="CW116" s="88" t="n">
        <f aca="false">INDEX(in_sel_fin_rate,1,C116)/365*(CU116+CV116)</f>
        <v>1478.88018668162</v>
      </c>
      <c r="CX116" s="85" t="n">
        <f aca="false">CP116-IF(CN116&lt;=0,CT116,0)</f>
        <v>10536.6020926137</v>
      </c>
      <c r="CY116" s="85" t="n">
        <f aca="false">CP116+CQ116-IF(CN116&lt;=CJ116,CT116,0)</f>
        <v>27022.4262923444</v>
      </c>
      <c r="CZ116" s="85" t="n">
        <f aca="false">CP116+CQ116+CR116-IF(CN116&lt;=CK116,CT116,0)</f>
        <v>32104.9021988696</v>
      </c>
      <c r="DA116" s="85" t="n">
        <f aca="false">CP116+CQ116+CR116+CS116-IF(CN116&lt;=CL116,CT116,0)</f>
        <v>38324.9021988697</v>
      </c>
      <c r="DB116" s="88" t="n">
        <f aca="false">MAX(CX116,CY116,CZ116,DA116)</f>
        <v>38324.9021988697</v>
      </c>
      <c r="DC116" s="88" t="n">
        <f aca="false">CP116+CQ116+CR116+CS116</f>
        <v>38324.9021988697</v>
      </c>
      <c r="DD116" s="88" t="n">
        <f aca="false">CE116-CH116-CI116-CW116</f>
        <v>-29333.2303855513</v>
      </c>
      <c r="DE116" s="87" t="n">
        <f aca="false">IF(CD116&gt;0,DD116/CD116,0)</f>
        <v>-2.36588837152788</v>
      </c>
      <c r="DF116" s="86" t="n">
        <f aca="false">IF(CD116&gt;0,(BM116+CI116+CW116)/(CD116*(1-CG116)),0)</f>
        <v>3.61424129450595</v>
      </c>
      <c r="DG116" s="90" t="n">
        <f aca="false">IF(BW116&gt;0,BM116/BW116,0)</f>
        <v>0.595918440952598</v>
      </c>
      <c r="DH116" s="90" t="n">
        <f aca="false">IF(BW116&gt;0,CD116/BW116,0)</f>
        <v>0.21525</v>
      </c>
      <c r="DI116" s="90" t="n">
        <f aca="false">IF(AI116&gt;0,(AI116*IF(K116=3,INDEX(in_sup_vat_rate,1,C116),0)+AV116*BA116+(BC116+BD116)*AV116/AY116+AZ116*AI116/AL116)/AI116,0)</f>
        <v>0.303218326895857</v>
      </c>
      <c r="DJ116" s="90" t="n">
        <f aca="false">IF(AJ116&gt;0,(AJ116*IF(K116=3,INDEX(in_sup_vat_rate,1,C116),0)+AW116*BA116+(BC116+BD116)*AW116/AY116+AZ116*AJ116/AL116)/AJ116,0)</f>
        <v>0.30356406149334</v>
      </c>
      <c r="DK116" s="90" t="n">
        <f aca="false">IF(AK116&gt;0,(AK116*IF(K116=3,INDEX(in_sup_vat_rate,1,C116),0)+AX116*BA116+(BC116+BD116)*AX116/AY116+AZ116*AK116/AL116)/AK116,0)</f>
        <v>0.304465439055422</v>
      </c>
      <c r="DL116" s="90" t="n">
        <f aca="false">IF(Y116&gt;0,(BP116-AI116*(1+DI116))/Y116,0)</f>
        <v>0.340400096442225</v>
      </c>
      <c r="DM116" s="90" t="n">
        <f aca="false">IF(Z116&gt;0,(BQ116-AJ116*(1+DJ116))/Z116,0)</f>
        <v>0.407452635993216</v>
      </c>
      <c r="DN116" s="90" t="n">
        <f aca="false">IF(AA116&gt;0,(BR116-AK116*(1+DK116))/AA116,0)</f>
        <v>0.280100078497578</v>
      </c>
      <c r="DO116" s="86" t="n">
        <f aca="false">IF(Y116&gt;0,(CA116*(1-thr_gm_go)*(1-R116)-DL116)/(1+DI116)*I116/((1+AH116)*J116),"")</f>
        <v>-6.62459714943059</v>
      </c>
      <c r="DP116" s="86" t="n">
        <f aca="false">IF(Z116&gt;0,(CB116*(1-thr_gm_go)*(1-R116)-DM116)/(1+DJ116)*I116/((1+AH116)*J116),"")</f>
        <v>-7.98916344017716</v>
      </c>
      <c r="DQ116" s="86" t="n">
        <f aca="false">IF(AA116&gt;0,(CC116*(1-thr_gm_go)*(1-R116)-DN116)/(1+DK116)*I116/((1+AH116)*J116),"")</f>
        <v>-4.33571003835909</v>
      </c>
      <c r="DR116" s="92" t="n">
        <f aca="false">IF(AND(AY116*INDEX(in_cus_mpf_rate,1,C116)&gt;INDEX(in_cus_mpf_min,1,C116),AY116*INDEX(in_cus_mpf_rate,1,C116)&lt;INDEX(in_cus_mpf_max,1,C116)),INDEX(in_cus_mpf_rate,1,C116),0)</f>
        <v>0.003464</v>
      </c>
      <c r="DS116" s="88" t="n">
        <f aca="false">IF(AZ116&gt;INDEX(in_oce_ins_min,1,C116),INDEX(in_oce_ins_rate,1,C116)*(1+INDEX(in_oce_ins_uplift,1,C116))*AL116,0)</f>
        <v>0</v>
      </c>
      <c r="DT116" s="88" t="n">
        <f aca="false">(AL116+AN116)*(1+BA116+INDEX(in_cus_hmf,1,C116)+DR116)+DS116</f>
        <v>13598.657541382</v>
      </c>
      <c r="DU116" s="86" t="n">
        <f aca="false">IF(DT116&gt;0,(CD116*(1-thr_gm_go)-(BM116-DT116))/DT116,0)</f>
        <v>-0.840336233390167</v>
      </c>
      <c r="DV116" s="86" t="n">
        <f aca="false">IF(DT116&gt;0,(CD116-(BM116-DT116))/DT116,0)</f>
        <v>-0.612401969249193</v>
      </c>
      <c r="DW116" s="87" t="n">
        <f aca="false">(1+AH116)*J116*DU116-1</f>
        <v>-1.92436985672918</v>
      </c>
      <c r="DX116" s="87" t="n">
        <f aca="false">(1+AH116)*J116*DV116-1</f>
        <v>-1.67364216617411</v>
      </c>
      <c r="DY116" s="85" t="n">
        <f aca="false">IF(G116&gt;0,(CD116*(1-thr_gm_go)-(BM116-AT116))/G116,"")</f>
        <v>-8613.05109943482</v>
      </c>
      <c r="DZ116" s="90" t="n">
        <f aca="false">IF(AB116&gt;0,(AL116+AN116+BB116+BC116+BD116)/AB116,0)</f>
        <v>0.227764099670154</v>
      </c>
      <c r="EA116" s="88" t="n">
        <f aca="false">BM116-DZ116*AB116</f>
        <v>20659.0562186604</v>
      </c>
      <c r="EB116" s="90" t="n">
        <f aca="false">IF(AB116&gt;0,CD116/AB116,0)</f>
        <v>0.20664</v>
      </c>
      <c r="EC116" s="85" t="str">
        <f aca="false">IF(EB116*(1-thr_gm_go)-DZ116&gt;0,EA116/(EB116*(1-thr_gm_go)-DZ116),"n/a")</f>
        <v>n/a</v>
      </c>
      <c r="ED116" s="85" t="str">
        <f aca="false">IF(EB116-DZ116&gt;0,EA116/(EB116-DZ116),"n/a")</f>
        <v>n/a</v>
      </c>
      <c r="EE116" s="93" t="b">
        <f aca="false">INDEX(cfg_fits,D116,C116)</f>
        <v>0</v>
      </c>
      <c r="EF116" s="87" t="n">
        <f aca="false">IF(F116=4,"",INDEX(cfg_lenutil,D116,C116))</f>
        <v>1.14827586206897</v>
      </c>
      <c r="EG116" s="31" t="str">
        <f aca="false">IF(O116&gt;1,"Check fit (units scaled up)","")</f>
        <v/>
      </c>
    </row>
    <row r="117" customFormat="false" ht="15" hidden="false" customHeight="false" outlineLevel="0" collapsed="false">
      <c r="A117" s="78" t="n">
        <v>3033</v>
      </c>
      <c r="B117" s="9" t="s">
        <v>3265</v>
      </c>
      <c r="C117" s="78" t="n">
        <v>3</v>
      </c>
      <c r="D117" s="78" t="n">
        <v>3</v>
      </c>
      <c r="E117" s="78" t="n">
        <v>3</v>
      </c>
      <c r="F117" s="79" t="n">
        <f aca="false">INDEX(cfg_ct,D117)</f>
        <v>1</v>
      </c>
      <c r="G117" s="79" t="n">
        <f aca="false">INDEX(cfg_n,D117)</f>
        <v>2</v>
      </c>
      <c r="H117" s="79" t="n">
        <f aca="false">INDEX(dest_port,E117)</f>
        <v>2</v>
      </c>
      <c r="I117" s="80" t="n">
        <f aca="false">INDEX(in_fx_cbe,1,C117)*(1-INDEX(in_fx_spread,1,C117))</f>
        <v>48.265</v>
      </c>
      <c r="J117" s="81" t="n">
        <f aca="false">1</f>
        <v>1</v>
      </c>
      <c r="K117" s="82" t="n">
        <f aca="false">INDEX(in_sup_vat_mode,1,C117)</f>
        <v>3</v>
      </c>
      <c r="L117" s="83" t="n">
        <f aca="false">INDEX(in_cus_s301,1,C117)</f>
        <v>0.125</v>
      </c>
      <c r="M117" s="84" t="n">
        <f aca="false">1</f>
        <v>1</v>
      </c>
      <c r="N117" s="81" t="n">
        <f aca="false">1</f>
        <v>1</v>
      </c>
      <c r="O117" s="81" t="n">
        <f aca="false">1</f>
        <v>1</v>
      </c>
      <c r="P117" s="81" t="n">
        <f aca="false">1</f>
        <v>1</v>
      </c>
      <c r="Q117" s="81" t="n">
        <f aca="false">1</f>
        <v>1</v>
      </c>
      <c r="R117" s="83" t="n">
        <f aca="false">INDEX(in_sel_damage,1,C117)</f>
        <v>0.04</v>
      </c>
      <c r="S117" s="83" t="n">
        <f aca="false">INDEX(in_mkt_dist_margin,1,C117)</f>
        <v>0.3</v>
      </c>
      <c r="T117" s="83" t="n">
        <f aca="false">INDEX(in_mkt_eflute_disc,1,C117)</f>
        <v>0.25</v>
      </c>
      <c r="U117" s="82" t="n">
        <f aca="false">INDEX(in_sel_credit_days,1,C117)</f>
        <v>60</v>
      </c>
      <c r="V117" s="81" t="n">
        <f aca="false">1</f>
        <v>1</v>
      </c>
      <c r="W117" s="83" t="n">
        <f aca="false">INDEX(in_sel_commission,1,C117)</f>
        <v>0.07</v>
      </c>
      <c r="X117" s="82" t="n">
        <f aca="false">1</f>
        <v>1</v>
      </c>
      <c r="Y117" s="85" t="n">
        <f aca="false">INDEX(cfg_u_3464,D117,C117)*O117</f>
        <v>20000</v>
      </c>
      <c r="Z117" s="85" t="n">
        <f aca="false">INDEX(cfg_u_3463,D117,C117)*O117</f>
        <v>20000</v>
      </c>
      <c r="AA117" s="85" t="n">
        <f aca="false">INDEX(cfg_u_3460,D117,C117)*O117</f>
        <v>20000</v>
      </c>
      <c r="AB117" s="85" t="n">
        <f aca="false">Y117+Z117+AA117</f>
        <v>60000</v>
      </c>
      <c r="AC117" s="86" t="n">
        <f aca="false">Y117*INDEX(lg_vpu_3464,C117)</f>
        <v>16.00632</v>
      </c>
      <c r="AD117" s="86" t="n">
        <f aca="false">Z117*INDEX(lg_vpu_3463,C117)</f>
        <v>19.58112</v>
      </c>
      <c r="AE117" s="86" t="n">
        <f aca="false">AA117*INDEX(lg_vpu_3460,C117)</f>
        <v>12.79152</v>
      </c>
      <c r="AF117" s="86" t="n">
        <f aca="false">AC117+AD117+AE117</f>
        <v>48.37896</v>
      </c>
      <c r="AG117" s="85" t="n">
        <f aca="false">Y117*INDEX(lg_kpu_3464,C117)+Z117*INDEX(lg_kpu_3463,C117)+AA117*INDEX(lg_kpu_3460,C117)</f>
        <v>11802.43968</v>
      </c>
      <c r="AH117" s="87" t="n">
        <f aca="false">INDEX(in_sup_requote,1,C117)</f>
        <v>0.1</v>
      </c>
      <c r="AI117" s="88" t="n">
        <f aca="false">Y117*q_price_3464*(1+AH117)*J117/I117</f>
        <v>3812.90790427846</v>
      </c>
      <c r="AJ117" s="88" t="n">
        <f aca="false">Z117*q_price_3463*(1+AH117)*J117/I117</f>
        <v>3600.95307158396</v>
      </c>
      <c r="AK117" s="88" t="n">
        <f aca="false">AA117*q_price_3460*(1+AH117)*J117/I117</f>
        <v>3145.13622707966</v>
      </c>
      <c r="AL117" s="88" t="n">
        <f aca="false">AI117+AJ117+AK117</f>
        <v>10558.9972029421</v>
      </c>
      <c r="AM117" s="88" t="n">
        <f aca="false">IF(OR(K117=2,K117=3),AL117*INDEX(in_sup_vat_rate,1,C117),0)</f>
        <v>1478.25960841189</v>
      </c>
      <c r="AN117" s="88" t="n">
        <f aca="false">IF(K117=3,AM117,0)</f>
        <v>1478.25960841189</v>
      </c>
      <c r="AO117" s="88" t="n">
        <f aca="false">INDEX(in_sup_tooling_egp,1,C117)/I117</f>
        <v>517.973686936704</v>
      </c>
      <c r="AP117" s="88" t="n">
        <f aca="false">IF(F117=4,INDEX(in_ori_lcl_truck,1,C117)*V117/I117+INDEX(in_ori_lcl_cfs_o,1,C117),G117*(IF(F117=1,INDEX(in_ori_truck_20,1,C117),INDEX(in_ori_truck_40,1,C117))*V117/I117+INDEX(in_ori_terminal,1,C117)+IF(F117=1,INDEX(in_ori_othc_20,1,C117),INDEX(in_ori_othc_40,1,C117))*(1-INDEX(in_ori_othc_in_freight,1,C117))+INDEX(in_ori_seal,1,C117)+INDEX(in_ori_inspection,1,C117)+INDEX(in_ori_dd_days,1,C117)*IF(F117=1,INDEX(in_ori_dd_20,1,C117),INDEX(in_ori_dd_40,1,C117))+INDEX(in_ori_loading_egp,1,C117)/I117))</f>
        <v>1354.28737180151</v>
      </c>
      <c r="AQ117" s="88" t="n">
        <f aca="false">(INDEX(in_ori_clearance,1,C117)+INDEX(in_ori_coo,1,C117))/I117+INDEX(in_ori_bl_fee,1,C117)+INDEX(in_ori_fwd_fee,1,C117)+INDEX(in_ori_qc,1,C117)+INDEX(in_ori_wires,1,C117)*INDEX(in_ori_wire_fee,1,C117)</f>
        <v>1167.90842225215</v>
      </c>
      <c r="AR117" s="88" t="n">
        <f aca="false">AP117+AQ117</f>
        <v>2522.19579405366</v>
      </c>
      <c r="AS117" s="85" t="n">
        <f aca="false">INDEX(tbl_port_diff,H117,C117)</f>
        <v>300</v>
      </c>
      <c r="AT117" s="88" t="n">
        <f aca="false">IF(F117=4,MAX(AF117*INDEX(in_oce_lcl_factor,1,C117),AG117/1000,1)*INDEX(in_oce_lcl_rate,1,C117)*M117,G117*(INDEX(tbl_ocean_rate,MIN(F117,3),C117)+AS117)*M117)</f>
        <v>8400</v>
      </c>
      <c r="AU117" s="88" t="n">
        <f aca="false">AT117+INDEX(in_oce_ams,1,C117)</f>
        <v>8445</v>
      </c>
      <c r="AV117" s="88" t="n">
        <f aca="false">AI117*(1+IF(K117=3,INDEX(in_sup_vat_rate,1,C117),0))+AO117*Y117/AB117</f>
        <v>4519.37290652302</v>
      </c>
      <c r="AW117" s="88" t="n">
        <f aca="false">AJ117*(1+IF(K117=3,INDEX(in_sup_vat_rate,1,C117),0))+AO117*Z117/AB117</f>
        <v>4277.74439725129</v>
      </c>
      <c r="AX117" s="88" t="n">
        <f aca="false">AK117*(1+IF(K117=3,INDEX(in_sup_vat_rate,1,C117),0))+AO117*AA117/AB117</f>
        <v>3758.11319451639</v>
      </c>
      <c r="AY117" s="88" t="n">
        <f aca="false">AV117+AW117+AX117</f>
        <v>12555.2304982907</v>
      </c>
      <c r="AZ117" s="88" t="n">
        <f aca="false">MAX(INDEX(in_oce_ins_min,1,C117),INDEX(in_oce_ins_rate,1,C117)*(1+INDEX(in_oce_ins_uplift,1,C117))*(AL117+AO117+AR117+AU117))*(1-INDEX(in_oce_ins_in_other,1,C117))</f>
        <v>100</v>
      </c>
      <c r="BA117" s="87" t="n">
        <f aca="false">INDEX(in_cus_mfn,1,C117)+L117</f>
        <v>0.125</v>
      </c>
      <c r="BB117" s="88" t="n">
        <f aca="false">AY117*BA117</f>
        <v>1569.40381228634</v>
      </c>
      <c r="BC117" s="88" t="n">
        <f aca="false">MIN(MAX(AY117*INDEX(in_cus_mpf_rate,1,C117),INDEX(in_cus_mpf_min,1,C117)),INDEX(in_cus_mpf_max,1,C117))</f>
        <v>43.4913184460789</v>
      </c>
      <c r="BD117" s="88" t="n">
        <f aca="false">AY117*INDEX(in_cus_hmf,1,C117)</f>
        <v>15.6940381228634</v>
      </c>
      <c r="BE117" s="88" t="n">
        <f aca="false">MAX(INDEX(in_cus_stb_min,1,C117),INDEX(in_cus_stb_rate,1,C117)/1000*(AY117+BB117+BC117+BD117))</f>
        <v>99.2867376700218</v>
      </c>
      <c r="BF117" s="88" t="n">
        <f aca="false">INDEX(in_cus_broker,1,C117)+INDEX(in_cus_isf,1,C117)+INDEX(in_cus_do_fee,1,C117)+BE117+INDEX(in_cus_isf_bond,1,C117)</f>
        <v>724.286737670022</v>
      </c>
      <c r="BG117" s="88" t="n">
        <f aca="false">IF(H117=1,INDEX(in_cus_cfc,1,C117)*INDEX(ct_teu,F117)*G117*(1-INDEX(in_cus_cfc_in_freight,1,C117)),0)</f>
        <v>0</v>
      </c>
      <c r="BH117" s="88" t="n">
        <f aca="false">IF(F117=4,1,G117)*(INDEX(in_cus_exam,1,C117)+INDEX(in_cus_exam_dray,1,C117))</f>
        <v>1200</v>
      </c>
      <c r="BI117" s="88" t="n">
        <f aca="false">IF(F117=4,1,G117)*INDEX(in_cus_dem_days,1,C117)*INDEX(in_cus_dem_rate,1,C117)</f>
        <v>1500</v>
      </c>
      <c r="BJ117" s="88" t="n">
        <f aca="false">BG117+BH117+BI117</f>
        <v>2700</v>
      </c>
      <c r="BK117" s="88" t="n">
        <f aca="false">IF(F117=4,(INDEX(in_dra_lcl_cfs_d,1,C117)+INDEX(in_dra_lcl_deliv,1,C117))*P117,G117*(INDEX(tbl_dest_line,E117,C117)*P117*(1+INDEX(in_dra_fsc,1,C117))+INDEX(tbl_dest_tolls,E117,C117)+INDEX(in_dra_chassis_days,1,C117)*INDEX(tbl_dest_chassis,E117,C117)*(1-INDEX(in_dra_chassis_in_dray,1,C117))+INDEX(in_dra_wait_hours,1,C117)*INDEX(in_dra_wait_rate,1,C117)+INDEX(in_dra_split,1,C117)+INDEX(in_dra_prepull,1,C117)+INDEX(in_dra_dryrun,1,C117)))</f>
        <v>4200</v>
      </c>
      <c r="BL117" s="88" t="n">
        <f aca="false">IF(F117=4,0,G117*IF(F117=1,INDEX(in_dra_unload_20,1,C117),INDEX(in_dra_unload_40,1,C117))*Q117*(1-INDEX(in_dra_unload_in_dray,1,C117)))</f>
        <v>900</v>
      </c>
      <c r="BM117" s="88" t="n">
        <f aca="false">AL117+AN117+AO117+AR117+AU117+AZ117+BB117+BC117+BD117+BF117+BJ117+BK117+BL117</f>
        <v>33775.3021988697</v>
      </c>
      <c r="BN117" s="88" t="n">
        <f aca="false">AP117+AU117+BJ117+BK117+BL117</f>
        <v>17599.2873718015</v>
      </c>
      <c r="BO117" s="88" t="n">
        <f aca="false">AQ117+BF117</f>
        <v>1892.19515992217</v>
      </c>
      <c r="BP117" s="88" t="n">
        <f aca="false">AI117*(1+IF(K117=3,INDEX(in_sup_vat_rate,1,C117),0))+AO117*Y117/AB117+AV117*BA117+(BC117+BD117)*AV117/AY117+AZ117*AI117/AL117+BN117*AC117/AF117+BO117*Y117/AB117</f>
        <v>11595.2166257082</v>
      </c>
      <c r="BQ117" s="88" t="n">
        <f aca="false">AJ117*(1+IF(K117=3,INDEX(in_sup_vat_rate,1,C117),0))+AO117*Z117/AB117+AW117*BA117+(BC117+BD117)*AW117/AY117+AZ117*AJ117/AL117+BN117*AD117/AF117+BO117*Z117/AB117</f>
        <v>12620.6781309088</v>
      </c>
      <c r="BR117" s="88" t="n">
        <f aca="false">AK117*(1+IF(K117=3,INDEX(in_sup_vat_rate,1,C117),0))+AO117*AA117/AB117+AX117*BA117+(BC117+BD117)*AX117/AY117+AZ117*AK117/AL117+BN117*AE117/AF117+BO117*AA117/AB117</f>
        <v>9559.40744225262</v>
      </c>
      <c r="BS117" s="89" t="n">
        <f aca="false">BP117+BQ117+BR117-BM117</f>
        <v>0</v>
      </c>
      <c r="BT117" s="85" t="n">
        <f aca="false">Y117*(1-R117)</f>
        <v>19200</v>
      </c>
      <c r="BU117" s="85" t="n">
        <f aca="false">Z117*(1-R117)</f>
        <v>19200</v>
      </c>
      <c r="BV117" s="85" t="n">
        <f aca="false">AA117*(1-R117)</f>
        <v>19200</v>
      </c>
      <c r="BW117" s="85" t="n">
        <f aca="false">BT117+BU117+BV117</f>
        <v>57600</v>
      </c>
      <c r="BX117" s="90" t="n">
        <f aca="false">IF(BT117&gt;0,BP117/BT117,0)</f>
        <v>0.603917532588971</v>
      </c>
      <c r="BY117" s="90" t="n">
        <f aca="false">IF(BU117&gt;0,BQ117/BU117,0)</f>
        <v>0.657326985984832</v>
      </c>
      <c r="BZ117" s="90" t="n">
        <f aca="false">IF(BV117&gt;0,BR117/BV117,0)</f>
        <v>0.497885804283991</v>
      </c>
      <c r="CA117" s="90" t="n">
        <f aca="false">INDEX(in_mkt_listing_3464,1,C117)*(1-IF(sku_flute_3464="B",T117,0))*(1-S117)*N117</f>
        <v>0.1995</v>
      </c>
      <c r="CB117" s="90" t="n">
        <f aca="false">INDEX(in_mkt_listing_3463,1,C117)*(1-IF(sku_flute_3463="B",T117,0))*(1-S117)*N117</f>
        <v>0.23625</v>
      </c>
      <c r="CC117" s="90" t="n">
        <f aca="false">INDEX(in_mkt_listing_3460,1,C117)*(1-IF(sku_flute_3460="B",T117,0))*(1-S117)*N117</f>
        <v>0.21</v>
      </c>
      <c r="CD117" s="88" t="n">
        <f aca="false">BT117*CA117+BU117*CB117+BV117*CC117</f>
        <v>12398.4</v>
      </c>
      <c r="CE117" s="88" t="n">
        <f aca="false">CD117-BM117</f>
        <v>-21376.9021988696</v>
      </c>
      <c r="CF117" s="87" t="n">
        <f aca="false">IF(CD117&gt;0,CE117/CD117,0)</f>
        <v>-1.7241661987732</v>
      </c>
      <c r="CG117" s="87" t="n">
        <f aca="false">W117+INDEX(in_sel_processing,1,C117)+INDEX(in_sel_bad_debt,1,C117)</f>
        <v>0.095</v>
      </c>
      <c r="CH117" s="88" t="n">
        <f aca="false">CD117*CG117</f>
        <v>1177.848</v>
      </c>
      <c r="CI117" s="88" t="n">
        <f aca="false">INDEX(in_sel_testing,1,C117)*X117+INDEX(in_sel_admin,1,C117)</f>
        <v>4750</v>
      </c>
      <c r="CJ117" s="79" t="n">
        <f aca="false">INDEX(in_sup_lead_days,1,C117)</f>
        <v>35</v>
      </c>
      <c r="CK117" s="79" t="n">
        <f aca="false">CJ117+INDEX(in_oce_transit,1,C117)+IF(F117=4,INDEX(in_oce_lcl_extra_days,1,C117),0)</f>
        <v>73</v>
      </c>
      <c r="CL117" s="79" t="n">
        <f aca="false">CK117+2+INDEX(in_cus_dem_days,1,C117)</f>
        <v>78</v>
      </c>
      <c r="CM117" s="79" t="n">
        <f aca="false">CL117+U117</f>
        <v>138</v>
      </c>
      <c r="CN117" s="79" t="n">
        <f aca="false">CJ117+INDEX(in_sup_vat_lag,1,C117)</f>
        <v>215</v>
      </c>
      <c r="CO117" s="91" t="n">
        <f aca="false">INDEX(in_sup_advance,1,C117)</f>
        <v>0.5</v>
      </c>
      <c r="CP117" s="88" t="n">
        <f aca="false">CO117*(AL117+AM117)+AO117+INDEX(in_sel_testing,1,C117)*X117</f>
        <v>10536.6020926137</v>
      </c>
      <c r="CQ117" s="88" t="n">
        <f aca="false">(1-CO117)*(AL117+AM117)+AR117+AU117+AZ117</f>
        <v>17085.8241997307</v>
      </c>
      <c r="CR117" s="88" t="n">
        <f aca="false">BB117+BC117+BD117+BF117+BJ117</f>
        <v>5052.8759065253</v>
      </c>
      <c r="CS117" s="88" t="n">
        <f aca="false">BK117+BL117</f>
        <v>5100</v>
      </c>
      <c r="CT117" s="88" t="n">
        <f aca="false">IF(K117=2,AM117,0)</f>
        <v>0</v>
      </c>
      <c r="CU117" s="85" t="n">
        <f aca="false">IF(K117=2,CO117*AM117*(CN117-0)+(1-CO117)*AM117*(CN117-CJ117),0)</f>
        <v>0</v>
      </c>
      <c r="CV117" s="85" t="n">
        <f aca="false">(CP117-CO117*CT117)*(CM117-0)+(CQ117-(1-CO117)*CT117)*(CM117-CJ117)+CR117*(CM117-CK117)+CS117*(CM117-CL117)</f>
        <v>3848327.91527709</v>
      </c>
      <c r="CW117" s="88" t="n">
        <f aca="false">INDEX(in_sel_fin_rate,1,C117)/365*(CU117+CV117)</f>
        <v>1476.07098120217</v>
      </c>
      <c r="CX117" s="85" t="n">
        <f aca="false">CP117-IF(CN117&lt;=0,CT117,0)</f>
        <v>10536.6020926137</v>
      </c>
      <c r="CY117" s="85" t="n">
        <f aca="false">CP117+CQ117-IF(CN117&lt;=CJ117,CT117,0)</f>
        <v>27622.4262923444</v>
      </c>
      <c r="CZ117" s="85" t="n">
        <f aca="false">CP117+CQ117+CR117-IF(CN117&lt;=CK117,CT117,0)</f>
        <v>32675.3021988697</v>
      </c>
      <c r="DA117" s="85" t="n">
        <f aca="false">CP117+CQ117+CR117+CS117-IF(CN117&lt;=CL117,CT117,0)</f>
        <v>37775.3021988697</v>
      </c>
      <c r="DB117" s="88" t="n">
        <f aca="false">MAX(CX117,CY117,CZ117,DA117)</f>
        <v>37775.3021988697</v>
      </c>
      <c r="DC117" s="88" t="n">
        <f aca="false">CP117+CQ117+CR117+CS117</f>
        <v>37775.3021988697</v>
      </c>
      <c r="DD117" s="88" t="n">
        <f aca="false">CE117-CH117-CI117-CW117</f>
        <v>-28780.8211800718</v>
      </c>
      <c r="DE117" s="87" t="n">
        <f aca="false">IF(CD117&gt;0,DD117/CD117,0)</f>
        <v>-2.32133349303715</v>
      </c>
      <c r="DF117" s="86" t="n">
        <f aca="false">IF(CD117&gt;0,(BM117+CI117+CW117)/(CD117*(1-CG117)),0)</f>
        <v>3.56500938457144</v>
      </c>
      <c r="DG117" s="90" t="n">
        <f aca="false">IF(BW117&gt;0,BM117/BW117,0)</f>
        <v>0.586376774285931</v>
      </c>
      <c r="DH117" s="90" t="n">
        <f aca="false">IF(BW117&gt;0,CD117/BW117,0)</f>
        <v>0.21525</v>
      </c>
      <c r="DI117" s="90" t="n">
        <f aca="false">IF(AI117&gt;0,(AI117*IF(K117=3,INDEX(in_sup_vat_rate,1,C117),0)+AV117*BA117+(BC117+BD117)*AV117/AY117+AZ117*AI117/AL117)/AI117,0)</f>
        <v>0.303218326895857</v>
      </c>
      <c r="DJ117" s="90" t="n">
        <f aca="false">IF(AJ117&gt;0,(AJ117*IF(K117=3,INDEX(in_sup_vat_rate,1,C117),0)+AW117*BA117+(BC117+BD117)*AW117/AY117+AZ117*AJ117/AL117)/AJ117,0)</f>
        <v>0.30356406149334</v>
      </c>
      <c r="DK117" s="90" t="n">
        <f aca="false">IF(AK117&gt;0,(AK117*IF(K117=3,INDEX(in_sup_vat_rate,1,C117),0)+AX117*BA117+(BC117+BD117)*AX117/AY117+AZ117*AK117/AL117)/AK117,0)</f>
        <v>0.304465439055422</v>
      </c>
      <c r="DL117" s="90" t="n">
        <f aca="false">IF(Y117&gt;0,(BP117-AI117*(1+DI117))/Y117,0)</f>
        <v>0.331308258304324</v>
      </c>
      <c r="DM117" s="90" t="n">
        <f aca="false">IF(Z117&gt;0,(BQ117-AJ117*(1+DJ117))/Z117,0)</f>
        <v>0.396330255983394</v>
      </c>
      <c r="DN117" s="90" t="n">
        <f aca="false">IF(AA117&gt;0,(BR117-AK117*(1+DK117))/AA117,0)</f>
        <v>0.272834296645302</v>
      </c>
      <c r="DO117" s="86" t="n">
        <f aca="false">IF(Y117&gt;0,(CA117*(1-thr_gm_go)*(1-R117)-DL117)/(1+DI117)*I117/((1+AH117)*J117),"")</f>
        <v>-6.31848952852327</v>
      </c>
      <c r="DP117" s="86" t="n">
        <f aca="false">IF(Z117&gt;0,(CB117*(1-thr_gm_go)*(1-R117)-DM117)/(1+DJ117)*I117/((1+AH117)*J117),"")</f>
        <v>-7.61479004689084</v>
      </c>
      <c r="DQ117" s="86" t="n">
        <f aca="false">IF(AA117&gt;0,(CC117*(1-thr_gm_go)*(1-R117)-DN117)/(1+DK117)*I117/((1+AH117)*J117),"")</f>
        <v>-4.09131667816394</v>
      </c>
      <c r="DR117" s="92" t="n">
        <f aca="false">IF(AND(AY117*INDEX(in_cus_mpf_rate,1,C117)&gt;INDEX(in_cus_mpf_min,1,C117),AY117*INDEX(in_cus_mpf_rate,1,C117)&lt;INDEX(in_cus_mpf_max,1,C117)),INDEX(in_cus_mpf_rate,1,C117),0)</f>
        <v>0.003464</v>
      </c>
      <c r="DS117" s="88" t="n">
        <f aca="false">IF(AZ117&gt;INDEX(in_oce_ins_min,1,C117),INDEX(in_oce_ins_rate,1,C117)*(1+INDEX(in_oce_ins_uplift,1,C117))*AL117,0)</f>
        <v>0</v>
      </c>
      <c r="DT117" s="88" t="n">
        <f aca="false">(AL117+AN117)*(1+BA117+INDEX(in_cus_hmf,1,C117)+DR117)+DS117</f>
        <v>13598.657541382</v>
      </c>
      <c r="DU117" s="86" t="n">
        <f aca="false">IF(DT117&gt;0,(CD117*(1-thr_gm_go)-(BM117-DT117))/DT117,0)</f>
        <v>-0.799920479237412</v>
      </c>
      <c r="DV117" s="86" t="n">
        <f aca="false">IF(DT117&gt;0,(CD117-(BM117-DT117))/DT117,0)</f>
        <v>-0.571986215096438</v>
      </c>
      <c r="DW117" s="87" t="n">
        <f aca="false">(1+AH117)*J117*DU117-1</f>
        <v>-1.87991252716115</v>
      </c>
      <c r="DX117" s="87" t="n">
        <f aca="false">(1+AH117)*J117*DV117-1</f>
        <v>-1.62918483660608</v>
      </c>
      <c r="DY117" s="85" t="n">
        <f aca="false">IF(G117&gt;0,(CD117*(1-thr_gm_go)-(BM117-AT117))/G117,"")</f>
        <v>-8038.25109943483</v>
      </c>
      <c r="DZ117" s="90" t="n">
        <f aca="false">IF(AB117&gt;0,(AL117+AN117+BB117+BC117+BD117)/AB117,0)</f>
        <v>0.227764099670154</v>
      </c>
      <c r="EA117" s="88" t="n">
        <f aca="false">BM117-DZ117*AB117</f>
        <v>20109.4562186604</v>
      </c>
      <c r="EB117" s="90" t="n">
        <f aca="false">IF(AB117&gt;0,CD117/AB117,0)</f>
        <v>0.20664</v>
      </c>
      <c r="EC117" s="85" t="str">
        <f aca="false">IF(EB117*(1-thr_gm_go)-DZ117&gt;0,EA117/(EB117*(1-thr_gm_go)-DZ117),"n/a")</f>
        <v>n/a</v>
      </c>
      <c r="ED117" s="85" t="str">
        <f aca="false">IF(EB117-DZ117&gt;0,EA117/(EB117-DZ117),"n/a")</f>
        <v>n/a</v>
      </c>
      <c r="EE117" s="93" t="b">
        <f aca="false">INDEX(cfg_fits,D117,C117)</f>
        <v>0</v>
      </c>
      <c r="EF117" s="87" t="n">
        <f aca="false">IF(F117=4,"",INDEX(cfg_lenutil,D117,C117))</f>
        <v>1.14827586206897</v>
      </c>
      <c r="EG117" s="31" t="str">
        <f aca="false">IF(O117&gt;1,"Check fit (units scaled up)","")</f>
        <v/>
      </c>
    </row>
    <row r="118" customFormat="false" ht="15" hidden="false" customHeight="false" outlineLevel="0" collapsed="false">
      <c r="A118" s="78" t="n">
        <v>3034</v>
      </c>
      <c r="B118" s="9" t="s">
        <v>3266</v>
      </c>
      <c r="C118" s="78" t="n">
        <v>3</v>
      </c>
      <c r="D118" s="78" t="n">
        <v>3</v>
      </c>
      <c r="E118" s="78" t="n">
        <v>4</v>
      </c>
      <c r="F118" s="79" t="n">
        <f aca="false">INDEX(cfg_ct,D118)</f>
        <v>1</v>
      </c>
      <c r="G118" s="79" t="n">
        <f aca="false">INDEX(cfg_n,D118)</f>
        <v>2</v>
      </c>
      <c r="H118" s="79" t="n">
        <f aca="false">INDEX(dest_port,E118)</f>
        <v>3</v>
      </c>
      <c r="I118" s="80" t="n">
        <f aca="false">INDEX(in_fx_cbe,1,C118)*(1-INDEX(in_fx_spread,1,C118))</f>
        <v>48.265</v>
      </c>
      <c r="J118" s="81" t="n">
        <f aca="false">1</f>
        <v>1</v>
      </c>
      <c r="K118" s="82" t="n">
        <f aca="false">INDEX(in_sup_vat_mode,1,C118)</f>
        <v>3</v>
      </c>
      <c r="L118" s="83" t="n">
        <f aca="false">INDEX(in_cus_s301,1,C118)</f>
        <v>0.125</v>
      </c>
      <c r="M118" s="84" t="n">
        <f aca="false">1</f>
        <v>1</v>
      </c>
      <c r="N118" s="81" t="n">
        <f aca="false">1</f>
        <v>1</v>
      </c>
      <c r="O118" s="81" t="n">
        <f aca="false">1</f>
        <v>1</v>
      </c>
      <c r="P118" s="81" t="n">
        <f aca="false">1</f>
        <v>1</v>
      </c>
      <c r="Q118" s="81" t="n">
        <f aca="false">1</f>
        <v>1</v>
      </c>
      <c r="R118" s="83" t="n">
        <f aca="false">INDEX(in_sel_damage,1,C118)</f>
        <v>0.04</v>
      </c>
      <c r="S118" s="83" t="n">
        <f aca="false">INDEX(in_mkt_dist_margin,1,C118)</f>
        <v>0.3</v>
      </c>
      <c r="T118" s="83" t="n">
        <f aca="false">INDEX(in_mkt_eflute_disc,1,C118)</f>
        <v>0.25</v>
      </c>
      <c r="U118" s="82" t="n">
        <f aca="false">INDEX(in_sel_credit_days,1,C118)</f>
        <v>60</v>
      </c>
      <c r="V118" s="81" t="n">
        <f aca="false">1</f>
        <v>1</v>
      </c>
      <c r="W118" s="83" t="n">
        <f aca="false">INDEX(in_sel_commission,1,C118)</f>
        <v>0.07</v>
      </c>
      <c r="X118" s="82" t="n">
        <f aca="false">1</f>
        <v>1</v>
      </c>
      <c r="Y118" s="85" t="n">
        <f aca="false">INDEX(cfg_u_3464,D118,C118)*O118</f>
        <v>20000</v>
      </c>
      <c r="Z118" s="85" t="n">
        <f aca="false">INDEX(cfg_u_3463,D118,C118)*O118</f>
        <v>20000</v>
      </c>
      <c r="AA118" s="85" t="n">
        <f aca="false">INDEX(cfg_u_3460,D118,C118)*O118</f>
        <v>20000</v>
      </c>
      <c r="AB118" s="85" t="n">
        <f aca="false">Y118+Z118+AA118</f>
        <v>60000</v>
      </c>
      <c r="AC118" s="86" t="n">
        <f aca="false">Y118*INDEX(lg_vpu_3464,C118)</f>
        <v>16.00632</v>
      </c>
      <c r="AD118" s="86" t="n">
        <f aca="false">Z118*INDEX(lg_vpu_3463,C118)</f>
        <v>19.58112</v>
      </c>
      <c r="AE118" s="86" t="n">
        <f aca="false">AA118*INDEX(lg_vpu_3460,C118)</f>
        <v>12.79152</v>
      </c>
      <c r="AF118" s="86" t="n">
        <f aca="false">AC118+AD118+AE118</f>
        <v>48.37896</v>
      </c>
      <c r="AG118" s="85" t="n">
        <f aca="false">Y118*INDEX(lg_kpu_3464,C118)+Z118*INDEX(lg_kpu_3463,C118)+AA118*INDEX(lg_kpu_3460,C118)</f>
        <v>11802.43968</v>
      </c>
      <c r="AH118" s="87" t="n">
        <f aca="false">INDEX(in_sup_requote,1,C118)</f>
        <v>0.1</v>
      </c>
      <c r="AI118" s="88" t="n">
        <f aca="false">Y118*q_price_3464*(1+AH118)*J118/I118</f>
        <v>3812.90790427846</v>
      </c>
      <c r="AJ118" s="88" t="n">
        <f aca="false">Z118*q_price_3463*(1+AH118)*J118/I118</f>
        <v>3600.95307158396</v>
      </c>
      <c r="AK118" s="88" t="n">
        <f aca="false">AA118*q_price_3460*(1+AH118)*J118/I118</f>
        <v>3145.13622707966</v>
      </c>
      <c r="AL118" s="88" t="n">
        <f aca="false">AI118+AJ118+AK118</f>
        <v>10558.9972029421</v>
      </c>
      <c r="AM118" s="88" t="n">
        <f aca="false">IF(OR(K118=2,K118=3),AL118*INDEX(in_sup_vat_rate,1,C118),0)</f>
        <v>1478.25960841189</v>
      </c>
      <c r="AN118" s="88" t="n">
        <f aca="false">IF(K118=3,AM118,0)</f>
        <v>1478.25960841189</v>
      </c>
      <c r="AO118" s="88" t="n">
        <f aca="false">INDEX(in_sup_tooling_egp,1,C118)/I118</f>
        <v>517.973686936704</v>
      </c>
      <c r="AP118" s="88" t="n">
        <f aca="false">IF(F118=4,INDEX(in_ori_lcl_truck,1,C118)*V118/I118+INDEX(in_ori_lcl_cfs_o,1,C118),G118*(IF(F118=1,INDEX(in_ori_truck_20,1,C118),INDEX(in_ori_truck_40,1,C118))*V118/I118+INDEX(in_ori_terminal,1,C118)+IF(F118=1,INDEX(in_ori_othc_20,1,C118),INDEX(in_ori_othc_40,1,C118))*(1-INDEX(in_ori_othc_in_freight,1,C118))+INDEX(in_ori_seal,1,C118)+INDEX(in_ori_inspection,1,C118)+INDEX(in_ori_dd_days,1,C118)*IF(F118=1,INDEX(in_ori_dd_20,1,C118),INDEX(in_ori_dd_40,1,C118))+INDEX(in_ori_loading_egp,1,C118)/I118))</f>
        <v>1354.28737180151</v>
      </c>
      <c r="AQ118" s="88" t="n">
        <f aca="false">(INDEX(in_ori_clearance,1,C118)+INDEX(in_ori_coo,1,C118))/I118+INDEX(in_ori_bl_fee,1,C118)+INDEX(in_ori_fwd_fee,1,C118)+INDEX(in_ori_qc,1,C118)+INDEX(in_ori_wires,1,C118)*INDEX(in_ori_wire_fee,1,C118)</f>
        <v>1167.90842225215</v>
      </c>
      <c r="AR118" s="88" t="n">
        <f aca="false">AP118+AQ118</f>
        <v>2522.19579405366</v>
      </c>
      <c r="AS118" s="85" t="n">
        <f aca="false">INDEX(tbl_port_diff,H118,C118)</f>
        <v>100</v>
      </c>
      <c r="AT118" s="88" t="n">
        <f aca="false">IF(F118=4,MAX(AF118*INDEX(in_oce_lcl_factor,1,C118),AG118/1000,1)*INDEX(in_oce_lcl_rate,1,C118)*M118,G118*(INDEX(tbl_ocean_rate,MIN(F118,3),C118)+AS118)*M118)</f>
        <v>8000</v>
      </c>
      <c r="AU118" s="88" t="n">
        <f aca="false">AT118+INDEX(in_oce_ams,1,C118)</f>
        <v>8045</v>
      </c>
      <c r="AV118" s="88" t="n">
        <f aca="false">AI118*(1+IF(K118=3,INDEX(in_sup_vat_rate,1,C118),0))+AO118*Y118/AB118</f>
        <v>4519.37290652302</v>
      </c>
      <c r="AW118" s="88" t="n">
        <f aca="false">AJ118*(1+IF(K118=3,INDEX(in_sup_vat_rate,1,C118),0))+AO118*Z118/AB118</f>
        <v>4277.74439725129</v>
      </c>
      <c r="AX118" s="88" t="n">
        <f aca="false">AK118*(1+IF(K118=3,INDEX(in_sup_vat_rate,1,C118),0))+AO118*AA118/AB118</f>
        <v>3758.11319451639</v>
      </c>
      <c r="AY118" s="88" t="n">
        <f aca="false">AV118+AW118+AX118</f>
        <v>12555.2304982907</v>
      </c>
      <c r="AZ118" s="88" t="n">
        <f aca="false">MAX(INDEX(in_oce_ins_min,1,C118),INDEX(in_oce_ins_rate,1,C118)*(1+INDEX(in_oce_ins_uplift,1,C118))*(AL118+AO118+AR118+AU118))*(1-INDEX(in_oce_ins_in_other,1,C118))</f>
        <v>100</v>
      </c>
      <c r="BA118" s="87" t="n">
        <f aca="false">INDEX(in_cus_mfn,1,C118)+L118</f>
        <v>0.125</v>
      </c>
      <c r="BB118" s="88" t="n">
        <f aca="false">AY118*BA118</f>
        <v>1569.40381228634</v>
      </c>
      <c r="BC118" s="88" t="n">
        <f aca="false">MIN(MAX(AY118*INDEX(in_cus_mpf_rate,1,C118),INDEX(in_cus_mpf_min,1,C118)),INDEX(in_cus_mpf_max,1,C118))</f>
        <v>43.4913184460789</v>
      </c>
      <c r="BD118" s="88" t="n">
        <f aca="false">AY118*INDEX(in_cus_hmf,1,C118)</f>
        <v>15.6940381228634</v>
      </c>
      <c r="BE118" s="88" t="n">
        <f aca="false">MAX(INDEX(in_cus_stb_min,1,C118),INDEX(in_cus_stb_rate,1,C118)/1000*(AY118+BB118+BC118+BD118))</f>
        <v>99.2867376700218</v>
      </c>
      <c r="BF118" s="88" t="n">
        <f aca="false">INDEX(in_cus_broker,1,C118)+INDEX(in_cus_isf,1,C118)+INDEX(in_cus_do_fee,1,C118)+BE118+INDEX(in_cus_isf_bond,1,C118)</f>
        <v>724.286737670022</v>
      </c>
      <c r="BG118" s="88" t="n">
        <f aca="false">IF(H118=1,INDEX(in_cus_cfc,1,C118)*INDEX(ct_teu,F118)*G118*(1-INDEX(in_cus_cfc_in_freight,1,C118)),0)</f>
        <v>0</v>
      </c>
      <c r="BH118" s="88" t="n">
        <f aca="false">IF(F118=4,1,G118)*(INDEX(in_cus_exam,1,C118)+INDEX(in_cus_exam_dray,1,C118))</f>
        <v>1200</v>
      </c>
      <c r="BI118" s="88" t="n">
        <f aca="false">IF(F118=4,1,G118)*INDEX(in_cus_dem_days,1,C118)*INDEX(in_cus_dem_rate,1,C118)</f>
        <v>1500</v>
      </c>
      <c r="BJ118" s="88" t="n">
        <f aca="false">BG118+BH118+BI118</f>
        <v>2700</v>
      </c>
      <c r="BK118" s="88" t="n">
        <f aca="false">IF(F118=4,(INDEX(in_dra_lcl_cfs_d,1,C118)+INDEX(in_dra_lcl_deliv,1,C118))*P118,G118*(INDEX(tbl_dest_line,E118,C118)*P118*(1+INDEX(in_dra_fsc,1,C118))+INDEX(tbl_dest_tolls,E118,C118)+INDEX(in_dra_chassis_days,1,C118)*INDEX(tbl_dest_chassis,E118,C118)*(1-INDEX(in_dra_chassis_in_dray,1,C118))+INDEX(in_dra_wait_hours,1,C118)*INDEX(in_dra_wait_rate,1,C118)+INDEX(in_dra_split,1,C118)+INDEX(in_dra_prepull,1,C118)+INDEX(in_dra_dryrun,1,C118)))</f>
        <v>5700</v>
      </c>
      <c r="BL118" s="88" t="n">
        <f aca="false">IF(F118=4,0,G118*IF(F118=1,INDEX(in_dra_unload_20,1,C118),INDEX(in_dra_unload_40,1,C118))*Q118*(1-INDEX(in_dra_unload_in_dray,1,C118)))</f>
        <v>900</v>
      </c>
      <c r="BM118" s="88" t="n">
        <f aca="false">AL118+AN118+AO118+AR118+AU118+AZ118+BB118+BC118+BD118+BF118+BJ118+BK118+BL118</f>
        <v>34875.3021988697</v>
      </c>
      <c r="BN118" s="88" t="n">
        <f aca="false">AP118+AU118+BJ118+BK118+BL118</f>
        <v>18699.2873718015</v>
      </c>
      <c r="BO118" s="88" t="n">
        <f aca="false">AQ118+BF118</f>
        <v>1892.19515992217</v>
      </c>
      <c r="BP118" s="88" t="n">
        <f aca="false">AI118*(1+IF(K118=3,INDEX(in_sup_vat_rate,1,C118),0))+AO118*Y118/AB118+AV118*BA118+(BC118+BD118)*AV118/AY118+AZ118*AI118/AL118+BN118*AC118/AF118+BO118*Y118/AB118</f>
        <v>11959.1548335573</v>
      </c>
      <c r="BQ118" s="88" t="n">
        <f aca="false">AJ118*(1+IF(K118=3,INDEX(in_sup_vat_rate,1,C118),0))+AO118*Z118/AB118+AW118*BA118+(BC118+BD118)*AW118/AY118+AZ118*AJ118/AL118+BN118*AD118/AF118+BO118*Z118/AB118</f>
        <v>13065.8971269352</v>
      </c>
      <c r="BR118" s="88" t="n">
        <f aca="false">AK118*(1+IF(K118=3,INDEX(in_sup_vat_rate,1,C118),0))+AO118*AA118/AB118+AX118*BA118+(BC118+BD118)*AX118/AY118+AZ118*AK118/AL118+BN118*AE118/AF118+BO118*AA118/AB118</f>
        <v>9850.25023837722</v>
      </c>
      <c r="BS118" s="89" t="n">
        <f aca="false">BP118+BQ118+BR118-BM118</f>
        <v>0</v>
      </c>
      <c r="BT118" s="85" t="n">
        <f aca="false">Y118*(1-R118)</f>
        <v>19200</v>
      </c>
      <c r="BU118" s="85" t="n">
        <f aca="false">Z118*(1-R118)</f>
        <v>19200</v>
      </c>
      <c r="BV118" s="85" t="n">
        <f aca="false">AA118*(1-R118)</f>
        <v>19200</v>
      </c>
      <c r="BW118" s="85" t="n">
        <f aca="false">BT118+BU118+BV118</f>
        <v>57600</v>
      </c>
      <c r="BX118" s="90" t="n">
        <f aca="false">IF(BT118&gt;0,BP118/BT118,0)</f>
        <v>0.622872647581108</v>
      </c>
      <c r="BY118" s="90" t="n">
        <f aca="false">IF(BU118&gt;0,BQ118/BU118,0)</f>
        <v>0.680515475361206</v>
      </c>
      <c r="BZ118" s="90" t="n">
        <f aca="false">IF(BV118&gt;0,BR118/BV118,0)</f>
        <v>0.513033866582147</v>
      </c>
      <c r="CA118" s="90" t="n">
        <f aca="false">INDEX(in_mkt_listing_3464,1,C118)*(1-IF(sku_flute_3464="B",T118,0))*(1-S118)*N118</f>
        <v>0.1995</v>
      </c>
      <c r="CB118" s="90" t="n">
        <f aca="false">INDEX(in_mkt_listing_3463,1,C118)*(1-IF(sku_flute_3463="B",T118,0))*(1-S118)*N118</f>
        <v>0.23625</v>
      </c>
      <c r="CC118" s="90" t="n">
        <f aca="false">INDEX(in_mkt_listing_3460,1,C118)*(1-IF(sku_flute_3460="B",T118,0))*(1-S118)*N118</f>
        <v>0.21</v>
      </c>
      <c r="CD118" s="88" t="n">
        <f aca="false">BT118*CA118+BU118*CB118+BV118*CC118</f>
        <v>12398.4</v>
      </c>
      <c r="CE118" s="88" t="n">
        <f aca="false">CD118-BM118</f>
        <v>-22476.9021988696</v>
      </c>
      <c r="CF118" s="87" t="n">
        <f aca="false">IF(CD118&gt;0,CE118/CD118,0)</f>
        <v>-1.81288732407969</v>
      </c>
      <c r="CG118" s="87" t="n">
        <f aca="false">W118+INDEX(in_sel_processing,1,C118)+INDEX(in_sel_bad_debt,1,C118)</f>
        <v>0.095</v>
      </c>
      <c r="CH118" s="88" t="n">
        <f aca="false">CD118*CG118</f>
        <v>1177.848</v>
      </c>
      <c r="CI118" s="88" t="n">
        <f aca="false">INDEX(in_sel_testing,1,C118)*X118+INDEX(in_sel_admin,1,C118)</f>
        <v>4750</v>
      </c>
      <c r="CJ118" s="79" t="n">
        <f aca="false">INDEX(in_sup_lead_days,1,C118)</f>
        <v>35</v>
      </c>
      <c r="CK118" s="79" t="n">
        <f aca="false">CJ118+INDEX(in_oce_transit,1,C118)+IF(F118=4,INDEX(in_oce_lcl_extra_days,1,C118),0)</f>
        <v>73</v>
      </c>
      <c r="CL118" s="79" t="n">
        <f aca="false">CK118+2+INDEX(in_cus_dem_days,1,C118)</f>
        <v>78</v>
      </c>
      <c r="CM118" s="79" t="n">
        <f aca="false">CL118+U118</f>
        <v>138</v>
      </c>
      <c r="CN118" s="79" t="n">
        <f aca="false">CJ118+INDEX(in_sup_vat_lag,1,C118)</f>
        <v>215</v>
      </c>
      <c r="CO118" s="91" t="n">
        <f aca="false">INDEX(in_sup_advance,1,C118)</f>
        <v>0.5</v>
      </c>
      <c r="CP118" s="88" t="n">
        <f aca="false">CO118*(AL118+AM118)+AO118+INDEX(in_sel_testing,1,C118)*X118</f>
        <v>10536.6020926137</v>
      </c>
      <c r="CQ118" s="88" t="n">
        <f aca="false">(1-CO118)*(AL118+AM118)+AR118+AU118+AZ118</f>
        <v>16685.8241997307</v>
      </c>
      <c r="CR118" s="88" t="n">
        <f aca="false">BB118+BC118+BD118+BF118+BJ118</f>
        <v>5052.8759065253</v>
      </c>
      <c r="CS118" s="88" t="n">
        <f aca="false">BK118+BL118</f>
        <v>6600</v>
      </c>
      <c r="CT118" s="88" t="n">
        <f aca="false">IF(K118=2,AM118,0)</f>
        <v>0</v>
      </c>
      <c r="CU118" s="85" t="n">
        <f aca="false">IF(K118=2,CO118*AM118*(CN118-0)+(1-CO118)*AM118*(CN118-CJ118),0)</f>
        <v>0</v>
      </c>
      <c r="CV118" s="85" t="n">
        <f aca="false">(CP118-CO118*CT118)*(CM118-0)+(CQ118-(1-CO118)*CT118)*(CM118-CJ118)+CR118*(CM118-CK118)+CS118*(CM118-CL118)</f>
        <v>3897127.91527709</v>
      </c>
      <c r="CW118" s="88" t="n">
        <f aca="false">INDEX(in_sel_fin_rate,1,C118)/365*(CU118+CV118)</f>
        <v>1494.78878942135</v>
      </c>
      <c r="CX118" s="85" t="n">
        <f aca="false">CP118-IF(CN118&lt;=0,CT118,0)</f>
        <v>10536.6020926137</v>
      </c>
      <c r="CY118" s="85" t="n">
        <f aca="false">CP118+CQ118-IF(CN118&lt;=CJ118,CT118,0)</f>
        <v>27222.4262923444</v>
      </c>
      <c r="CZ118" s="85" t="n">
        <f aca="false">CP118+CQ118+CR118-IF(CN118&lt;=CK118,CT118,0)</f>
        <v>32275.3021988697</v>
      </c>
      <c r="DA118" s="85" t="n">
        <f aca="false">CP118+CQ118+CR118+CS118-IF(CN118&lt;=CL118,CT118,0)</f>
        <v>38875.3021988697</v>
      </c>
      <c r="DB118" s="88" t="n">
        <f aca="false">MAX(CX118,CY118,CZ118,DA118)</f>
        <v>38875.3021988697</v>
      </c>
      <c r="DC118" s="88" t="n">
        <f aca="false">CP118+CQ118+CR118+CS118</f>
        <v>38875.3021988697</v>
      </c>
      <c r="DD118" s="88" t="n">
        <f aca="false">CE118-CH118-CI118-CW118</f>
        <v>-29899.538988291</v>
      </c>
      <c r="DE118" s="87" t="n">
        <f aca="false">IF(CD118&gt;0,DD118/CD118,0)</f>
        <v>-2.41156431380589</v>
      </c>
      <c r="DF118" s="86" t="n">
        <f aca="false">IF(CD118&gt;0,(BM118+CI118+CW118)/(CD118*(1-CG118)),0)</f>
        <v>3.66471194895679</v>
      </c>
      <c r="DG118" s="90" t="n">
        <f aca="false">IF(BW118&gt;0,BM118/BW118,0)</f>
        <v>0.605473996508154</v>
      </c>
      <c r="DH118" s="90" t="n">
        <f aca="false">IF(BW118&gt;0,CD118/BW118,0)</f>
        <v>0.21525</v>
      </c>
      <c r="DI118" s="90" t="n">
        <f aca="false">IF(AI118&gt;0,(AI118*IF(K118=3,INDEX(in_sup_vat_rate,1,C118),0)+AV118*BA118+(BC118+BD118)*AV118/AY118+AZ118*AI118/AL118)/AI118,0)</f>
        <v>0.303218326895857</v>
      </c>
      <c r="DJ118" s="90" t="n">
        <f aca="false">IF(AJ118&gt;0,(AJ118*IF(K118=3,INDEX(in_sup_vat_rate,1,C118),0)+AW118*BA118+(BC118+BD118)*AW118/AY118+AZ118*AJ118/AL118)/AJ118,0)</f>
        <v>0.30356406149334</v>
      </c>
      <c r="DK118" s="90" t="n">
        <f aca="false">IF(AK118&gt;0,(AK118*IF(K118=3,INDEX(in_sup_vat_rate,1,C118),0)+AX118*BA118+(BC118+BD118)*AX118/AY118+AZ118*AK118/AL118)/AK118,0)</f>
        <v>0.304465439055422</v>
      </c>
      <c r="DL118" s="90" t="n">
        <f aca="false">IF(Y118&gt;0,(BP118-AI118*(1+DI118))/Y118,0)</f>
        <v>0.349505168696776</v>
      </c>
      <c r="DM118" s="90" t="n">
        <f aca="false">IF(Z118&gt;0,(BQ118-AJ118*(1+DJ118))/Z118,0)</f>
        <v>0.418591205784712</v>
      </c>
      <c r="DN118" s="90" t="n">
        <f aca="false">IF(AA118&gt;0,(BR118-AK118*(1+DK118))/AA118,0)</f>
        <v>0.287376436451532</v>
      </c>
      <c r="DO118" s="86" t="n">
        <f aca="false">IF(Y118&gt;0,(CA118*(1-thr_gm_go)*(1-R118)-DL118)/(1+DI118)*I118/((1+AH118)*J118),"")</f>
        <v>-6.93115034183851</v>
      </c>
      <c r="DP118" s="86" t="n">
        <f aca="false">IF(Z118&gt;0,(CB118*(1-thr_gm_go)*(1-R118)-DM118)/(1+DJ118)*I118/((1+AH118)*J118),"")</f>
        <v>-8.36408177290057</v>
      </c>
      <c r="DQ118" s="86" t="n">
        <f aca="false">IF(AA118&gt;0,(CC118*(1-thr_gm_go)*(1-R118)-DN118)/(1+DK118)*I118/((1+AH118)*J118),"")</f>
        <v>-4.58045913852541</v>
      </c>
      <c r="DR118" s="92" t="n">
        <f aca="false">IF(AND(AY118*INDEX(in_cus_mpf_rate,1,C118)&gt;INDEX(in_cus_mpf_min,1,C118),AY118*INDEX(in_cus_mpf_rate,1,C118)&lt;INDEX(in_cus_mpf_max,1,C118)),INDEX(in_cus_mpf_rate,1,C118),0)</f>
        <v>0.003464</v>
      </c>
      <c r="DS118" s="88" t="n">
        <f aca="false">IF(AZ118&gt;INDEX(in_oce_ins_min,1,C118),INDEX(in_oce_ins_rate,1,C118)*(1+INDEX(in_oce_ins_uplift,1,C118))*AL118,0)</f>
        <v>0</v>
      </c>
      <c r="DT118" s="88" t="n">
        <f aca="false">(AL118+AN118)*(1+BA118+INDEX(in_cus_hmf,1,C118)+DR118)+DS118</f>
        <v>13598.657541382</v>
      </c>
      <c r="DU118" s="86" t="n">
        <f aca="false">IF(DT118&gt;0,(CD118*(1-thr_gm_go)-(BM118-DT118))/DT118,0)</f>
        <v>-0.880810816879389</v>
      </c>
      <c r="DV118" s="86" t="n">
        <f aca="false">IF(DT118&gt;0,(CD118-(BM118-DT118))/DT118,0)</f>
        <v>-0.652876552738415</v>
      </c>
      <c r="DW118" s="87" t="n">
        <f aca="false">(1+AH118)*J118*DU118-1</f>
        <v>-1.96889189856733</v>
      </c>
      <c r="DX118" s="87" t="n">
        <f aca="false">(1+AH118)*J118*DV118-1</f>
        <v>-1.71816420801226</v>
      </c>
      <c r="DY118" s="85" t="n">
        <f aca="false">IF(G118&gt;0,(CD118*(1-thr_gm_go)-(BM118-AT118))/G118,"")</f>
        <v>-8788.25109943483</v>
      </c>
      <c r="DZ118" s="90" t="n">
        <f aca="false">IF(AB118&gt;0,(AL118+AN118+BB118+BC118+BD118)/AB118,0)</f>
        <v>0.227764099670154</v>
      </c>
      <c r="EA118" s="88" t="n">
        <f aca="false">BM118-DZ118*AB118</f>
        <v>21209.4562186604</v>
      </c>
      <c r="EB118" s="90" t="n">
        <f aca="false">IF(AB118&gt;0,CD118/AB118,0)</f>
        <v>0.20664</v>
      </c>
      <c r="EC118" s="85" t="str">
        <f aca="false">IF(EB118*(1-thr_gm_go)-DZ118&gt;0,EA118/(EB118*(1-thr_gm_go)-DZ118),"n/a")</f>
        <v>n/a</v>
      </c>
      <c r="ED118" s="85" t="str">
        <f aca="false">IF(EB118-DZ118&gt;0,EA118/(EB118-DZ118),"n/a")</f>
        <v>n/a</v>
      </c>
      <c r="EE118" s="93" t="b">
        <f aca="false">INDEX(cfg_fits,D118,C118)</f>
        <v>0</v>
      </c>
      <c r="EF118" s="87" t="n">
        <f aca="false">IF(F118=4,"",INDEX(cfg_lenutil,D118,C118))</f>
        <v>1.14827586206897</v>
      </c>
      <c r="EG118" s="31" t="str">
        <f aca="false">IF(O118&gt;1,"Check fit (units scaled up)","")</f>
        <v/>
      </c>
    </row>
    <row r="119" customFormat="false" ht="15" hidden="false" customHeight="false" outlineLevel="0" collapsed="false">
      <c r="A119" s="78" t="n">
        <v>3035</v>
      </c>
      <c r="B119" s="9" t="s">
        <v>3267</v>
      </c>
      <c r="C119" s="78" t="n">
        <v>3</v>
      </c>
      <c r="D119" s="78" t="n">
        <v>3</v>
      </c>
      <c r="E119" s="78" t="n">
        <v>5</v>
      </c>
      <c r="F119" s="79" t="n">
        <f aca="false">INDEX(cfg_ct,D119)</f>
        <v>1</v>
      </c>
      <c r="G119" s="79" t="n">
        <f aca="false">INDEX(cfg_n,D119)</f>
        <v>2</v>
      </c>
      <c r="H119" s="79" t="n">
        <f aca="false">INDEX(dest_port,E119)</f>
        <v>4</v>
      </c>
      <c r="I119" s="80" t="n">
        <f aca="false">INDEX(in_fx_cbe,1,C119)*(1-INDEX(in_fx_spread,1,C119))</f>
        <v>48.265</v>
      </c>
      <c r="J119" s="81" t="n">
        <f aca="false">1</f>
        <v>1</v>
      </c>
      <c r="K119" s="82" t="n">
        <f aca="false">INDEX(in_sup_vat_mode,1,C119)</f>
        <v>3</v>
      </c>
      <c r="L119" s="83" t="n">
        <f aca="false">INDEX(in_cus_s301,1,C119)</f>
        <v>0.125</v>
      </c>
      <c r="M119" s="84" t="n">
        <f aca="false">1</f>
        <v>1</v>
      </c>
      <c r="N119" s="81" t="n">
        <f aca="false">1</f>
        <v>1</v>
      </c>
      <c r="O119" s="81" t="n">
        <f aca="false">1</f>
        <v>1</v>
      </c>
      <c r="P119" s="81" t="n">
        <f aca="false">1</f>
        <v>1</v>
      </c>
      <c r="Q119" s="81" t="n">
        <f aca="false">1</f>
        <v>1</v>
      </c>
      <c r="R119" s="83" t="n">
        <f aca="false">INDEX(in_sel_damage,1,C119)</f>
        <v>0.04</v>
      </c>
      <c r="S119" s="83" t="n">
        <f aca="false">INDEX(in_mkt_dist_margin,1,C119)</f>
        <v>0.3</v>
      </c>
      <c r="T119" s="83" t="n">
        <f aca="false">INDEX(in_mkt_eflute_disc,1,C119)</f>
        <v>0.25</v>
      </c>
      <c r="U119" s="82" t="n">
        <f aca="false">INDEX(in_sel_credit_days,1,C119)</f>
        <v>60</v>
      </c>
      <c r="V119" s="81" t="n">
        <f aca="false">1</f>
        <v>1</v>
      </c>
      <c r="W119" s="83" t="n">
        <f aca="false">INDEX(in_sel_commission,1,C119)</f>
        <v>0.07</v>
      </c>
      <c r="X119" s="82" t="n">
        <f aca="false">1</f>
        <v>1</v>
      </c>
      <c r="Y119" s="85" t="n">
        <f aca="false">INDEX(cfg_u_3464,D119,C119)*O119</f>
        <v>20000</v>
      </c>
      <c r="Z119" s="85" t="n">
        <f aca="false">INDEX(cfg_u_3463,D119,C119)*O119</f>
        <v>20000</v>
      </c>
      <c r="AA119" s="85" t="n">
        <f aca="false">INDEX(cfg_u_3460,D119,C119)*O119</f>
        <v>20000</v>
      </c>
      <c r="AB119" s="85" t="n">
        <f aca="false">Y119+Z119+AA119</f>
        <v>60000</v>
      </c>
      <c r="AC119" s="86" t="n">
        <f aca="false">Y119*INDEX(lg_vpu_3464,C119)</f>
        <v>16.00632</v>
      </c>
      <c r="AD119" s="86" t="n">
        <f aca="false">Z119*INDEX(lg_vpu_3463,C119)</f>
        <v>19.58112</v>
      </c>
      <c r="AE119" s="86" t="n">
        <f aca="false">AA119*INDEX(lg_vpu_3460,C119)</f>
        <v>12.79152</v>
      </c>
      <c r="AF119" s="86" t="n">
        <f aca="false">AC119+AD119+AE119</f>
        <v>48.37896</v>
      </c>
      <c r="AG119" s="85" t="n">
        <f aca="false">Y119*INDEX(lg_kpu_3464,C119)+Z119*INDEX(lg_kpu_3463,C119)+AA119*INDEX(lg_kpu_3460,C119)</f>
        <v>11802.43968</v>
      </c>
      <c r="AH119" s="87" t="n">
        <f aca="false">INDEX(in_sup_requote,1,C119)</f>
        <v>0.1</v>
      </c>
      <c r="AI119" s="88" t="n">
        <f aca="false">Y119*q_price_3464*(1+AH119)*J119/I119</f>
        <v>3812.90790427846</v>
      </c>
      <c r="AJ119" s="88" t="n">
        <f aca="false">Z119*q_price_3463*(1+AH119)*J119/I119</f>
        <v>3600.95307158396</v>
      </c>
      <c r="AK119" s="88" t="n">
        <f aca="false">AA119*q_price_3460*(1+AH119)*J119/I119</f>
        <v>3145.13622707966</v>
      </c>
      <c r="AL119" s="88" t="n">
        <f aca="false">AI119+AJ119+AK119</f>
        <v>10558.9972029421</v>
      </c>
      <c r="AM119" s="88" t="n">
        <f aca="false">IF(OR(K119=2,K119=3),AL119*INDEX(in_sup_vat_rate,1,C119),0)</f>
        <v>1478.25960841189</v>
      </c>
      <c r="AN119" s="88" t="n">
        <f aca="false">IF(K119=3,AM119,0)</f>
        <v>1478.25960841189</v>
      </c>
      <c r="AO119" s="88" t="n">
        <f aca="false">INDEX(in_sup_tooling_egp,1,C119)/I119</f>
        <v>517.973686936704</v>
      </c>
      <c r="AP119" s="88" t="n">
        <f aca="false">IF(F119=4,INDEX(in_ori_lcl_truck,1,C119)*V119/I119+INDEX(in_ori_lcl_cfs_o,1,C119),G119*(IF(F119=1,INDEX(in_ori_truck_20,1,C119),INDEX(in_ori_truck_40,1,C119))*V119/I119+INDEX(in_ori_terminal,1,C119)+IF(F119=1,INDEX(in_ori_othc_20,1,C119),INDEX(in_ori_othc_40,1,C119))*(1-INDEX(in_ori_othc_in_freight,1,C119))+INDEX(in_ori_seal,1,C119)+INDEX(in_ori_inspection,1,C119)+INDEX(in_ori_dd_days,1,C119)*IF(F119=1,INDEX(in_ori_dd_20,1,C119),INDEX(in_ori_dd_40,1,C119))+INDEX(in_ori_loading_egp,1,C119)/I119))</f>
        <v>1354.28737180151</v>
      </c>
      <c r="AQ119" s="88" t="n">
        <f aca="false">(INDEX(in_ori_clearance,1,C119)+INDEX(in_ori_coo,1,C119))/I119+INDEX(in_ori_bl_fee,1,C119)+INDEX(in_ori_fwd_fee,1,C119)+INDEX(in_ori_qc,1,C119)+INDEX(in_ori_wires,1,C119)*INDEX(in_ori_wire_fee,1,C119)</f>
        <v>1167.90842225215</v>
      </c>
      <c r="AR119" s="88" t="n">
        <f aca="false">AP119+AQ119</f>
        <v>2522.19579405366</v>
      </c>
      <c r="AS119" s="85" t="n">
        <f aca="false">INDEX(tbl_port_diff,H119,C119)</f>
        <v>200</v>
      </c>
      <c r="AT119" s="88" t="n">
        <f aca="false">IF(F119=4,MAX(AF119*INDEX(in_oce_lcl_factor,1,C119),AG119/1000,1)*INDEX(in_oce_lcl_rate,1,C119)*M119,G119*(INDEX(tbl_ocean_rate,MIN(F119,3),C119)+AS119)*M119)</f>
        <v>8200</v>
      </c>
      <c r="AU119" s="88" t="n">
        <f aca="false">AT119+INDEX(in_oce_ams,1,C119)</f>
        <v>8245</v>
      </c>
      <c r="AV119" s="88" t="n">
        <f aca="false">AI119*(1+IF(K119=3,INDEX(in_sup_vat_rate,1,C119),0))+AO119*Y119/AB119</f>
        <v>4519.37290652302</v>
      </c>
      <c r="AW119" s="88" t="n">
        <f aca="false">AJ119*(1+IF(K119=3,INDEX(in_sup_vat_rate,1,C119),0))+AO119*Z119/AB119</f>
        <v>4277.74439725129</v>
      </c>
      <c r="AX119" s="88" t="n">
        <f aca="false">AK119*(1+IF(K119=3,INDEX(in_sup_vat_rate,1,C119),0))+AO119*AA119/AB119</f>
        <v>3758.11319451639</v>
      </c>
      <c r="AY119" s="88" t="n">
        <f aca="false">AV119+AW119+AX119</f>
        <v>12555.2304982907</v>
      </c>
      <c r="AZ119" s="88" t="n">
        <f aca="false">MAX(INDEX(in_oce_ins_min,1,C119),INDEX(in_oce_ins_rate,1,C119)*(1+INDEX(in_oce_ins_uplift,1,C119))*(AL119+AO119+AR119+AU119))*(1-INDEX(in_oce_ins_in_other,1,C119))</f>
        <v>100</v>
      </c>
      <c r="BA119" s="87" t="n">
        <f aca="false">INDEX(in_cus_mfn,1,C119)+L119</f>
        <v>0.125</v>
      </c>
      <c r="BB119" s="88" t="n">
        <f aca="false">AY119*BA119</f>
        <v>1569.40381228634</v>
      </c>
      <c r="BC119" s="88" t="n">
        <f aca="false">MIN(MAX(AY119*INDEX(in_cus_mpf_rate,1,C119),INDEX(in_cus_mpf_min,1,C119)),INDEX(in_cus_mpf_max,1,C119))</f>
        <v>43.4913184460789</v>
      </c>
      <c r="BD119" s="88" t="n">
        <f aca="false">AY119*INDEX(in_cus_hmf,1,C119)</f>
        <v>15.6940381228634</v>
      </c>
      <c r="BE119" s="88" t="n">
        <f aca="false">MAX(INDEX(in_cus_stb_min,1,C119),INDEX(in_cus_stb_rate,1,C119)/1000*(AY119+BB119+BC119+BD119))</f>
        <v>99.2867376700218</v>
      </c>
      <c r="BF119" s="88" t="n">
        <f aca="false">INDEX(in_cus_broker,1,C119)+INDEX(in_cus_isf,1,C119)+INDEX(in_cus_do_fee,1,C119)+BE119+INDEX(in_cus_isf_bond,1,C119)</f>
        <v>724.286737670022</v>
      </c>
      <c r="BG119" s="88" t="n">
        <f aca="false">IF(H119=1,INDEX(in_cus_cfc,1,C119)*INDEX(ct_teu,F119)*G119*(1-INDEX(in_cus_cfc_in_freight,1,C119)),0)</f>
        <v>0</v>
      </c>
      <c r="BH119" s="88" t="n">
        <f aca="false">IF(F119=4,1,G119)*(INDEX(in_cus_exam,1,C119)+INDEX(in_cus_exam_dray,1,C119))</f>
        <v>1200</v>
      </c>
      <c r="BI119" s="88" t="n">
        <f aca="false">IF(F119=4,1,G119)*INDEX(in_cus_dem_days,1,C119)*INDEX(in_cus_dem_rate,1,C119)</f>
        <v>1500</v>
      </c>
      <c r="BJ119" s="88" t="n">
        <f aca="false">BG119+BH119+BI119</f>
        <v>2700</v>
      </c>
      <c r="BK119" s="88" t="n">
        <f aca="false">IF(F119=4,(INDEX(in_dra_lcl_cfs_d,1,C119)+INDEX(in_dra_lcl_deliv,1,C119))*P119,G119*(INDEX(tbl_dest_line,E119,C119)*P119*(1+INDEX(in_dra_fsc,1,C119))+INDEX(tbl_dest_tolls,E119,C119)+INDEX(in_dra_chassis_days,1,C119)*INDEX(tbl_dest_chassis,E119,C119)*(1-INDEX(in_dra_chassis_in_dray,1,C119))+INDEX(in_dra_wait_hours,1,C119)*INDEX(in_dra_wait_rate,1,C119)+INDEX(in_dra_split,1,C119)+INDEX(in_dra_prepull,1,C119)+INDEX(in_dra_dryrun,1,C119)))</f>
        <v>6930</v>
      </c>
      <c r="BL119" s="88" t="n">
        <f aca="false">IF(F119=4,0,G119*IF(F119=1,INDEX(in_dra_unload_20,1,C119),INDEX(in_dra_unload_40,1,C119))*Q119*(1-INDEX(in_dra_unload_in_dray,1,C119)))</f>
        <v>900</v>
      </c>
      <c r="BM119" s="88" t="n">
        <f aca="false">AL119+AN119+AO119+AR119+AU119+AZ119+BB119+BC119+BD119+BF119+BJ119+BK119+BL119</f>
        <v>36305.3021988697</v>
      </c>
      <c r="BN119" s="88" t="n">
        <f aca="false">AP119+AU119+BJ119+BK119+BL119</f>
        <v>20129.2873718015</v>
      </c>
      <c r="BO119" s="88" t="n">
        <f aca="false">AQ119+BF119</f>
        <v>1892.19515992217</v>
      </c>
      <c r="BP119" s="88" t="n">
        <f aca="false">AI119*(1+IF(K119=3,INDEX(in_sup_vat_rate,1,C119),0))+AO119*Y119/AB119+AV119*BA119+(BC119+BD119)*AV119/AY119+AZ119*AI119/AL119+BN119*AC119/AF119+BO119*Y119/AB119</f>
        <v>12432.274503761</v>
      </c>
      <c r="BQ119" s="88" t="n">
        <f aca="false">AJ119*(1+IF(K119=3,INDEX(in_sup_vat_rate,1,C119),0))+AO119*Z119/AB119+AW119*BA119+(BC119+BD119)*AW119/AY119+AZ119*AJ119/AL119+BN119*AD119/AF119+BO119*Z119/AB119</f>
        <v>13644.6818217694</v>
      </c>
      <c r="BR119" s="88" t="n">
        <f aca="false">AK119*(1+IF(K119=3,INDEX(in_sup_vat_rate,1,C119),0))+AO119*AA119/AB119+AX119*BA119+(BC119+BD119)*AX119/AY119+AZ119*AK119/AL119+BN119*AE119/AF119+BO119*AA119/AB119</f>
        <v>10228.3458733392</v>
      </c>
      <c r="BS119" s="89" t="n">
        <f aca="false">BP119+BQ119+BR119-BM119</f>
        <v>0</v>
      </c>
      <c r="BT119" s="85" t="n">
        <f aca="false">Y119*(1-R119)</f>
        <v>19200</v>
      </c>
      <c r="BU119" s="85" t="n">
        <f aca="false">Z119*(1-R119)</f>
        <v>19200</v>
      </c>
      <c r="BV119" s="85" t="n">
        <f aca="false">AA119*(1-R119)</f>
        <v>19200</v>
      </c>
      <c r="BW119" s="85" t="n">
        <f aca="false">BT119+BU119+BV119</f>
        <v>57600</v>
      </c>
      <c r="BX119" s="90" t="n">
        <f aca="false">IF(BT119&gt;0,BP119/BT119,0)</f>
        <v>0.647514297070887</v>
      </c>
      <c r="BY119" s="90" t="n">
        <f aca="false">IF(BU119&gt;0,BQ119/BU119,0)</f>
        <v>0.710660511550491</v>
      </c>
      <c r="BZ119" s="90" t="n">
        <f aca="false">IF(BV119&gt;0,BR119/BV119,0)</f>
        <v>0.53272634756975</v>
      </c>
      <c r="CA119" s="90" t="n">
        <f aca="false">INDEX(in_mkt_listing_3464,1,C119)*(1-IF(sku_flute_3464="B",T119,0))*(1-S119)*N119</f>
        <v>0.1995</v>
      </c>
      <c r="CB119" s="90" t="n">
        <f aca="false">INDEX(in_mkt_listing_3463,1,C119)*(1-IF(sku_flute_3463="B",T119,0))*(1-S119)*N119</f>
        <v>0.23625</v>
      </c>
      <c r="CC119" s="90" t="n">
        <f aca="false">INDEX(in_mkt_listing_3460,1,C119)*(1-IF(sku_flute_3460="B",T119,0))*(1-S119)*N119</f>
        <v>0.21</v>
      </c>
      <c r="CD119" s="88" t="n">
        <f aca="false">BT119*CA119+BU119*CB119+BV119*CC119</f>
        <v>12398.4</v>
      </c>
      <c r="CE119" s="88" t="n">
        <f aca="false">CD119-BM119</f>
        <v>-23906.9021988696</v>
      </c>
      <c r="CF119" s="87" t="n">
        <f aca="false">IF(CD119&gt;0,CE119/CD119,0)</f>
        <v>-1.92822478697813</v>
      </c>
      <c r="CG119" s="87" t="n">
        <f aca="false">W119+INDEX(in_sel_processing,1,C119)+INDEX(in_sel_bad_debt,1,C119)</f>
        <v>0.095</v>
      </c>
      <c r="CH119" s="88" t="n">
        <f aca="false">CD119*CG119</f>
        <v>1177.848</v>
      </c>
      <c r="CI119" s="88" t="n">
        <f aca="false">INDEX(in_sel_testing,1,C119)*X119+INDEX(in_sel_admin,1,C119)</f>
        <v>4750</v>
      </c>
      <c r="CJ119" s="79" t="n">
        <f aca="false">INDEX(in_sup_lead_days,1,C119)</f>
        <v>35</v>
      </c>
      <c r="CK119" s="79" t="n">
        <f aca="false">CJ119+INDEX(in_oce_transit,1,C119)+IF(F119=4,INDEX(in_oce_lcl_extra_days,1,C119),0)</f>
        <v>73</v>
      </c>
      <c r="CL119" s="79" t="n">
        <f aca="false">CK119+2+INDEX(in_cus_dem_days,1,C119)</f>
        <v>78</v>
      </c>
      <c r="CM119" s="79" t="n">
        <f aca="false">CL119+U119</f>
        <v>138</v>
      </c>
      <c r="CN119" s="79" t="n">
        <f aca="false">CJ119+INDEX(in_sup_vat_lag,1,C119)</f>
        <v>215</v>
      </c>
      <c r="CO119" s="91" t="n">
        <f aca="false">INDEX(in_sup_advance,1,C119)</f>
        <v>0.5</v>
      </c>
      <c r="CP119" s="88" t="n">
        <f aca="false">CO119*(AL119+AM119)+AO119+INDEX(in_sel_testing,1,C119)*X119</f>
        <v>10536.6020926137</v>
      </c>
      <c r="CQ119" s="88" t="n">
        <f aca="false">(1-CO119)*(AL119+AM119)+AR119+AU119+AZ119</f>
        <v>16885.8241997307</v>
      </c>
      <c r="CR119" s="88" t="n">
        <f aca="false">BB119+BC119+BD119+BF119+BJ119</f>
        <v>5052.8759065253</v>
      </c>
      <c r="CS119" s="88" t="n">
        <f aca="false">BK119+BL119</f>
        <v>7830</v>
      </c>
      <c r="CT119" s="88" t="n">
        <f aca="false">IF(K119=2,AM119,0)</f>
        <v>0</v>
      </c>
      <c r="CU119" s="85" t="n">
        <f aca="false">IF(K119=2,CO119*AM119*(CN119-0)+(1-CO119)*AM119*(CN119-CJ119),0)</f>
        <v>0</v>
      </c>
      <c r="CV119" s="85" t="n">
        <f aca="false">(CP119-CO119*CT119)*(CM119-0)+(CQ119-(1-CO119)*CT119)*(CM119-CJ119)+CR119*(CM119-CK119)+CS119*(CM119-CL119)</f>
        <v>3991527.91527709</v>
      </c>
      <c r="CW119" s="88" t="n">
        <f aca="false">INDEX(in_sel_fin_rate,1,C119)/365*(CU119+CV119)</f>
        <v>1530.99700859943</v>
      </c>
      <c r="CX119" s="85" t="n">
        <f aca="false">CP119-IF(CN119&lt;=0,CT119,0)</f>
        <v>10536.6020926137</v>
      </c>
      <c r="CY119" s="85" t="n">
        <f aca="false">CP119+CQ119-IF(CN119&lt;=CJ119,CT119,0)</f>
        <v>27422.4262923444</v>
      </c>
      <c r="CZ119" s="85" t="n">
        <f aca="false">CP119+CQ119+CR119-IF(CN119&lt;=CK119,CT119,0)</f>
        <v>32475.3021988697</v>
      </c>
      <c r="DA119" s="85" t="n">
        <f aca="false">CP119+CQ119+CR119+CS119-IF(CN119&lt;=CL119,CT119,0)</f>
        <v>40305.3021988697</v>
      </c>
      <c r="DB119" s="88" t="n">
        <f aca="false">MAX(CX119,CY119,CZ119,DA119)</f>
        <v>40305.3021988697</v>
      </c>
      <c r="DC119" s="88" t="n">
        <f aca="false">CP119+CQ119+CR119+CS119</f>
        <v>40305.3021988697</v>
      </c>
      <c r="DD119" s="88" t="n">
        <f aca="false">CE119-CH119-CI119-CW119</f>
        <v>-31365.7472074691</v>
      </c>
      <c r="DE119" s="87" t="n">
        <f aca="false">IF(CD119&gt;0,DD119/CD119,0)</f>
        <v>-2.52982217120508</v>
      </c>
      <c r="DF119" s="86" t="n">
        <f aca="false">IF(CD119&gt;0,(BM119+CI119+CW119)/(CD119*(1-CG119)),0)</f>
        <v>3.79538361459125</v>
      </c>
      <c r="DG119" s="90" t="n">
        <f aca="false">IF(BW119&gt;0,BM119/BW119,0)</f>
        <v>0.630300385397043</v>
      </c>
      <c r="DH119" s="90" t="n">
        <f aca="false">IF(BW119&gt;0,CD119/BW119,0)</f>
        <v>0.21525</v>
      </c>
      <c r="DI119" s="90" t="n">
        <f aca="false">IF(AI119&gt;0,(AI119*IF(K119=3,INDEX(in_sup_vat_rate,1,C119),0)+AV119*BA119+(BC119+BD119)*AV119/AY119+AZ119*AI119/AL119)/AI119,0)</f>
        <v>0.303218326895857</v>
      </c>
      <c r="DJ119" s="90" t="n">
        <f aca="false">IF(AJ119&gt;0,(AJ119*IF(K119=3,INDEX(in_sup_vat_rate,1,C119),0)+AW119*BA119+(BC119+BD119)*AW119/AY119+AZ119*AJ119/AL119)/AJ119,0)</f>
        <v>0.30356406149334</v>
      </c>
      <c r="DK119" s="90" t="n">
        <f aca="false">IF(AK119&gt;0,(AK119*IF(K119=3,INDEX(in_sup_vat_rate,1,C119),0)+AX119*BA119+(BC119+BD119)*AX119/AY119+AZ119*AK119/AL119)/AK119,0)</f>
        <v>0.304465439055422</v>
      </c>
      <c r="DL119" s="90" t="n">
        <f aca="false">IF(Y119&gt;0,(BP119-AI119*(1+DI119))/Y119,0)</f>
        <v>0.373161152206963</v>
      </c>
      <c r="DM119" s="90" t="n">
        <f aca="false">IF(Z119&gt;0,(BQ119-AJ119*(1+DJ119))/Z119,0)</f>
        <v>0.447530440526426</v>
      </c>
      <c r="DN119" s="90" t="n">
        <f aca="false">IF(AA119&gt;0,(BR119-AK119*(1+DK119))/AA119,0)</f>
        <v>0.30628121819963</v>
      </c>
      <c r="DO119" s="86" t="n">
        <f aca="false">IF(Y119&gt;0,(CA119*(1-thr_gm_go)*(1-R119)-DL119)/(1+DI119)*I119/((1+AH119)*J119),"")</f>
        <v>-7.72760939914832</v>
      </c>
      <c r="DP119" s="86" t="n">
        <f aca="false">IF(Z119&gt;0,(CB119*(1-thr_gm_go)*(1-R119)-DM119)/(1+DJ119)*I119/((1+AH119)*J119),"")</f>
        <v>-9.3381610167132</v>
      </c>
      <c r="DQ119" s="86" t="n">
        <f aca="false">IF(AA119&gt;0,(CC119*(1-thr_gm_go)*(1-R119)-DN119)/(1+DK119)*I119/((1+AH119)*J119),"")</f>
        <v>-5.21634433699532</v>
      </c>
      <c r="DR119" s="92" t="n">
        <f aca="false">IF(AND(AY119*INDEX(in_cus_mpf_rate,1,C119)&gt;INDEX(in_cus_mpf_min,1,C119),AY119*INDEX(in_cus_mpf_rate,1,C119)&lt;INDEX(in_cus_mpf_max,1,C119)),INDEX(in_cus_mpf_rate,1,C119),0)</f>
        <v>0.003464</v>
      </c>
      <c r="DS119" s="88" t="n">
        <f aca="false">IF(AZ119&gt;INDEX(in_oce_ins_min,1,C119),INDEX(in_oce_ins_rate,1,C119)*(1+INDEX(in_oce_ins_uplift,1,C119))*AL119,0)</f>
        <v>0</v>
      </c>
      <c r="DT119" s="88" t="n">
        <f aca="false">(AL119+AN119)*(1+BA119+INDEX(in_cus_hmf,1,C119)+DR119)+DS119</f>
        <v>13598.657541382</v>
      </c>
      <c r="DU119" s="86" t="n">
        <f aca="false">IF(DT119&gt;0,(CD119*(1-thr_gm_go)-(BM119-DT119))/DT119,0)</f>
        <v>-0.985968255813959</v>
      </c>
      <c r="DV119" s="86" t="n">
        <f aca="false">IF(DT119&gt;0,(CD119-(BM119-DT119))/DT119,0)</f>
        <v>-0.758033991672985</v>
      </c>
      <c r="DW119" s="87" t="n">
        <f aca="false">(1+AH119)*J119*DU119-1</f>
        <v>-2.08456508139535</v>
      </c>
      <c r="DX119" s="87" t="n">
        <f aca="false">(1+AH119)*J119*DV119-1</f>
        <v>-1.83383739084028</v>
      </c>
      <c r="DY119" s="85" t="n">
        <f aca="false">IF(G119&gt;0,(CD119*(1-thr_gm_go)-(BM119-AT119))/G119,"")</f>
        <v>-9403.25109943483</v>
      </c>
      <c r="DZ119" s="90" t="n">
        <f aca="false">IF(AB119&gt;0,(AL119+AN119+BB119+BC119+BD119)/AB119,0)</f>
        <v>0.227764099670154</v>
      </c>
      <c r="EA119" s="88" t="n">
        <f aca="false">BM119-DZ119*AB119</f>
        <v>22639.4562186604</v>
      </c>
      <c r="EB119" s="90" t="n">
        <f aca="false">IF(AB119&gt;0,CD119/AB119,0)</f>
        <v>0.20664</v>
      </c>
      <c r="EC119" s="85" t="str">
        <f aca="false">IF(EB119*(1-thr_gm_go)-DZ119&gt;0,EA119/(EB119*(1-thr_gm_go)-DZ119),"n/a")</f>
        <v>n/a</v>
      </c>
      <c r="ED119" s="85" t="str">
        <f aca="false">IF(EB119-DZ119&gt;0,EA119/(EB119-DZ119),"n/a")</f>
        <v>n/a</v>
      </c>
      <c r="EE119" s="93" t="b">
        <f aca="false">INDEX(cfg_fits,D119,C119)</f>
        <v>0</v>
      </c>
      <c r="EF119" s="87" t="n">
        <f aca="false">IF(F119=4,"",INDEX(cfg_lenutil,D119,C119))</f>
        <v>1.14827586206897</v>
      </c>
      <c r="EG119" s="31" t="str">
        <f aca="false">IF(O119&gt;1,"Check fit (units scaled up)","")</f>
        <v/>
      </c>
    </row>
    <row r="120" customFormat="false" ht="15" hidden="false" customHeight="false" outlineLevel="0" collapsed="false">
      <c r="A120" s="78" t="n">
        <v>3041</v>
      </c>
      <c r="B120" s="9" t="s">
        <v>3268</v>
      </c>
      <c r="C120" s="78" t="n">
        <v>3</v>
      </c>
      <c r="D120" s="78" t="n">
        <v>4</v>
      </c>
      <c r="E120" s="78" t="n">
        <v>1</v>
      </c>
      <c r="F120" s="79" t="n">
        <f aca="false">INDEX(cfg_ct,D120)</f>
        <v>3</v>
      </c>
      <c r="G120" s="79" t="n">
        <f aca="false">INDEX(cfg_n,D120)</f>
        <v>1</v>
      </c>
      <c r="H120" s="79" t="n">
        <f aca="false">INDEX(dest_port,E120)</f>
        <v>1</v>
      </c>
      <c r="I120" s="80" t="n">
        <f aca="false">INDEX(in_fx_cbe,1,C120)*(1-INDEX(in_fx_spread,1,C120))</f>
        <v>48.265</v>
      </c>
      <c r="J120" s="81" t="n">
        <f aca="false">1</f>
        <v>1</v>
      </c>
      <c r="K120" s="82" t="n">
        <f aca="false">INDEX(in_sup_vat_mode,1,C120)</f>
        <v>3</v>
      </c>
      <c r="L120" s="83" t="n">
        <f aca="false">INDEX(in_cus_s301,1,C120)</f>
        <v>0.125</v>
      </c>
      <c r="M120" s="84" t="n">
        <f aca="false">1</f>
        <v>1</v>
      </c>
      <c r="N120" s="81" t="n">
        <f aca="false">1</f>
        <v>1</v>
      </c>
      <c r="O120" s="81" t="n">
        <f aca="false">1</f>
        <v>1</v>
      </c>
      <c r="P120" s="81" t="n">
        <f aca="false">1</f>
        <v>1</v>
      </c>
      <c r="Q120" s="81" t="n">
        <f aca="false">1</f>
        <v>1</v>
      </c>
      <c r="R120" s="83" t="n">
        <f aca="false">INDEX(in_sel_damage,1,C120)</f>
        <v>0.04</v>
      </c>
      <c r="S120" s="83" t="n">
        <f aca="false">INDEX(in_mkt_dist_margin,1,C120)</f>
        <v>0.3</v>
      </c>
      <c r="T120" s="83" t="n">
        <f aca="false">INDEX(in_mkt_eflute_disc,1,C120)</f>
        <v>0.25</v>
      </c>
      <c r="U120" s="82" t="n">
        <f aca="false">INDEX(in_sel_credit_days,1,C120)</f>
        <v>60</v>
      </c>
      <c r="V120" s="81" t="n">
        <f aca="false">1</f>
        <v>1</v>
      </c>
      <c r="W120" s="83" t="n">
        <f aca="false">INDEX(in_sel_commission,1,C120)</f>
        <v>0.07</v>
      </c>
      <c r="X120" s="82" t="n">
        <f aca="false">1</f>
        <v>1</v>
      </c>
      <c r="Y120" s="85" t="n">
        <f aca="false">INDEX(cfg_u_3464,D120,C120)*O120</f>
        <v>21400</v>
      </c>
      <c r="Z120" s="85" t="n">
        <f aca="false">INDEX(cfg_u_3463,D120,C120)*O120</f>
        <v>21400</v>
      </c>
      <c r="AA120" s="85" t="n">
        <f aca="false">INDEX(cfg_u_3460,D120,C120)*O120</f>
        <v>21400</v>
      </c>
      <c r="AB120" s="85" t="n">
        <f aca="false">Y120+Z120+AA120</f>
        <v>64200</v>
      </c>
      <c r="AC120" s="86" t="n">
        <f aca="false">Y120*INDEX(lg_vpu_3464,C120)</f>
        <v>17.1267624</v>
      </c>
      <c r="AD120" s="86" t="n">
        <f aca="false">Z120*INDEX(lg_vpu_3463,C120)</f>
        <v>20.9517984</v>
      </c>
      <c r="AE120" s="86" t="n">
        <f aca="false">AA120*INDEX(lg_vpu_3460,C120)</f>
        <v>13.6869264</v>
      </c>
      <c r="AF120" s="86" t="n">
        <f aca="false">AC120+AD120+AE120</f>
        <v>51.7654872</v>
      </c>
      <c r="AG120" s="85" t="n">
        <f aca="false">Y120*INDEX(lg_kpu_3464,C120)+Z120*INDEX(lg_kpu_3463,C120)+AA120*INDEX(lg_kpu_3460,C120)</f>
        <v>12628.6104576</v>
      </c>
      <c r="AH120" s="87" t="n">
        <f aca="false">INDEX(in_sup_requote,1,C120)</f>
        <v>0.1</v>
      </c>
      <c r="AI120" s="88" t="n">
        <f aca="false">Y120*q_price_3464*(1+AH120)*J120/I120</f>
        <v>4079.81145757796</v>
      </c>
      <c r="AJ120" s="88" t="n">
        <f aca="false">Z120*q_price_3463*(1+AH120)*J120/I120</f>
        <v>3853.01978659484</v>
      </c>
      <c r="AK120" s="88" t="n">
        <f aca="false">AA120*q_price_3460*(1+AH120)*J120/I120</f>
        <v>3365.29576297524</v>
      </c>
      <c r="AL120" s="88" t="n">
        <f aca="false">AI120+AJ120+AK120</f>
        <v>11298.127007148</v>
      </c>
      <c r="AM120" s="88" t="n">
        <f aca="false">IF(OR(K120=2,K120=3),AL120*INDEX(in_sup_vat_rate,1,C120),0)</f>
        <v>1581.73778100073</v>
      </c>
      <c r="AN120" s="88" t="n">
        <f aca="false">IF(K120=3,AM120,0)</f>
        <v>1581.73778100073</v>
      </c>
      <c r="AO120" s="88" t="n">
        <f aca="false">INDEX(in_sup_tooling_egp,1,C120)/I120</f>
        <v>517.973686936704</v>
      </c>
      <c r="AP120" s="88" t="n">
        <f aca="false">IF(F120=4,INDEX(in_ori_lcl_truck,1,C120)*V120/I120+INDEX(in_ori_lcl_cfs_o,1,C120),G120*(IF(F120=1,INDEX(in_ori_truck_20,1,C120),INDEX(in_ori_truck_40,1,C120))*V120/I120+INDEX(in_ori_terminal,1,C120)+IF(F120=1,INDEX(in_ori_othc_20,1,C120),INDEX(in_ori_othc_40,1,C120))*(1-INDEX(in_ori_othc_in_freight,1,C120))+INDEX(in_ori_seal,1,C120)+INDEX(in_ori_inspection,1,C120)+INDEX(in_ori_dd_days,1,C120)*IF(F120=1,INDEX(in_ori_dd_20,1,C120),INDEX(in_ori_dd_40,1,C120))+INDEX(in_ori_loading_egp,1,C120)/I120))</f>
        <v>882.378949549363</v>
      </c>
      <c r="AQ120" s="88" t="n">
        <f aca="false">(INDEX(in_ori_clearance,1,C120)+INDEX(in_ori_coo,1,C120))/I120+INDEX(in_ori_bl_fee,1,C120)+INDEX(in_ori_fwd_fee,1,C120)+INDEX(in_ori_qc,1,C120)+INDEX(in_ori_wires,1,C120)*INDEX(in_ori_wire_fee,1,C120)</f>
        <v>1167.90842225215</v>
      </c>
      <c r="AR120" s="88" t="n">
        <f aca="false">AP120+AQ120</f>
        <v>2050.28737180151</v>
      </c>
      <c r="AS120" s="85" t="n">
        <f aca="false">INDEX(tbl_port_diff,H120,C120)</f>
        <v>0</v>
      </c>
      <c r="AT120" s="88" t="n">
        <f aca="false">IF(F120=4,MAX(AF120*INDEX(in_oce_lcl_factor,1,C120),AG120/1000,1)*INDEX(in_oce_lcl_rate,1,C120)*M120,G120*(INDEX(tbl_ocean_rate,MIN(F120,3),C120)+AS120)*M120)</f>
        <v>5000</v>
      </c>
      <c r="AU120" s="88" t="n">
        <f aca="false">AT120+INDEX(in_oce_ams,1,C120)</f>
        <v>5045</v>
      </c>
      <c r="AV120" s="88" t="n">
        <f aca="false">AI120*(1+IF(K120=3,INDEX(in_sup_vat_rate,1,C120),0))+AO120*Y120/AB120</f>
        <v>4823.64295728444</v>
      </c>
      <c r="AW120" s="88" t="n">
        <f aca="false">AJ120*(1+IF(K120=3,INDEX(in_sup_vat_rate,1,C120),0))+AO120*Z120/AB120</f>
        <v>4565.10045236369</v>
      </c>
      <c r="AX120" s="88" t="n">
        <f aca="false">AK120*(1+IF(K120=3,INDEX(in_sup_vat_rate,1,C120),0))+AO120*AA120/AB120</f>
        <v>4009.09506543734</v>
      </c>
      <c r="AY120" s="88" t="n">
        <f aca="false">AV120+AW120+AX120</f>
        <v>13397.8384750855</v>
      </c>
      <c r="AZ120" s="88" t="n">
        <f aca="false">MAX(INDEX(in_oce_ins_min,1,C120),INDEX(in_oce_ins_rate,1,C120)*(1+INDEX(in_oce_ins_uplift,1,C120))*(AL120+AO120+AR120+AU120))*(1-INDEX(in_oce_ins_in_other,1,C120))</f>
        <v>100</v>
      </c>
      <c r="BA120" s="87" t="n">
        <f aca="false">INDEX(in_cus_mfn,1,C120)+L120</f>
        <v>0.125</v>
      </c>
      <c r="BB120" s="88" t="n">
        <f aca="false">AY120*BA120</f>
        <v>1674.72980938568</v>
      </c>
      <c r="BC120" s="88" t="n">
        <f aca="false">MIN(MAX(AY120*INDEX(in_cus_mpf_rate,1,C120),INDEX(in_cus_mpf_min,1,C120)),INDEX(in_cus_mpf_max,1,C120))</f>
        <v>46.4101124776961</v>
      </c>
      <c r="BD120" s="88" t="n">
        <f aca="false">AY120*INDEX(in_cus_hmf,1,C120)</f>
        <v>16.7472980938568</v>
      </c>
      <c r="BE120" s="88" t="n">
        <f aca="false">MAX(INDEX(in_cus_stb_min,1,C120),INDEX(in_cus_stb_rate,1,C120)/1000*(AY120+BB120+BC120+BD120))</f>
        <v>105.950079865299</v>
      </c>
      <c r="BF120" s="88" t="n">
        <f aca="false">INDEX(in_cus_broker,1,C120)+INDEX(in_cus_isf,1,C120)+INDEX(in_cus_do_fee,1,C120)+BE120+INDEX(in_cus_isf_bond,1,C120)</f>
        <v>730.950079865299</v>
      </c>
      <c r="BG120" s="88" t="n">
        <f aca="false">IF(H120=1,INDEX(in_cus_cfc,1,C120)*INDEX(ct_teu,F120)*G120*(1-INDEX(in_cus_cfc_in_freight,1,C120)),0)</f>
        <v>29.6</v>
      </c>
      <c r="BH120" s="88" t="n">
        <f aca="false">IF(F120=4,1,G120)*(INDEX(in_cus_exam,1,C120)+INDEX(in_cus_exam_dray,1,C120))</f>
        <v>600</v>
      </c>
      <c r="BI120" s="88" t="n">
        <f aca="false">IF(F120=4,1,G120)*INDEX(in_cus_dem_days,1,C120)*INDEX(in_cus_dem_rate,1,C120)</f>
        <v>750</v>
      </c>
      <c r="BJ120" s="88" t="n">
        <f aca="false">BG120+BH120+BI120</f>
        <v>1379.6</v>
      </c>
      <c r="BK120" s="88" t="n">
        <f aca="false">IF(F120=4,(INDEX(in_dra_lcl_cfs_d,1,C120)+INDEX(in_dra_lcl_deliv,1,C120))*P120,G120*(INDEX(tbl_dest_line,E120,C120)*P120*(1+INDEX(in_dra_fsc,1,C120))+INDEX(tbl_dest_tolls,E120,C120)+INDEX(in_dra_chassis_days,1,C120)*INDEX(tbl_dest_chassis,E120,C120)*(1-INDEX(in_dra_chassis_in_dray,1,C120))+INDEX(in_dra_wait_hours,1,C120)*INDEX(in_dra_wait_rate,1,C120)+INDEX(in_dra_split,1,C120)+INDEX(in_dra_prepull,1,C120)+INDEX(in_dra_dryrun,1,C120)))</f>
        <v>2280</v>
      </c>
      <c r="BL120" s="88" t="n">
        <f aca="false">IF(F120=4,0,G120*IF(F120=1,INDEX(in_dra_unload_20,1,C120),INDEX(in_dra_unload_40,1,C120))*Q120*(1-INDEX(in_dra_unload_in_dray,1,C120)))</f>
        <v>650</v>
      </c>
      <c r="BM120" s="88" t="n">
        <f aca="false">AL120+AN120+AO120+AR120+AU120+AZ120+BB120+BC120+BD120+BF120+BJ120+BK120+BL120</f>
        <v>27371.5631467095</v>
      </c>
      <c r="BN120" s="88" t="n">
        <f aca="false">AP120+AU120+BJ120+BK120+BL120</f>
        <v>10236.9789495494</v>
      </c>
      <c r="BO120" s="88" t="n">
        <f aca="false">AQ120+BF120</f>
        <v>1898.85850211745</v>
      </c>
      <c r="BP120" s="88" t="n">
        <f aca="false">AI120*(1+IF(K120=3,INDEX(in_sup_vat_rate,1,C120),0))+AO120*Y120/AB120+AV120*BA120+(BC120+BD120)*AV120/AY120+AZ120*AI120/AL120+BN120*AC120/AF120+BO120*Y120/AB120</f>
        <v>9505.33466423897</v>
      </c>
      <c r="BQ120" s="88" t="n">
        <f aca="false">AJ120*(1+IF(K120=3,INDEX(in_sup_vat_rate,1,C120),0))+AO120*Z120/AB120+AW120*BA120+(BC120+BD120)*AW120/AY120+AZ120*AJ120/AL120+BN120*AD120/AF120+BO120*Z120/AB120</f>
        <v>9967.67525415403</v>
      </c>
      <c r="BR120" s="88" t="n">
        <f aca="false">AK120*(1+IF(K120=3,INDEX(in_sup_vat_rate,1,C120),0))+AO120*AA120/AB120+AX120*BA120+(BC120+BD120)*AX120/AY120+AZ120*AK120/AL120+BN120*AE120/AF120+BO120*AA120/AB120</f>
        <v>7898.55322831651</v>
      </c>
      <c r="BS120" s="89" t="n">
        <f aca="false">BP120+BQ120+BR120-BM120</f>
        <v>0</v>
      </c>
      <c r="BT120" s="85" t="n">
        <f aca="false">Y120*(1-R120)</f>
        <v>20544</v>
      </c>
      <c r="BU120" s="85" t="n">
        <f aca="false">Z120*(1-R120)</f>
        <v>20544</v>
      </c>
      <c r="BV120" s="85" t="n">
        <f aca="false">AA120*(1-R120)</f>
        <v>20544</v>
      </c>
      <c r="BW120" s="85" t="n">
        <f aca="false">BT120+BU120+BV120</f>
        <v>61632</v>
      </c>
      <c r="BX120" s="90" t="n">
        <f aca="false">IF(BT120&gt;0,BP120/BT120,0)</f>
        <v>0.462681788563034</v>
      </c>
      <c r="BY120" s="90" t="n">
        <f aca="false">IF(BU120&gt;0,BQ120/BU120,0)</f>
        <v>0.485186684878993</v>
      </c>
      <c r="BZ120" s="90" t="n">
        <f aca="false">IF(BV120&gt;0,BR120/BV120,0)</f>
        <v>0.384470075365874</v>
      </c>
      <c r="CA120" s="90" t="n">
        <f aca="false">INDEX(in_mkt_listing_3464,1,C120)*(1-IF(sku_flute_3464="B",T120,0))*(1-S120)*N120</f>
        <v>0.1995</v>
      </c>
      <c r="CB120" s="90" t="n">
        <f aca="false">INDEX(in_mkt_listing_3463,1,C120)*(1-IF(sku_flute_3463="B",T120,0))*(1-S120)*N120</f>
        <v>0.23625</v>
      </c>
      <c r="CC120" s="90" t="n">
        <f aca="false">INDEX(in_mkt_listing_3460,1,C120)*(1-IF(sku_flute_3460="B",T120,0))*(1-S120)*N120</f>
        <v>0.21</v>
      </c>
      <c r="CD120" s="88" t="n">
        <f aca="false">BT120*CA120+BU120*CB120+BV120*CC120</f>
        <v>13266.288</v>
      </c>
      <c r="CE120" s="88" t="n">
        <f aca="false">CD120-BM120</f>
        <v>-14105.2751467095</v>
      </c>
      <c r="CF120" s="87" t="n">
        <f aca="false">IF(CD120&gt;0,CE120/CD120,0)</f>
        <v>-1.06324204228866</v>
      </c>
      <c r="CG120" s="87" t="n">
        <f aca="false">W120+INDEX(in_sel_processing,1,C120)+INDEX(in_sel_bad_debt,1,C120)</f>
        <v>0.095</v>
      </c>
      <c r="CH120" s="88" t="n">
        <f aca="false">CD120*CG120</f>
        <v>1260.29736</v>
      </c>
      <c r="CI120" s="88" t="n">
        <f aca="false">INDEX(in_sel_testing,1,C120)*X120+INDEX(in_sel_admin,1,C120)</f>
        <v>4750</v>
      </c>
      <c r="CJ120" s="79" t="n">
        <f aca="false">INDEX(in_sup_lead_days,1,C120)</f>
        <v>35</v>
      </c>
      <c r="CK120" s="79" t="n">
        <f aca="false">CJ120+INDEX(in_oce_transit,1,C120)+IF(F120=4,INDEX(in_oce_lcl_extra_days,1,C120),0)</f>
        <v>73</v>
      </c>
      <c r="CL120" s="79" t="n">
        <f aca="false">CK120+2+INDEX(in_cus_dem_days,1,C120)</f>
        <v>78</v>
      </c>
      <c r="CM120" s="79" t="n">
        <f aca="false">CL120+U120</f>
        <v>138</v>
      </c>
      <c r="CN120" s="79" t="n">
        <f aca="false">CJ120+INDEX(in_sup_vat_lag,1,C120)</f>
        <v>215</v>
      </c>
      <c r="CO120" s="91" t="n">
        <f aca="false">INDEX(in_sup_advance,1,C120)</f>
        <v>0.5</v>
      </c>
      <c r="CP120" s="88" t="n">
        <f aca="false">CO120*(AL120+AM120)+AO120+INDEX(in_sel_testing,1,C120)*X120</f>
        <v>10957.9060810111</v>
      </c>
      <c r="CQ120" s="88" t="n">
        <f aca="false">(1-CO120)*(AL120+AM120)+AR120+AU120+AZ120</f>
        <v>13635.2197658759</v>
      </c>
      <c r="CR120" s="88" t="n">
        <f aca="false">BB120+BC120+BD120+BF120+BJ120</f>
        <v>3848.43729982254</v>
      </c>
      <c r="CS120" s="88" t="n">
        <f aca="false">BK120+BL120</f>
        <v>2930</v>
      </c>
      <c r="CT120" s="88" t="n">
        <f aca="false">IF(K120=2,AM120,0)</f>
        <v>0</v>
      </c>
      <c r="CU120" s="85" t="n">
        <f aca="false">IF(K120=2,CO120*AM120*(CN120-0)+(1-CO120)*AM120*(CN120-CJ120),0)</f>
        <v>0</v>
      </c>
      <c r="CV120" s="85" t="n">
        <f aca="false">(CP120-CO120*CT120)*(CM120-0)+(CQ120-(1-CO120)*CT120)*(CM120-CJ120)+CR120*(CM120-CK120)+CS120*(CM120-CL120)</f>
        <v>3342567.09955321</v>
      </c>
      <c r="CW120" s="88" t="n">
        <f aca="false">INDEX(in_sel_fin_rate,1,C120)/365*(CU120+CV120)</f>
        <v>1282.08053133548</v>
      </c>
      <c r="CX120" s="85" t="n">
        <f aca="false">CP120-IF(CN120&lt;=0,CT120,0)</f>
        <v>10957.9060810111</v>
      </c>
      <c r="CY120" s="85" t="n">
        <f aca="false">CP120+CQ120-IF(CN120&lt;=CJ120,CT120,0)</f>
        <v>24593.125846887</v>
      </c>
      <c r="CZ120" s="85" t="n">
        <f aca="false">CP120+CQ120+CR120-IF(CN120&lt;=CK120,CT120,0)</f>
        <v>28441.5631467095</v>
      </c>
      <c r="DA120" s="85" t="n">
        <f aca="false">CP120+CQ120+CR120+CS120-IF(CN120&lt;=CL120,CT120,0)</f>
        <v>31371.5631467095</v>
      </c>
      <c r="DB120" s="88" t="n">
        <f aca="false">MAX(CX120,CY120,CZ120,DA120)</f>
        <v>31371.5631467095</v>
      </c>
      <c r="DC120" s="88" t="n">
        <f aca="false">CP120+CQ120+CR120+CS120</f>
        <v>31371.5631467095</v>
      </c>
      <c r="DD120" s="88" t="n">
        <f aca="false">CE120-CH120-CI120-CW120</f>
        <v>-21397.653038045</v>
      </c>
      <c r="DE120" s="87" t="n">
        <f aca="false">IF(CD120&gt;0,DD120/CD120,0)</f>
        <v>-1.61293445747936</v>
      </c>
      <c r="DF120" s="86" t="n">
        <f aca="false">IF(CD120&gt;0,(BM120+CI120+CW120)/(CD120*(1-CG120)),0)</f>
        <v>2.78224801931421</v>
      </c>
      <c r="DG120" s="90" t="n">
        <f aca="false">IF(BW120&gt;0,BM120/BW120,0)</f>
        <v>0.444112849602634</v>
      </c>
      <c r="DH120" s="90" t="n">
        <f aca="false">IF(BW120&gt;0,CD120/BW120,0)</f>
        <v>0.21525</v>
      </c>
      <c r="DI120" s="90" t="n">
        <f aca="false">IF(AI120&gt;0,(AI120*IF(K120=3,INDEX(in_sup_vat_rate,1,C120),0)+AV120*BA120+(BC120+BD120)*AV120/AY120+AZ120*AI120/AL120)/AI120,0)</f>
        <v>0.302214489809212</v>
      </c>
      <c r="DJ120" s="90" t="n">
        <f aca="false">IF(AJ120&gt;0,(AJ120*IF(K120=3,INDEX(in_sup_vat_rate,1,C120),0)+AW120*BA120+(BC120+BD120)*AW120/AY120+AZ120*AJ120/AL120)/AJ120,0)</f>
        <v>0.302537606255458</v>
      </c>
      <c r="DK120" s="90" t="n">
        <f aca="false">IF(AK120&gt;0,(AK120*IF(K120=3,INDEX(in_sup_vat_rate,1,C120),0)+AX120*BA120+(BC120+BD120)*AX120/AY120+AZ120*AK120/AL120)/AK120,0)</f>
        <v>0.303380015191983</v>
      </c>
      <c r="DL120" s="90" t="n">
        <f aca="false">IF(Y120&gt;0,(BP120-AI120*(1+DI120))/Y120,0)</f>
        <v>0.195913320957538</v>
      </c>
      <c r="DM120" s="90" t="n">
        <f aca="false">IF(Z120&gt;0,(BQ120-AJ120*(1+DJ120))/Z120,0)</f>
        <v>0.231260377778873</v>
      </c>
      <c r="DN120" s="90" t="n">
        <f aca="false">IF(AA120&gt;0,(BR120-AK120*(1+DK120))/AA120,0)</f>
        <v>0.164125887179641</v>
      </c>
      <c r="DO120" s="86" t="n">
        <f aca="false">IF(Y120&gt;0,(CA120*(1-thr_gm_go)*(1-R120)-DL120)/(1+DI120)*I120/((1+AH120)*J120),"")</f>
        <v>-1.76131564958258</v>
      </c>
      <c r="DP120" s="86" t="n">
        <f aca="false">IF(Z120&gt;0,(CB120*(1-thr_gm_go)*(1-R120)-DM120)/(1+DJ120)*I120/((1+AH120)*J120),"")</f>
        <v>-2.0602480596482</v>
      </c>
      <c r="DQ120" s="86" t="n">
        <f aca="false">IF(AA120&gt;0,(CC120*(1-thr_gm_go)*(1-R120)-DN120)/(1+DK120)*I120/((1+AH120)*J120),"")</f>
        <v>-0.435139921137695</v>
      </c>
      <c r="DR120" s="92" t="n">
        <f aca="false">IF(AND(AY120*INDEX(in_cus_mpf_rate,1,C120)&gt;INDEX(in_cus_mpf_min,1,C120),AY120*INDEX(in_cus_mpf_rate,1,C120)&lt;INDEX(in_cus_mpf_max,1,C120)),INDEX(in_cus_mpf_rate,1,C120),0)</f>
        <v>0.003464</v>
      </c>
      <c r="DS120" s="88" t="n">
        <f aca="false">IF(AZ120&gt;INDEX(in_oce_ins_min,1,C120),INDEX(in_oce_ins_rate,1,C120)*(1+INDEX(in_oce_ins_uplift,1,C120))*AL120,0)</f>
        <v>0</v>
      </c>
      <c r="DT120" s="88" t="n">
        <f aca="false">(AL120+AN120)*(1+BA120+INDEX(in_cus_hmf,1,C120)+DR120)+DS120</f>
        <v>14550.5635692787</v>
      </c>
      <c r="DU120" s="86" t="n">
        <f aca="false">IF(DT120&gt;0,(CD120*(1-thr_gm_go)-(BM120-DT120))/DT120,0)</f>
        <v>-0.19733143419222</v>
      </c>
      <c r="DV120" s="86" t="n">
        <f aca="false">IF(DT120&gt;0,(CD120-(BM120-DT120))/DT120,0)</f>
        <v>0.0306028299487542</v>
      </c>
      <c r="DW120" s="87" t="n">
        <f aca="false">(1+AH120)*J120*DU120-1</f>
        <v>-1.21706457761144</v>
      </c>
      <c r="DX120" s="87" t="n">
        <f aca="false">(1+AH120)*J120*DV120-1</f>
        <v>-0.96633688705637</v>
      </c>
      <c r="DY120" s="85" t="n">
        <f aca="false">IF(G120&gt;0,(CD120*(1-thr_gm_go)-(BM120-AT120))/G120,"")</f>
        <v>-12421.8471467095</v>
      </c>
      <c r="DZ120" s="90" t="n">
        <f aca="false">IF(AB120&gt;0,(AL120+AN120+BB120+BC120+BD120)/AB120,0)</f>
        <v>0.227690841247757</v>
      </c>
      <c r="EA120" s="88" t="n">
        <f aca="false">BM120-DZ120*AB120</f>
        <v>12753.8111386035</v>
      </c>
      <c r="EB120" s="90" t="n">
        <f aca="false">IF(AB120&gt;0,CD120/AB120,0)</f>
        <v>0.20664</v>
      </c>
      <c r="EC120" s="85" t="str">
        <f aca="false">IF(EB120*(1-thr_gm_go)-DZ120&gt;0,EA120/(EB120*(1-thr_gm_go)-DZ120),"n/a")</f>
        <v>n/a</v>
      </c>
      <c r="ED120" s="85" t="str">
        <f aca="false">IF(EB120-DZ120&gt;0,EA120/(EB120-DZ120),"n/a")</f>
        <v>n/a</v>
      </c>
      <c r="EE120" s="93" t="b">
        <f aca="false">INDEX(cfg_fits,D120,C120)</f>
        <v>1</v>
      </c>
      <c r="EF120" s="87" t="n">
        <f aca="false">IF(F120=4,"",INDEX(cfg_lenutil,D120,C120))</f>
        <v>0.999580888516345</v>
      </c>
      <c r="EG120" s="31" t="str">
        <f aca="false">IF(O120&gt;1,"Check fit (units scaled up)","")</f>
        <v/>
      </c>
    </row>
    <row r="121" customFormat="false" ht="15" hidden="false" customHeight="false" outlineLevel="0" collapsed="false">
      <c r="A121" s="78" t="n">
        <v>3042</v>
      </c>
      <c r="B121" s="9" t="s">
        <v>3269</v>
      </c>
      <c r="C121" s="78" t="n">
        <v>3</v>
      </c>
      <c r="D121" s="78" t="n">
        <v>4</v>
      </c>
      <c r="E121" s="78" t="n">
        <v>2</v>
      </c>
      <c r="F121" s="79" t="n">
        <f aca="false">INDEX(cfg_ct,D121)</f>
        <v>3</v>
      </c>
      <c r="G121" s="79" t="n">
        <f aca="false">INDEX(cfg_n,D121)</f>
        <v>1</v>
      </c>
      <c r="H121" s="79" t="n">
        <f aca="false">INDEX(dest_port,E121)</f>
        <v>1</v>
      </c>
      <c r="I121" s="80" t="n">
        <f aca="false">INDEX(in_fx_cbe,1,C121)*(1-INDEX(in_fx_spread,1,C121))</f>
        <v>48.265</v>
      </c>
      <c r="J121" s="81" t="n">
        <f aca="false">1</f>
        <v>1</v>
      </c>
      <c r="K121" s="82" t="n">
        <f aca="false">INDEX(in_sup_vat_mode,1,C121)</f>
        <v>3</v>
      </c>
      <c r="L121" s="83" t="n">
        <f aca="false">INDEX(in_cus_s301,1,C121)</f>
        <v>0.125</v>
      </c>
      <c r="M121" s="84" t="n">
        <f aca="false">1</f>
        <v>1</v>
      </c>
      <c r="N121" s="81" t="n">
        <f aca="false">1</f>
        <v>1</v>
      </c>
      <c r="O121" s="81" t="n">
        <f aca="false">1</f>
        <v>1</v>
      </c>
      <c r="P121" s="81" t="n">
        <f aca="false">1</f>
        <v>1</v>
      </c>
      <c r="Q121" s="81" t="n">
        <f aca="false">1</f>
        <v>1</v>
      </c>
      <c r="R121" s="83" t="n">
        <f aca="false">INDEX(in_sel_damage,1,C121)</f>
        <v>0.04</v>
      </c>
      <c r="S121" s="83" t="n">
        <f aca="false">INDEX(in_mkt_dist_margin,1,C121)</f>
        <v>0.3</v>
      </c>
      <c r="T121" s="83" t="n">
        <f aca="false">INDEX(in_mkt_eflute_disc,1,C121)</f>
        <v>0.25</v>
      </c>
      <c r="U121" s="82" t="n">
        <f aca="false">INDEX(in_sel_credit_days,1,C121)</f>
        <v>60</v>
      </c>
      <c r="V121" s="81" t="n">
        <f aca="false">1</f>
        <v>1</v>
      </c>
      <c r="W121" s="83" t="n">
        <f aca="false">INDEX(in_sel_commission,1,C121)</f>
        <v>0.07</v>
      </c>
      <c r="X121" s="82" t="n">
        <f aca="false">1</f>
        <v>1</v>
      </c>
      <c r="Y121" s="85" t="n">
        <f aca="false">INDEX(cfg_u_3464,D121,C121)*O121</f>
        <v>21400</v>
      </c>
      <c r="Z121" s="85" t="n">
        <f aca="false">INDEX(cfg_u_3463,D121,C121)*O121</f>
        <v>21400</v>
      </c>
      <c r="AA121" s="85" t="n">
        <f aca="false">INDEX(cfg_u_3460,D121,C121)*O121</f>
        <v>21400</v>
      </c>
      <c r="AB121" s="85" t="n">
        <f aca="false">Y121+Z121+AA121</f>
        <v>64200</v>
      </c>
      <c r="AC121" s="86" t="n">
        <f aca="false">Y121*INDEX(lg_vpu_3464,C121)</f>
        <v>17.1267624</v>
      </c>
      <c r="AD121" s="86" t="n">
        <f aca="false">Z121*INDEX(lg_vpu_3463,C121)</f>
        <v>20.9517984</v>
      </c>
      <c r="AE121" s="86" t="n">
        <f aca="false">AA121*INDEX(lg_vpu_3460,C121)</f>
        <v>13.6869264</v>
      </c>
      <c r="AF121" s="86" t="n">
        <f aca="false">AC121+AD121+AE121</f>
        <v>51.7654872</v>
      </c>
      <c r="AG121" s="85" t="n">
        <f aca="false">Y121*INDEX(lg_kpu_3464,C121)+Z121*INDEX(lg_kpu_3463,C121)+AA121*INDEX(lg_kpu_3460,C121)</f>
        <v>12628.6104576</v>
      </c>
      <c r="AH121" s="87" t="n">
        <f aca="false">INDEX(in_sup_requote,1,C121)</f>
        <v>0.1</v>
      </c>
      <c r="AI121" s="88" t="n">
        <f aca="false">Y121*q_price_3464*(1+AH121)*J121/I121</f>
        <v>4079.81145757796</v>
      </c>
      <c r="AJ121" s="88" t="n">
        <f aca="false">Z121*q_price_3463*(1+AH121)*J121/I121</f>
        <v>3853.01978659484</v>
      </c>
      <c r="AK121" s="88" t="n">
        <f aca="false">AA121*q_price_3460*(1+AH121)*J121/I121</f>
        <v>3365.29576297524</v>
      </c>
      <c r="AL121" s="88" t="n">
        <f aca="false">AI121+AJ121+AK121</f>
        <v>11298.127007148</v>
      </c>
      <c r="AM121" s="88" t="n">
        <f aca="false">IF(OR(K121=2,K121=3),AL121*INDEX(in_sup_vat_rate,1,C121),0)</f>
        <v>1581.73778100073</v>
      </c>
      <c r="AN121" s="88" t="n">
        <f aca="false">IF(K121=3,AM121,0)</f>
        <v>1581.73778100073</v>
      </c>
      <c r="AO121" s="88" t="n">
        <f aca="false">INDEX(in_sup_tooling_egp,1,C121)/I121</f>
        <v>517.973686936704</v>
      </c>
      <c r="AP121" s="88" t="n">
        <f aca="false">IF(F121=4,INDEX(in_ori_lcl_truck,1,C121)*V121/I121+INDEX(in_ori_lcl_cfs_o,1,C121),G121*(IF(F121=1,INDEX(in_ori_truck_20,1,C121),INDEX(in_ori_truck_40,1,C121))*V121/I121+INDEX(in_ori_terminal,1,C121)+IF(F121=1,INDEX(in_ori_othc_20,1,C121),INDEX(in_ori_othc_40,1,C121))*(1-INDEX(in_ori_othc_in_freight,1,C121))+INDEX(in_ori_seal,1,C121)+INDEX(in_ori_inspection,1,C121)+INDEX(in_ori_dd_days,1,C121)*IF(F121=1,INDEX(in_ori_dd_20,1,C121),INDEX(in_ori_dd_40,1,C121))+INDEX(in_ori_loading_egp,1,C121)/I121))</f>
        <v>882.378949549363</v>
      </c>
      <c r="AQ121" s="88" t="n">
        <f aca="false">(INDEX(in_ori_clearance,1,C121)+INDEX(in_ori_coo,1,C121))/I121+INDEX(in_ori_bl_fee,1,C121)+INDEX(in_ori_fwd_fee,1,C121)+INDEX(in_ori_qc,1,C121)+INDEX(in_ori_wires,1,C121)*INDEX(in_ori_wire_fee,1,C121)</f>
        <v>1167.90842225215</v>
      </c>
      <c r="AR121" s="88" t="n">
        <f aca="false">AP121+AQ121</f>
        <v>2050.28737180151</v>
      </c>
      <c r="AS121" s="85" t="n">
        <f aca="false">INDEX(tbl_port_diff,H121,C121)</f>
        <v>0</v>
      </c>
      <c r="AT121" s="88" t="n">
        <f aca="false">IF(F121=4,MAX(AF121*INDEX(in_oce_lcl_factor,1,C121),AG121/1000,1)*INDEX(in_oce_lcl_rate,1,C121)*M121,G121*(INDEX(tbl_ocean_rate,MIN(F121,3),C121)+AS121)*M121)</f>
        <v>5000</v>
      </c>
      <c r="AU121" s="88" t="n">
        <f aca="false">AT121+INDEX(in_oce_ams,1,C121)</f>
        <v>5045</v>
      </c>
      <c r="AV121" s="88" t="n">
        <f aca="false">AI121*(1+IF(K121=3,INDEX(in_sup_vat_rate,1,C121),0))+AO121*Y121/AB121</f>
        <v>4823.64295728444</v>
      </c>
      <c r="AW121" s="88" t="n">
        <f aca="false">AJ121*(1+IF(K121=3,INDEX(in_sup_vat_rate,1,C121),0))+AO121*Z121/AB121</f>
        <v>4565.10045236369</v>
      </c>
      <c r="AX121" s="88" t="n">
        <f aca="false">AK121*(1+IF(K121=3,INDEX(in_sup_vat_rate,1,C121),0))+AO121*AA121/AB121</f>
        <v>4009.09506543734</v>
      </c>
      <c r="AY121" s="88" t="n">
        <f aca="false">AV121+AW121+AX121</f>
        <v>13397.8384750855</v>
      </c>
      <c r="AZ121" s="88" t="n">
        <f aca="false">MAX(INDEX(in_oce_ins_min,1,C121),INDEX(in_oce_ins_rate,1,C121)*(1+INDEX(in_oce_ins_uplift,1,C121))*(AL121+AO121+AR121+AU121))*(1-INDEX(in_oce_ins_in_other,1,C121))</f>
        <v>100</v>
      </c>
      <c r="BA121" s="87" t="n">
        <f aca="false">INDEX(in_cus_mfn,1,C121)+L121</f>
        <v>0.125</v>
      </c>
      <c r="BB121" s="88" t="n">
        <f aca="false">AY121*BA121</f>
        <v>1674.72980938568</v>
      </c>
      <c r="BC121" s="88" t="n">
        <f aca="false">MIN(MAX(AY121*INDEX(in_cus_mpf_rate,1,C121),INDEX(in_cus_mpf_min,1,C121)),INDEX(in_cus_mpf_max,1,C121))</f>
        <v>46.4101124776961</v>
      </c>
      <c r="BD121" s="88" t="n">
        <f aca="false">AY121*INDEX(in_cus_hmf,1,C121)</f>
        <v>16.7472980938568</v>
      </c>
      <c r="BE121" s="88" t="n">
        <f aca="false">MAX(INDEX(in_cus_stb_min,1,C121),INDEX(in_cus_stb_rate,1,C121)/1000*(AY121+BB121+BC121+BD121))</f>
        <v>105.950079865299</v>
      </c>
      <c r="BF121" s="88" t="n">
        <f aca="false">INDEX(in_cus_broker,1,C121)+INDEX(in_cus_isf,1,C121)+INDEX(in_cus_do_fee,1,C121)+BE121+INDEX(in_cus_isf_bond,1,C121)</f>
        <v>730.950079865299</v>
      </c>
      <c r="BG121" s="88" t="n">
        <f aca="false">IF(H121=1,INDEX(in_cus_cfc,1,C121)*INDEX(ct_teu,F121)*G121*(1-INDEX(in_cus_cfc_in_freight,1,C121)),0)</f>
        <v>29.6</v>
      </c>
      <c r="BH121" s="88" t="n">
        <f aca="false">IF(F121=4,1,G121)*(INDEX(in_cus_exam,1,C121)+INDEX(in_cus_exam_dray,1,C121))</f>
        <v>600</v>
      </c>
      <c r="BI121" s="88" t="n">
        <f aca="false">IF(F121=4,1,G121)*INDEX(in_cus_dem_days,1,C121)*INDEX(in_cus_dem_rate,1,C121)</f>
        <v>750</v>
      </c>
      <c r="BJ121" s="88" t="n">
        <f aca="false">BG121+BH121+BI121</f>
        <v>1379.6</v>
      </c>
      <c r="BK121" s="88" t="n">
        <f aca="false">IF(F121=4,(INDEX(in_dra_lcl_cfs_d,1,C121)+INDEX(in_dra_lcl_deliv,1,C121))*P121,G121*(INDEX(tbl_dest_line,E121,C121)*P121*(1+INDEX(in_dra_fsc,1,C121))+INDEX(tbl_dest_tolls,E121,C121)+INDEX(in_dra_chassis_days,1,C121)*INDEX(tbl_dest_chassis,E121,C121)*(1-INDEX(in_dra_chassis_in_dray,1,C121))+INDEX(in_dra_wait_hours,1,C121)*INDEX(in_dra_wait_rate,1,C121)+INDEX(in_dra_split,1,C121)+INDEX(in_dra_prepull,1,C121)+INDEX(in_dra_dryrun,1,C121)))</f>
        <v>2660</v>
      </c>
      <c r="BL121" s="88" t="n">
        <f aca="false">IF(F121=4,0,G121*IF(F121=1,INDEX(in_dra_unload_20,1,C121),INDEX(in_dra_unload_40,1,C121))*Q121*(1-INDEX(in_dra_unload_in_dray,1,C121)))</f>
        <v>650</v>
      </c>
      <c r="BM121" s="88" t="n">
        <f aca="false">AL121+AN121+AO121+AR121+AU121+AZ121+BB121+BC121+BD121+BF121+BJ121+BK121+BL121</f>
        <v>27751.5631467095</v>
      </c>
      <c r="BN121" s="88" t="n">
        <f aca="false">AP121+AU121+BJ121+BK121+BL121</f>
        <v>10616.9789495494</v>
      </c>
      <c r="BO121" s="88" t="n">
        <f aca="false">AQ121+BF121</f>
        <v>1898.85850211745</v>
      </c>
      <c r="BP121" s="88" t="n">
        <f aca="false">AI121*(1+IF(K121=3,INDEX(in_sup_vat_rate,1,C121),0))+AO121*Y121/AB121+AV121*BA121+(BC121+BD121)*AV121/AY121+AZ121*AI121/AL121+BN121*AC121/AF121+BO121*Y121/AB121</f>
        <v>9631.058772405</v>
      </c>
      <c r="BQ121" s="88" t="n">
        <f aca="false">AJ121*(1+IF(K121=3,INDEX(in_sup_vat_rate,1,C121),0))+AO121*Z121/AB121+AW121*BA121+(BC121+BD121)*AW121/AY121+AZ121*AJ121/AL121+BN121*AD121/AF121+BO121*Z121/AB121</f>
        <v>10121.4781800541</v>
      </c>
      <c r="BR121" s="88" t="n">
        <f aca="false">AK121*(1+IF(K121=3,INDEX(in_sup_vat_rate,1,C121),0))+AO121*AA121/AB121+AX121*BA121+(BC121+BD121)*AX121/AY121+AZ121*AK121/AL121+BN121*AE121/AF121+BO121*AA121/AB121</f>
        <v>7999.02619425046</v>
      </c>
      <c r="BS121" s="89" t="n">
        <f aca="false">BP121+BQ121+BR121-BM121</f>
        <v>0</v>
      </c>
      <c r="BT121" s="85" t="n">
        <f aca="false">Y121*(1-R121)</f>
        <v>20544</v>
      </c>
      <c r="BU121" s="85" t="n">
        <f aca="false">Z121*(1-R121)</f>
        <v>20544</v>
      </c>
      <c r="BV121" s="85" t="n">
        <f aca="false">AA121*(1-R121)</f>
        <v>20544</v>
      </c>
      <c r="BW121" s="85" t="n">
        <f aca="false">BT121+BU121+BV121</f>
        <v>61632</v>
      </c>
      <c r="BX121" s="90" t="n">
        <f aca="false">IF(BT121&gt;0,BP121/BT121,0)</f>
        <v>0.468801536818779</v>
      </c>
      <c r="BY121" s="90" t="n">
        <f aca="false">IF(BU121&gt;0,BQ121/BU121,0)</f>
        <v>0.49267319801665</v>
      </c>
      <c r="BZ121" s="90" t="n">
        <f aca="false">IF(BV121&gt;0,BR121/BV121,0)</f>
        <v>0.389360698707675</v>
      </c>
      <c r="CA121" s="90" t="n">
        <f aca="false">INDEX(in_mkt_listing_3464,1,C121)*(1-IF(sku_flute_3464="B",T121,0))*(1-S121)*N121</f>
        <v>0.1995</v>
      </c>
      <c r="CB121" s="90" t="n">
        <f aca="false">INDEX(in_mkt_listing_3463,1,C121)*(1-IF(sku_flute_3463="B",T121,0))*(1-S121)*N121</f>
        <v>0.23625</v>
      </c>
      <c r="CC121" s="90" t="n">
        <f aca="false">INDEX(in_mkt_listing_3460,1,C121)*(1-IF(sku_flute_3460="B",T121,0))*(1-S121)*N121</f>
        <v>0.21</v>
      </c>
      <c r="CD121" s="88" t="n">
        <f aca="false">BT121*CA121+BU121*CB121+BV121*CC121</f>
        <v>13266.288</v>
      </c>
      <c r="CE121" s="88" t="n">
        <f aca="false">CD121-BM121</f>
        <v>-14485.2751467095</v>
      </c>
      <c r="CF121" s="87" t="n">
        <f aca="false">IF(CD121&gt;0,CE121/CD121,0)</f>
        <v>-1.09188607594751</v>
      </c>
      <c r="CG121" s="87" t="n">
        <f aca="false">W121+INDEX(in_sel_processing,1,C121)+INDEX(in_sel_bad_debt,1,C121)</f>
        <v>0.095</v>
      </c>
      <c r="CH121" s="88" t="n">
        <f aca="false">CD121*CG121</f>
        <v>1260.29736</v>
      </c>
      <c r="CI121" s="88" t="n">
        <f aca="false">INDEX(in_sel_testing,1,C121)*X121+INDEX(in_sel_admin,1,C121)</f>
        <v>4750</v>
      </c>
      <c r="CJ121" s="79" t="n">
        <f aca="false">INDEX(in_sup_lead_days,1,C121)</f>
        <v>35</v>
      </c>
      <c r="CK121" s="79" t="n">
        <f aca="false">CJ121+INDEX(in_oce_transit,1,C121)+IF(F121=4,INDEX(in_oce_lcl_extra_days,1,C121),0)</f>
        <v>73</v>
      </c>
      <c r="CL121" s="79" t="n">
        <f aca="false">CK121+2+INDEX(in_cus_dem_days,1,C121)</f>
        <v>78</v>
      </c>
      <c r="CM121" s="79" t="n">
        <f aca="false">CL121+U121</f>
        <v>138</v>
      </c>
      <c r="CN121" s="79" t="n">
        <f aca="false">CJ121+INDEX(in_sup_vat_lag,1,C121)</f>
        <v>215</v>
      </c>
      <c r="CO121" s="91" t="n">
        <f aca="false">INDEX(in_sup_advance,1,C121)</f>
        <v>0.5</v>
      </c>
      <c r="CP121" s="88" t="n">
        <f aca="false">CO121*(AL121+AM121)+AO121+INDEX(in_sel_testing,1,C121)*X121</f>
        <v>10957.9060810111</v>
      </c>
      <c r="CQ121" s="88" t="n">
        <f aca="false">(1-CO121)*(AL121+AM121)+AR121+AU121+AZ121</f>
        <v>13635.2197658759</v>
      </c>
      <c r="CR121" s="88" t="n">
        <f aca="false">BB121+BC121+BD121+BF121+BJ121</f>
        <v>3848.43729982254</v>
      </c>
      <c r="CS121" s="88" t="n">
        <f aca="false">BK121+BL121</f>
        <v>3310</v>
      </c>
      <c r="CT121" s="88" t="n">
        <f aca="false">IF(K121=2,AM121,0)</f>
        <v>0</v>
      </c>
      <c r="CU121" s="85" t="n">
        <f aca="false">IF(K121=2,CO121*AM121*(CN121-0)+(1-CO121)*AM121*(CN121-CJ121),0)</f>
        <v>0</v>
      </c>
      <c r="CV121" s="85" t="n">
        <f aca="false">(CP121-CO121*CT121)*(CM121-0)+(CQ121-(1-CO121)*CT121)*(CM121-CJ121)+CR121*(CM121-CK121)+CS121*(CM121-CL121)</f>
        <v>3365367.09955321</v>
      </c>
      <c r="CW121" s="88" t="n">
        <f aca="false">INDEX(in_sel_fin_rate,1,C121)/365*(CU121+CV121)</f>
        <v>1290.82573681493</v>
      </c>
      <c r="CX121" s="85" t="n">
        <f aca="false">CP121-IF(CN121&lt;=0,CT121,0)</f>
        <v>10957.9060810111</v>
      </c>
      <c r="CY121" s="85" t="n">
        <f aca="false">CP121+CQ121-IF(CN121&lt;=CJ121,CT121,0)</f>
        <v>24593.125846887</v>
      </c>
      <c r="CZ121" s="85" t="n">
        <f aca="false">CP121+CQ121+CR121-IF(CN121&lt;=CK121,CT121,0)</f>
        <v>28441.5631467095</v>
      </c>
      <c r="DA121" s="85" t="n">
        <f aca="false">CP121+CQ121+CR121+CS121-IF(CN121&lt;=CL121,CT121,0)</f>
        <v>31751.5631467095</v>
      </c>
      <c r="DB121" s="88" t="n">
        <f aca="false">MAX(CX121,CY121,CZ121,DA121)</f>
        <v>31751.5631467095</v>
      </c>
      <c r="DC121" s="88" t="n">
        <f aca="false">CP121+CQ121+CR121+CS121</f>
        <v>31751.5631467095</v>
      </c>
      <c r="DD121" s="88" t="n">
        <f aca="false">CE121-CH121-CI121-CW121</f>
        <v>-21786.3982435245</v>
      </c>
      <c r="DE121" s="87" t="n">
        <f aca="false">IF(CD121&gt;0,DD121/CD121,0)</f>
        <v>-1.64223769629639</v>
      </c>
      <c r="DF121" s="86" t="n">
        <f aca="false">IF(CD121&gt;0,(BM121+CI121+CW121)/(CD121*(1-CG121)),0)</f>
        <v>2.81462728872529</v>
      </c>
      <c r="DG121" s="90" t="n">
        <f aca="false">IF(BW121&gt;0,BM121/BW121,0)</f>
        <v>0.450278477847701</v>
      </c>
      <c r="DH121" s="90" t="n">
        <f aca="false">IF(BW121&gt;0,CD121/BW121,0)</f>
        <v>0.21525</v>
      </c>
      <c r="DI121" s="90" t="n">
        <f aca="false">IF(AI121&gt;0,(AI121*IF(K121=3,INDEX(in_sup_vat_rate,1,C121),0)+AV121*BA121+(BC121+BD121)*AV121/AY121+AZ121*AI121/AL121)/AI121,0)</f>
        <v>0.302214489809212</v>
      </c>
      <c r="DJ121" s="90" t="n">
        <f aca="false">IF(AJ121&gt;0,(AJ121*IF(K121=3,INDEX(in_sup_vat_rate,1,C121),0)+AW121*BA121+(BC121+BD121)*AW121/AY121+AZ121*AJ121/AL121)/AJ121,0)</f>
        <v>0.302537606255458</v>
      </c>
      <c r="DK121" s="90" t="n">
        <f aca="false">IF(AK121&gt;0,(AK121*IF(K121=3,INDEX(in_sup_vat_rate,1,C121),0)+AX121*BA121+(BC121+BD121)*AX121/AY121+AZ121*AK121/AL121)/AK121,0)</f>
        <v>0.303380015191983</v>
      </c>
      <c r="DL121" s="90" t="n">
        <f aca="false">IF(Y121&gt;0,(BP121-AI121*(1+DI121))/Y121,0)</f>
        <v>0.201788279283054</v>
      </c>
      <c r="DM121" s="90" t="n">
        <f aca="false">IF(Z121&gt;0,(BQ121-AJ121*(1+DJ121))/Z121,0)</f>
        <v>0.238447430391023</v>
      </c>
      <c r="DN121" s="90" t="n">
        <f aca="false">IF(AA121&gt;0,(BR121-AK121*(1+DK121))/AA121,0)</f>
        <v>0.16882088558777</v>
      </c>
      <c r="DO121" s="86" t="n">
        <f aca="false">IF(Y121&gt;0,(CA121*(1-thr_gm_go)*(1-R121)-DL121)/(1+DI121)*I121/((1+AH121)*J121),"")</f>
        <v>-1.95926856035672</v>
      </c>
      <c r="DP121" s="86" t="n">
        <f aca="false">IF(Z121&gt;0,(CB121*(1-thr_gm_go)*(1-R121)-DM121)/(1+DJ121)*I121/((1+AH121)*J121),"")</f>
        <v>-2.30235106385639</v>
      </c>
      <c r="DQ121" s="86" t="n">
        <f aca="false">IF(AA121&gt;0,(CC121*(1-thr_gm_go)*(1-R121)-DN121)/(1+DK121)*I121/((1+AH121)*J121),"")</f>
        <v>-0.593193384599175</v>
      </c>
      <c r="DR121" s="92" t="n">
        <f aca="false">IF(AND(AY121*INDEX(in_cus_mpf_rate,1,C121)&gt;INDEX(in_cus_mpf_min,1,C121),AY121*INDEX(in_cus_mpf_rate,1,C121)&lt;INDEX(in_cus_mpf_max,1,C121)),INDEX(in_cus_mpf_rate,1,C121),0)</f>
        <v>0.003464</v>
      </c>
      <c r="DS121" s="88" t="n">
        <f aca="false">IF(AZ121&gt;INDEX(in_oce_ins_min,1,C121),INDEX(in_oce_ins_rate,1,C121)*(1+INDEX(in_oce_ins_uplift,1,C121))*AL121,0)</f>
        <v>0</v>
      </c>
      <c r="DT121" s="88" t="n">
        <f aca="false">(AL121+AN121)*(1+BA121+INDEX(in_cus_hmf,1,C121)+DR121)+DS121</f>
        <v>14550.5635692787</v>
      </c>
      <c r="DU121" s="86" t="n">
        <f aca="false">IF(DT121&gt;0,(CD121*(1-thr_gm_go)-(BM121-DT121))/DT121,0)</f>
        <v>-0.223447261128457</v>
      </c>
      <c r="DV121" s="86" t="n">
        <f aca="false">IF(DT121&gt;0,(CD121-(BM121-DT121))/DT121,0)</f>
        <v>0.00448700301251704</v>
      </c>
      <c r="DW121" s="87" t="n">
        <f aca="false">(1+AH121)*J121*DU121-1</f>
        <v>-1.2457919872413</v>
      </c>
      <c r="DX121" s="87" t="n">
        <f aca="false">(1+AH121)*J121*DV121-1</f>
        <v>-0.995064296686231</v>
      </c>
      <c r="DY121" s="85" t="n">
        <f aca="false">IF(G121&gt;0,(CD121*(1-thr_gm_go)-(BM121-AT121))/G121,"")</f>
        <v>-12801.8471467095</v>
      </c>
      <c r="DZ121" s="90" t="n">
        <f aca="false">IF(AB121&gt;0,(AL121+AN121+BB121+BC121+BD121)/AB121,0)</f>
        <v>0.227690841247757</v>
      </c>
      <c r="EA121" s="88" t="n">
        <f aca="false">BM121-DZ121*AB121</f>
        <v>13133.8111386035</v>
      </c>
      <c r="EB121" s="90" t="n">
        <f aca="false">IF(AB121&gt;0,CD121/AB121,0)</f>
        <v>0.20664</v>
      </c>
      <c r="EC121" s="85" t="str">
        <f aca="false">IF(EB121*(1-thr_gm_go)-DZ121&gt;0,EA121/(EB121*(1-thr_gm_go)-DZ121),"n/a")</f>
        <v>n/a</v>
      </c>
      <c r="ED121" s="85" t="str">
        <f aca="false">IF(EB121-DZ121&gt;0,EA121/(EB121-DZ121),"n/a")</f>
        <v>n/a</v>
      </c>
      <c r="EE121" s="93" t="b">
        <f aca="false">INDEX(cfg_fits,D121,C121)</f>
        <v>1</v>
      </c>
      <c r="EF121" s="87" t="n">
        <f aca="false">IF(F121=4,"",INDEX(cfg_lenutil,D121,C121))</f>
        <v>0.999580888516345</v>
      </c>
      <c r="EG121" s="31" t="str">
        <f aca="false">IF(O121&gt;1,"Check fit (units scaled up)","")</f>
        <v/>
      </c>
    </row>
    <row r="122" customFormat="false" ht="15" hidden="false" customHeight="false" outlineLevel="0" collapsed="false">
      <c r="A122" s="78" t="n">
        <v>3043</v>
      </c>
      <c r="B122" s="9" t="s">
        <v>3270</v>
      </c>
      <c r="C122" s="78" t="n">
        <v>3</v>
      </c>
      <c r="D122" s="78" t="n">
        <v>4</v>
      </c>
      <c r="E122" s="78" t="n">
        <v>3</v>
      </c>
      <c r="F122" s="79" t="n">
        <f aca="false">INDEX(cfg_ct,D122)</f>
        <v>3</v>
      </c>
      <c r="G122" s="79" t="n">
        <f aca="false">INDEX(cfg_n,D122)</f>
        <v>1</v>
      </c>
      <c r="H122" s="79" t="n">
        <f aca="false">INDEX(dest_port,E122)</f>
        <v>2</v>
      </c>
      <c r="I122" s="80" t="n">
        <f aca="false">INDEX(in_fx_cbe,1,C122)*(1-INDEX(in_fx_spread,1,C122))</f>
        <v>48.265</v>
      </c>
      <c r="J122" s="81" t="n">
        <f aca="false">1</f>
        <v>1</v>
      </c>
      <c r="K122" s="82" t="n">
        <f aca="false">INDEX(in_sup_vat_mode,1,C122)</f>
        <v>3</v>
      </c>
      <c r="L122" s="83" t="n">
        <f aca="false">INDEX(in_cus_s301,1,C122)</f>
        <v>0.125</v>
      </c>
      <c r="M122" s="84" t="n">
        <f aca="false">1</f>
        <v>1</v>
      </c>
      <c r="N122" s="81" t="n">
        <f aca="false">1</f>
        <v>1</v>
      </c>
      <c r="O122" s="81" t="n">
        <f aca="false">1</f>
        <v>1</v>
      </c>
      <c r="P122" s="81" t="n">
        <f aca="false">1</f>
        <v>1</v>
      </c>
      <c r="Q122" s="81" t="n">
        <f aca="false">1</f>
        <v>1</v>
      </c>
      <c r="R122" s="83" t="n">
        <f aca="false">INDEX(in_sel_damage,1,C122)</f>
        <v>0.04</v>
      </c>
      <c r="S122" s="83" t="n">
        <f aca="false">INDEX(in_mkt_dist_margin,1,C122)</f>
        <v>0.3</v>
      </c>
      <c r="T122" s="83" t="n">
        <f aca="false">INDEX(in_mkt_eflute_disc,1,C122)</f>
        <v>0.25</v>
      </c>
      <c r="U122" s="82" t="n">
        <f aca="false">INDEX(in_sel_credit_days,1,C122)</f>
        <v>60</v>
      </c>
      <c r="V122" s="81" t="n">
        <f aca="false">1</f>
        <v>1</v>
      </c>
      <c r="W122" s="83" t="n">
        <f aca="false">INDEX(in_sel_commission,1,C122)</f>
        <v>0.07</v>
      </c>
      <c r="X122" s="82" t="n">
        <f aca="false">1</f>
        <v>1</v>
      </c>
      <c r="Y122" s="85" t="n">
        <f aca="false">INDEX(cfg_u_3464,D122,C122)*O122</f>
        <v>21400</v>
      </c>
      <c r="Z122" s="85" t="n">
        <f aca="false">INDEX(cfg_u_3463,D122,C122)*O122</f>
        <v>21400</v>
      </c>
      <c r="AA122" s="85" t="n">
        <f aca="false">INDEX(cfg_u_3460,D122,C122)*O122</f>
        <v>21400</v>
      </c>
      <c r="AB122" s="85" t="n">
        <f aca="false">Y122+Z122+AA122</f>
        <v>64200</v>
      </c>
      <c r="AC122" s="86" t="n">
        <f aca="false">Y122*INDEX(lg_vpu_3464,C122)</f>
        <v>17.1267624</v>
      </c>
      <c r="AD122" s="86" t="n">
        <f aca="false">Z122*INDEX(lg_vpu_3463,C122)</f>
        <v>20.9517984</v>
      </c>
      <c r="AE122" s="86" t="n">
        <f aca="false">AA122*INDEX(lg_vpu_3460,C122)</f>
        <v>13.6869264</v>
      </c>
      <c r="AF122" s="86" t="n">
        <f aca="false">AC122+AD122+AE122</f>
        <v>51.7654872</v>
      </c>
      <c r="AG122" s="85" t="n">
        <f aca="false">Y122*INDEX(lg_kpu_3464,C122)+Z122*INDEX(lg_kpu_3463,C122)+AA122*INDEX(lg_kpu_3460,C122)</f>
        <v>12628.6104576</v>
      </c>
      <c r="AH122" s="87" t="n">
        <f aca="false">INDEX(in_sup_requote,1,C122)</f>
        <v>0.1</v>
      </c>
      <c r="AI122" s="88" t="n">
        <f aca="false">Y122*q_price_3464*(1+AH122)*J122/I122</f>
        <v>4079.81145757796</v>
      </c>
      <c r="AJ122" s="88" t="n">
        <f aca="false">Z122*q_price_3463*(1+AH122)*J122/I122</f>
        <v>3853.01978659484</v>
      </c>
      <c r="AK122" s="88" t="n">
        <f aca="false">AA122*q_price_3460*(1+AH122)*J122/I122</f>
        <v>3365.29576297524</v>
      </c>
      <c r="AL122" s="88" t="n">
        <f aca="false">AI122+AJ122+AK122</f>
        <v>11298.127007148</v>
      </c>
      <c r="AM122" s="88" t="n">
        <f aca="false">IF(OR(K122=2,K122=3),AL122*INDEX(in_sup_vat_rate,1,C122),0)</f>
        <v>1581.73778100073</v>
      </c>
      <c r="AN122" s="88" t="n">
        <f aca="false">IF(K122=3,AM122,0)</f>
        <v>1581.73778100073</v>
      </c>
      <c r="AO122" s="88" t="n">
        <f aca="false">INDEX(in_sup_tooling_egp,1,C122)/I122</f>
        <v>517.973686936704</v>
      </c>
      <c r="AP122" s="88" t="n">
        <f aca="false">IF(F122=4,INDEX(in_ori_lcl_truck,1,C122)*V122/I122+INDEX(in_ori_lcl_cfs_o,1,C122),G122*(IF(F122=1,INDEX(in_ori_truck_20,1,C122),INDEX(in_ori_truck_40,1,C122))*V122/I122+INDEX(in_ori_terminal,1,C122)+IF(F122=1,INDEX(in_ori_othc_20,1,C122),INDEX(in_ori_othc_40,1,C122))*(1-INDEX(in_ori_othc_in_freight,1,C122))+INDEX(in_ori_seal,1,C122)+INDEX(in_ori_inspection,1,C122)+INDEX(in_ori_dd_days,1,C122)*IF(F122=1,INDEX(in_ori_dd_20,1,C122),INDEX(in_ori_dd_40,1,C122))+INDEX(in_ori_loading_egp,1,C122)/I122))</f>
        <v>882.378949549363</v>
      </c>
      <c r="AQ122" s="88" t="n">
        <f aca="false">(INDEX(in_ori_clearance,1,C122)+INDEX(in_ori_coo,1,C122))/I122+INDEX(in_ori_bl_fee,1,C122)+INDEX(in_ori_fwd_fee,1,C122)+INDEX(in_ori_qc,1,C122)+INDEX(in_ori_wires,1,C122)*INDEX(in_ori_wire_fee,1,C122)</f>
        <v>1167.90842225215</v>
      </c>
      <c r="AR122" s="88" t="n">
        <f aca="false">AP122+AQ122</f>
        <v>2050.28737180151</v>
      </c>
      <c r="AS122" s="85" t="n">
        <f aca="false">INDEX(tbl_port_diff,H122,C122)</f>
        <v>300</v>
      </c>
      <c r="AT122" s="88" t="n">
        <f aca="false">IF(F122=4,MAX(AF122*INDEX(in_oce_lcl_factor,1,C122),AG122/1000,1)*INDEX(in_oce_lcl_rate,1,C122)*M122,G122*(INDEX(tbl_ocean_rate,MIN(F122,3),C122)+AS122)*M122)</f>
        <v>5300</v>
      </c>
      <c r="AU122" s="88" t="n">
        <f aca="false">AT122+INDEX(in_oce_ams,1,C122)</f>
        <v>5345</v>
      </c>
      <c r="AV122" s="88" t="n">
        <f aca="false">AI122*(1+IF(K122=3,INDEX(in_sup_vat_rate,1,C122),0))+AO122*Y122/AB122</f>
        <v>4823.64295728444</v>
      </c>
      <c r="AW122" s="88" t="n">
        <f aca="false">AJ122*(1+IF(K122=3,INDEX(in_sup_vat_rate,1,C122),0))+AO122*Z122/AB122</f>
        <v>4565.10045236369</v>
      </c>
      <c r="AX122" s="88" t="n">
        <f aca="false">AK122*(1+IF(K122=3,INDEX(in_sup_vat_rate,1,C122),0))+AO122*AA122/AB122</f>
        <v>4009.09506543734</v>
      </c>
      <c r="AY122" s="88" t="n">
        <f aca="false">AV122+AW122+AX122</f>
        <v>13397.8384750855</v>
      </c>
      <c r="AZ122" s="88" t="n">
        <f aca="false">MAX(INDEX(in_oce_ins_min,1,C122),INDEX(in_oce_ins_rate,1,C122)*(1+INDEX(in_oce_ins_uplift,1,C122))*(AL122+AO122+AR122+AU122))*(1-INDEX(in_oce_ins_in_other,1,C122))</f>
        <v>100</v>
      </c>
      <c r="BA122" s="87" t="n">
        <f aca="false">INDEX(in_cus_mfn,1,C122)+L122</f>
        <v>0.125</v>
      </c>
      <c r="BB122" s="88" t="n">
        <f aca="false">AY122*BA122</f>
        <v>1674.72980938568</v>
      </c>
      <c r="BC122" s="88" t="n">
        <f aca="false">MIN(MAX(AY122*INDEX(in_cus_mpf_rate,1,C122),INDEX(in_cus_mpf_min,1,C122)),INDEX(in_cus_mpf_max,1,C122))</f>
        <v>46.4101124776961</v>
      </c>
      <c r="BD122" s="88" t="n">
        <f aca="false">AY122*INDEX(in_cus_hmf,1,C122)</f>
        <v>16.7472980938568</v>
      </c>
      <c r="BE122" s="88" t="n">
        <f aca="false">MAX(INDEX(in_cus_stb_min,1,C122),INDEX(in_cus_stb_rate,1,C122)/1000*(AY122+BB122+BC122+BD122))</f>
        <v>105.950079865299</v>
      </c>
      <c r="BF122" s="88" t="n">
        <f aca="false">INDEX(in_cus_broker,1,C122)+INDEX(in_cus_isf,1,C122)+INDEX(in_cus_do_fee,1,C122)+BE122+INDEX(in_cus_isf_bond,1,C122)</f>
        <v>730.950079865299</v>
      </c>
      <c r="BG122" s="88" t="n">
        <f aca="false">IF(H122=1,INDEX(in_cus_cfc,1,C122)*INDEX(ct_teu,F122)*G122*(1-INDEX(in_cus_cfc_in_freight,1,C122)),0)</f>
        <v>0</v>
      </c>
      <c r="BH122" s="88" t="n">
        <f aca="false">IF(F122=4,1,G122)*(INDEX(in_cus_exam,1,C122)+INDEX(in_cus_exam_dray,1,C122))</f>
        <v>600</v>
      </c>
      <c r="BI122" s="88" t="n">
        <f aca="false">IF(F122=4,1,G122)*INDEX(in_cus_dem_days,1,C122)*INDEX(in_cus_dem_rate,1,C122)</f>
        <v>750</v>
      </c>
      <c r="BJ122" s="88" t="n">
        <f aca="false">BG122+BH122+BI122</f>
        <v>1350</v>
      </c>
      <c r="BK122" s="88" t="n">
        <f aca="false">IF(F122=4,(INDEX(in_dra_lcl_cfs_d,1,C122)+INDEX(in_dra_lcl_deliv,1,C122))*P122,G122*(INDEX(tbl_dest_line,E122,C122)*P122*(1+INDEX(in_dra_fsc,1,C122))+INDEX(tbl_dest_tolls,E122,C122)+INDEX(in_dra_chassis_days,1,C122)*INDEX(tbl_dest_chassis,E122,C122)*(1-INDEX(in_dra_chassis_in_dray,1,C122))+INDEX(in_dra_wait_hours,1,C122)*INDEX(in_dra_wait_rate,1,C122)+INDEX(in_dra_split,1,C122)+INDEX(in_dra_prepull,1,C122)+INDEX(in_dra_dryrun,1,C122)))</f>
        <v>2100</v>
      </c>
      <c r="BL122" s="88" t="n">
        <f aca="false">IF(F122=4,0,G122*IF(F122=1,INDEX(in_dra_unload_20,1,C122),INDEX(in_dra_unload_40,1,C122))*Q122*(1-INDEX(in_dra_unload_in_dray,1,C122)))</f>
        <v>650</v>
      </c>
      <c r="BM122" s="88" t="n">
        <f aca="false">AL122+AN122+AO122+AR122+AU122+AZ122+BB122+BC122+BD122+BF122+BJ122+BK122+BL122</f>
        <v>27461.9631467095</v>
      </c>
      <c r="BN122" s="88" t="n">
        <f aca="false">AP122+AU122+BJ122+BK122+BL122</f>
        <v>10327.3789495494</v>
      </c>
      <c r="BO122" s="88" t="n">
        <f aca="false">AQ122+BF122</f>
        <v>1898.85850211745</v>
      </c>
      <c r="BP122" s="88" t="n">
        <f aca="false">AI122*(1+IF(K122=3,INDEX(in_sup_vat_rate,1,C122),0))+AO122*Y122/AB122+AV122*BA122+(BC122+BD122)*AV122/AY122+AZ122*AI122/AL122+BN122*AC122/AF122+BO122*Y122/AB122</f>
        <v>9535.24376786584</v>
      </c>
      <c r="BQ122" s="88" t="n">
        <f aca="false">AJ122*(1+IF(K122=3,INDEX(in_sup_vat_rate,1,C122),0))+AO122*Z122/AB122+AW122*BA122+(BC122+BD122)*AW122/AY122+AZ122*AJ122/AL122+BN122*AD122/AF122+BO122*Z122/AB122</f>
        <v>10004.2641607366</v>
      </c>
      <c r="BR122" s="88" t="n">
        <f aca="false">AK122*(1+IF(K122=3,INDEX(in_sup_vat_rate,1,C122),0))+AO122*AA122/AB122+AX122*BA122+(BC122+BD122)*AX122/AY122+AZ122*AK122/AL122+BN122*AE122/AF122+BO122*AA122/AB122</f>
        <v>7922.45521810712</v>
      </c>
      <c r="BS122" s="89" t="n">
        <f aca="false">BP122+BQ122+BR122-BM122</f>
        <v>0</v>
      </c>
      <c r="BT122" s="85" t="n">
        <f aca="false">Y122*(1-R122)</f>
        <v>20544</v>
      </c>
      <c r="BU122" s="85" t="n">
        <f aca="false">Z122*(1-R122)</f>
        <v>20544</v>
      </c>
      <c r="BV122" s="85" t="n">
        <f aca="false">AA122*(1-R122)</f>
        <v>20544</v>
      </c>
      <c r="BW122" s="85" t="n">
        <f aca="false">BT122+BU122+BV122</f>
        <v>61632</v>
      </c>
      <c r="BX122" s="90" t="n">
        <f aca="false">IF(BT122&gt;0,BP122/BT122,0)</f>
        <v>0.464137644463875</v>
      </c>
      <c r="BY122" s="90" t="n">
        <f aca="false">IF(BU122&gt;0,BQ122/BU122,0)</f>
        <v>0.486967686951741</v>
      </c>
      <c r="BZ122" s="90" t="n">
        <f aca="false">IF(BV122&gt;0,BR122/BV122,0)</f>
        <v>0.385633528918765</v>
      </c>
      <c r="CA122" s="90" t="n">
        <f aca="false">INDEX(in_mkt_listing_3464,1,C122)*(1-IF(sku_flute_3464="B",T122,0))*(1-S122)*N122</f>
        <v>0.1995</v>
      </c>
      <c r="CB122" s="90" t="n">
        <f aca="false">INDEX(in_mkt_listing_3463,1,C122)*(1-IF(sku_flute_3463="B",T122,0))*(1-S122)*N122</f>
        <v>0.23625</v>
      </c>
      <c r="CC122" s="90" t="n">
        <f aca="false">INDEX(in_mkt_listing_3460,1,C122)*(1-IF(sku_flute_3460="B",T122,0))*(1-S122)*N122</f>
        <v>0.21</v>
      </c>
      <c r="CD122" s="88" t="n">
        <f aca="false">BT122*CA122+BU122*CB122+BV122*CC122</f>
        <v>13266.288</v>
      </c>
      <c r="CE122" s="88" t="n">
        <f aca="false">CD122-BM122</f>
        <v>-14195.6751467095</v>
      </c>
      <c r="CF122" s="87" t="n">
        <f aca="false">IF(CD122&gt;0,CE122/CD122,0)</f>
        <v>-1.07005630713803</v>
      </c>
      <c r="CG122" s="87" t="n">
        <f aca="false">W122+INDEX(in_sel_processing,1,C122)+INDEX(in_sel_bad_debt,1,C122)</f>
        <v>0.095</v>
      </c>
      <c r="CH122" s="88" t="n">
        <f aca="false">CD122*CG122</f>
        <v>1260.29736</v>
      </c>
      <c r="CI122" s="88" t="n">
        <f aca="false">INDEX(in_sel_testing,1,C122)*X122+INDEX(in_sel_admin,1,C122)</f>
        <v>4750</v>
      </c>
      <c r="CJ122" s="79" t="n">
        <f aca="false">INDEX(in_sup_lead_days,1,C122)</f>
        <v>35</v>
      </c>
      <c r="CK122" s="79" t="n">
        <f aca="false">CJ122+INDEX(in_oce_transit,1,C122)+IF(F122=4,INDEX(in_oce_lcl_extra_days,1,C122),0)</f>
        <v>73</v>
      </c>
      <c r="CL122" s="79" t="n">
        <f aca="false">CK122+2+INDEX(in_cus_dem_days,1,C122)</f>
        <v>78</v>
      </c>
      <c r="CM122" s="79" t="n">
        <f aca="false">CL122+U122</f>
        <v>138</v>
      </c>
      <c r="CN122" s="79" t="n">
        <f aca="false">CJ122+INDEX(in_sup_vat_lag,1,C122)</f>
        <v>215</v>
      </c>
      <c r="CO122" s="91" t="n">
        <f aca="false">INDEX(in_sup_advance,1,C122)</f>
        <v>0.5</v>
      </c>
      <c r="CP122" s="88" t="n">
        <f aca="false">CO122*(AL122+AM122)+AO122+INDEX(in_sel_testing,1,C122)*X122</f>
        <v>10957.9060810111</v>
      </c>
      <c r="CQ122" s="88" t="n">
        <f aca="false">(1-CO122)*(AL122+AM122)+AR122+AU122+AZ122</f>
        <v>13935.2197658759</v>
      </c>
      <c r="CR122" s="88" t="n">
        <f aca="false">BB122+BC122+BD122+BF122+BJ122</f>
        <v>3818.83729982254</v>
      </c>
      <c r="CS122" s="88" t="n">
        <f aca="false">BK122+BL122</f>
        <v>2750</v>
      </c>
      <c r="CT122" s="88" t="n">
        <f aca="false">IF(K122=2,AM122,0)</f>
        <v>0</v>
      </c>
      <c r="CU122" s="85" t="n">
        <f aca="false">IF(K122=2,CO122*AM122*(CN122-0)+(1-CO122)*AM122*(CN122-CJ122),0)</f>
        <v>0</v>
      </c>
      <c r="CV122" s="85" t="n">
        <f aca="false">(CP122-CO122*CT122)*(CM122-0)+(CQ122-(1-CO122)*CT122)*(CM122-CJ122)+CR122*(CM122-CK122)+CS122*(CM122-CL122)</f>
        <v>3360743.09955321</v>
      </c>
      <c r="CW122" s="88" t="n">
        <f aca="false">INDEX(in_sel_fin_rate,1,C122)/365*(CU122+CV122)</f>
        <v>1289.05214777383</v>
      </c>
      <c r="CX122" s="85" t="n">
        <f aca="false">CP122-IF(CN122&lt;=0,CT122,0)</f>
        <v>10957.9060810111</v>
      </c>
      <c r="CY122" s="85" t="n">
        <f aca="false">CP122+CQ122-IF(CN122&lt;=CJ122,CT122,0)</f>
        <v>24893.125846887</v>
      </c>
      <c r="CZ122" s="85" t="n">
        <f aca="false">CP122+CQ122+CR122-IF(CN122&lt;=CK122,CT122,0)</f>
        <v>28711.9631467095</v>
      </c>
      <c r="DA122" s="85" t="n">
        <f aca="false">CP122+CQ122+CR122+CS122-IF(CN122&lt;=CL122,CT122,0)</f>
        <v>31461.9631467095</v>
      </c>
      <c r="DB122" s="88" t="n">
        <f aca="false">MAX(CX122,CY122,CZ122,DA122)</f>
        <v>31461.9631467095</v>
      </c>
      <c r="DC122" s="88" t="n">
        <f aca="false">CP122+CQ122+CR122+CS122</f>
        <v>31461.9631467095</v>
      </c>
      <c r="DD122" s="88" t="n">
        <f aca="false">CE122-CH122-CI122-CW122</f>
        <v>-21495.0246544834</v>
      </c>
      <c r="DE122" s="87" t="n">
        <f aca="false">IF(CD122&gt;0,DD122/CD122,0)</f>
        <v>-1.62027423605483</v>
      </c>
      <c r="DF122" s="86" t="n">
        <f aca="false">IF(CD122&gt;0,(BM122+CI122+CW122)/(CD122*(1-CG122)),0)</f>
        <v>2.79035827188379</v>
      </c>
      <c r="DG122" s="90" t="n">
        <f aca="false">IF(BW122&gt;0,BM122/BW122,0)</f>
        <v>0.44557962011146</v>
      </c>
      <c r="DH122" s="90" t="n">
        <f aca="false">IF(BW122&gt;0,CD122/BW122,0)</f>
        <v>0.21525</v>
      </c>
      <c r="DI122" s="90" t="n">
        <f aca="false">IF(AI122&gt;0,(AI122*IF(K122=3,INDEX(in_sup_vat_rate,1,C122),0)+AV122*BA122+(BC122+BD122)*AV122/AY122+AZ122*AI122/AL122)/AI122,0)</f>
        <v>0.302214489809212</v>
      </c>
      <c r="DJ122" s="90" t="n">
        <f aca="false">IF(AJ122&gt;0,(AJ122*IF(K122=3,INDEX(in_sup_vat_rate,1,C122),0)+AW122*BA122+(BC122+BD122)*AW122/AY122+AZ122*AJ122/AL122)/AJ122,0)</f>
        <v>0.302537606255458</v>
      </c>
      <c r="DK122" s="90" t="n">
        <f aca="false">IF(AK122&gt;0,(AK122*IF(K122=3,INDEX(in_sup_vat_rate,1,C122),0)+AX122*BA122+(BC122+BD122)*AX122/AY122+AZ122*AK122/AL122)/AK122,0)</f>
        <v>0.303380015191983</v>
      </c>
      <c r="DL122" s="90" t="n">
        <f aca="false">IF(Y122&gt;0,(BP122-AI122*(1+DI122))/Y122,0)</f>
        <v>0.197310942622345</v>
      </c>
      <c r="DM122" s="90" t="n">
        <f aca="false">IF(Z122&gt;0,(BQ122-AJ122*(1+DJ122))/Z122,0)</f>
        <v>0.23297013976871</v>
      </c>
      <c r="DN122" s="90" t="n">
        <f aca="false">IF(AA122&gt;0,(BR122-AK122*(1+DK122))/AA122,0)</f>
        <v>0.165242802590417</v>
      </c>
      <c r="DO122" s="86" t="n">
        <f aca="false">IF(Y122&gt;0,(CA122*(1-thr_gm_go)*(1-R122)-DL122)/(1+DI122)*I122/((1+AH122)*J122),"")</f>
        <v>-1.80840760519833</v>
      </c>
      <c r="DP122" s="86" t="n">
        <f aca="false">IF(Z122&gt;0,(CB122*(1-thr_gm_go)*(1-R122)-DM122)/(1+DJ122)*I122/((1+AH122)*J122),"")</f>
        <v>-2.11784309012299</v>
      </c>
      <c r="DQ122" s="86" t="n">
        <f aca="false">IF(AA122&gt;0,(CC122*(1-thr_gm_go)*(1-R122)-DN122)/(1+DK122)*I122/((1+AH122)*J122),"")</f>
        <v>-0.472740008234847</v>
      </c>
      <c r="DR122" s="92" t="n">
        <f aca="false">IF(AND(AY122*INDEX(in_cus_mpf_rate,1,C122)&gt;INDEX(in_cus_mpf_min,1,C122),AY122*INDEX(in_cus_mpf_rate,1,C122)&lt;INDEX(in_cus_mpf_max,1,C122)),INDEX(in_cus_mpf_rate,1,C122),0)</f>
        <v>0.003464</v>
      </c>
      <c r="DS122" s="88" t="n">
        <f aca="false">IF(AZ122&gt;INDEX(in_oce_ins_min,1,C122),INDEX(in_oce_ins_rate,1,C122)*(1+INDEX(in_oce_ins_uplift,1,C122))*AL122,0)</f>
        <v>0</v>
      </c>
      <c r="DT122" s="88" t="n">
        <f aca="false">(AL122+AN122)*(1+BA122+INDEX(in_cus_hmf,1,C122)+DR122)+DS122</f>
        <v>14550.5635692787</v>
      </c>
      <c r="DU122" s="86" t="n">
        <f aca="false">IF(DT122&gt;0,(CD122*(1-thr_gm_go)-(BM122-DT122))/DT122,0)</f>
        <v>-0.20354425196863</v>
      </c>
      <c r="DV122" s="86" t="n">
        <f aca="false">IF(DT122&gt;0,(CD122-(BM122-DT122))/DT122,0)</f>
        <v>0.024390012172344</v>
      </c>
      <c r="DW122" s="87" t="n">
        <f aca="false">(1+AH122)*J122*DU122-1</f>
        <v>-1.22389867716549</v>
      </c>
      <c r="DX122" s="87" t="n">
        <f aca="false">(1+AH122)*J122*DV122-1</f>
        <v>-0.973170986610422</v>
      </c>
      <c r="DY122" s="85" t="n">
        <f aca="false">IF(G122&gt;0,(CD122*(1-thr_gm_go)-(BM122-AT122))/G122,"")</f>
        <v>-12212.2471467095</v>
      </c>
      <c r="DZ122" s="90" t="n">
        <f aca="false">IF(AB122&gt;0,(AL122+AN122+BB122+BC122+BD122)/AB122,0)</f>
        <v>0.227690841247757</v>
      </c>
      <c r="EA122" s="88" t="n">
        <f aca="false">BM122-DZ122*AB122</f>
        <v>12844.2111386035</v>
      </c>
      <c r="EB122" s="90" t="n">
        <f aca="false">IF(AB122&gt;0,CD122/AB122,0)</f>
        <v>0.20664</v>
      </c>
      <c r="EC122" s="85" t="str">
        <f aca="false">IF(EB122*(1-thr_gm_go)-DZ122&gt;0,EA122/(EB122*(1-thr_gm_go)-DZ122),"n/a")</f>
        <v>n/a</v>
      </c>
      <c r="ED122" s="85" t="str">
        <f aca="false">IF(EB122-DZ122&gt;0,EA122/(EB122-DZ122),"n/a")</f>
        <v>n/a</v>
      </c>
      <c r="EE122" s="93" t="b">
        <f aca="false">INDEX(cfg_fits,D122,C122)</f>
        <v>1</v>
      </c>
      <c r="EF122" s="87" t="n">
        <f aca="false">IF(F122=4,"",INDEX(cfg_lenutil,D122,C122))</f>
        <v>0.999580888516345</v>
      </c>
      <c r="EG122" s="31" t="str">
        <f aca="false">IF(O122&gt;1,"Check fit (units scaled up)","")</f>
        <v/>
      </c>
    </row>
    <row r="123" customFormat="false" ht="15" hidden="false" customHeight="false" outlineLevel="0" collapsed="false">
      <c r="A123" s="78" t="n">
        <v>3044</v>
      </c>
      <c r="B123" s="9" t="s">
        <v>3271</v>
      </c>
      <c r="C123" s="78" t="n">
        <v>3</v>
      </c>
      <c r="D123" s="78" t="n">
        <v>4</v>
      </c>
      <c r="E123" s="78" t="n">
        <v>4</v>
      </c>
      <c r="F123" s="79" t="n">
        <f aca="false">INDEX(cfg_ct,D123)</f>
        <v>3</v>
      </c>
      <c r="G123" s="79" t="n">
        <f aca="false">INDEX(cfg_n,D123)</f>
        <v>1</v>
      </c>
      <c r="H123" s="79" t="n">
        <f aca="false">INDEX(dest_port,E123)</f>
        <v>3</v>
      </c>
      <c r="I123" s="80" t="n">
        <f aca="false">INDEX(in_fx_cbe,1,C123)*(1-INDEX(in_fx_spread,1,C123))</f>
        <v>48.265</v>
      </c>
      <c r="J123" s="81" t="n">
        <f aca="false">1</f>
        <v>1</v>
      </c>
      <c r="K123" s="82" t="n">
        <f aca="false">INDEX(in_sup_vat_mode,1,C123)</f>
        <v>3</v>
      </c>
      <c r="L123" s="83" t="n">
        <f aca="false">INDEX(in_cus_s301,1,C123)</f>
        <v>0.125</v>
      </c>
      <c r="M123" s="84" t="n">
        <f aca="false">1</f>
        <v>1</v>
      </c>
      <c r="N123" s="81" t="n">
        <f aca="false">1</f>
        <v>1</v>
      </c>
      <c r="O123" s="81" t="n">
        <f aca="false">1</f>
        <v>1</v>
      </c>
      <c r="P123" s="81" t="n">
        <f aca="false">1</f>
        <v>1</v>
      </c>
      <c r="Q123" s="81" t="n">
        <f aca="false">1</f>
        <v>1</v>
      </c>
      <c r="R123" s="83" t="n">
        <f aca="false">INDEX(in_sel_damage,1,C123)</f>
        <v>0.04</v>
      </c>
      <c r="S123" s="83" t="n">
        <f aca="false">INDEX(in_mkt_dist_margin,1,C123)</f>
        <v>0.3</v>
      </c>
      <c r="T123" s="83" t="n">
        <f aca="false">INDEX(in_mkt_eflute_disc,1,C123)</f>
        <v>0.25</v>
      </c>
      <c r="U123" s="82" t="n">
        <f aca="false">INDEX(in_sel_credit_days,1,C123)</f>
        <v>60</v>
      </c>
      <c r="V123" s="81" t="n">
        <f aca="false">1</f>
        <v>1</v>
      </c>
      <c r="W123" s="83" t="n">
        <f aca="false">INDEX(in_sel_commission,1,C123)</f>
        <v>0.07</v>
      </c>
      <c r="X123" s="82" t="n">
        <f aca="false">1</f>
        <v>1</v>
      </c>
      <c r="Y123" s="85" t="n">
        <f aca="false">INDEX(cfg_u_3464,D123,C123)*O123</f>
        <v>21400</v>
      </c>
      <c r="Z123" s="85" t="n">
        <f aca="false">INDEX(cfg_u_3463,D123,C123)*O123</f>
        <v>21400</v>
      </c>
      <c r="AA123" s="85" t="n">
        <f aca="false">INDEX(cfg_u_3460,D123,C123)*O123</f>
        <v>21400</v>
      </c>
      <c r="AB123" s="85" t="n">
        <f aca="false">Y123+Z123+AA123</f>
        <v>64200</v>
      </c>
      <c r="AC123" s="86" t="n">
        <f aca="false">Y123*INDEX(lg_vpu_3464,C123)</f>
        <v>17.1267624</v>
      </c>
      <c r="AD123" s="86" t="n">
        <f aca="false">Z123*INDEX(lg_vpu_3463,C123)</f>
        <v>20.9517984</v>
      </c>
      <c r="AE123" s="86" t="n">
        <f aca="false">AA123*INDEX(lg_vpu_3460,C123)</f>
        <v>13.6869264</v>
      </c>
      <c r="AF123" s="86" t="n">
        <f aca="false">AC123+AD123+AE123</f>
        <v>51.7654872</v>
      </c>
      <c r="AG123" s="85" t="n">
        <f aca="false">Y123*INDEX(lg_kpu_3464,C123)+Z123*INDEX(lg_kpu_3463,C123)+AA123*INDEX(lg_kpu_3460,C123)</f>
        <v>12628.6104576</v>
      </c>
      <c r="AH123" s="87" t="n">
        <f aca="false">INDEX(in_sup_requote,1,C123)</f>
        <v>0.1</v>
      </c>
      <c r="AI123" s="88" t="n">
        <f aca="false">Y123*q_price_3464*(1+AH123)*J123/I123</f>
        <v>4079.81145757796</v>
      </c>
      <c r="AJ123" s="88" t="n">
        <f aca="false">Z123*q_price_3463*(1+AH123)*J123/I123</f>
        <v>3853.01978659484</v>
      </c>
      <c r="AK123" s="88" t="n">
        <f aca="false">AA123*q_price_3460*(1+AH123)*J123/I123</f>
        <v>3365.29576297524</v>
      </c>
      <c r="AL123" s="88" t="n">
        <f aca="false">AI123+AJ123+AK123</f>
        <v>11298.127007148</v>
      </c>
      <c r="AM123" s="88" t="n">
        <f aca="false">IF(OR(K123=2,K123=3),AL123*INDEX(in_sup_vat_rate,1,C123),0)</f>
        <v>1581.73778100073</v>
      </c>
      <c r="AN123" s="88" t="n">
        <f aca="false">IF(K123=3,AM123,0)</f>
        <v>1581.73778100073</v>
      </c>
      <c r="AO123" s="88" t="n">
        <f aca="false">INDEX(in_sup_tooling_egp,1,C123)/I123</f>
        <v>517.973686936704</v>
      </c>
      <c r="AP123" s="88" t="n">
        <f aca="false">IF(F123=4,INDEX(in_ori_lcl_truck,1,C123)*V123/I123+INDEX(in_ori_lcl_cfs_o,1,C123),G123*(IF(F123=1,INDEX(in_ori_truck_20,1,C123),INDEX(in_ori_truck_40,1,C123))*V123/I123+INDEX(in_ori_terminal,1,C123)+IF(F123=1,INDEX(in_ori_othc_20,1,C123),INDEX(in_ori_othc_40,1,C123))*(1-INDEX(in_ori_othc_in_freight,1,C123))+INDEX(in_ori_seal,1,C123)+INDEX(in_ori_inspection,1,C123)+INDEX(in_ori_dd_days,1,C123)*IF(F123=1,INDEX(in_ori_dd_20,1,C123),INDEX(in_ori_dd_40,1,C123))+INDEX(in_ori_loading_egp,1,C123)/I123))</f>
        <v>882.378949549363</v>
      </c>
      <c r="AQ123" s="88" t="n">
        <f aca="false">(INDEX(in_ori_clearance,1,C123)+INDEX(in_ori_coo,1,C123))/I123+INDEX(in_ori_bl_fee,1,C123)+INDEX(in_ori_fwd_fee,1,C123)+INDEX(in_ori_qc,1,C123)+INDEX(in_ori_wires,1,C123)*INDEX(in_ori_wire_fee,1,C123)</f>
        <v>1167.90842225215</v>
      </c>
      <c r="AR123" s="88" t="n">
        <f aca="false">AP123+AQ123</f>
        <v>2050.28737180151</v>
      </c>
      <c r="AS123" s="85" t="n">
        <f aca="false">INDEX(tbl_port_diff,H123,C123)</f>
        <v>100</v>
      </c>
      <c r="AT123" s="88" t="n">
        <f aca="false">IF(F123=4,MAX(AF123*INDEX(in_oce_lcl_factor,1,C123),AG123/1000,1)*INDEX(in_oce_lcl_rate,1,C123)*M123,G123*(INDEX(tbl_ocean_rate,MIN(F123,3),C123)+AS123)*M123)</f>
        <v>5100</v>
      </c>
      <c r="AU123" s="88" t="n">
        <f aca="false">AT123+INDEX(in_oce_ams,1,C123)</f>
        <v>5145</v>
      </c>
      <c r="AV123" s="88" t="n">
        <f aca="false">AI123*(1+IF(K123=3,INDEX(in_sup_vat_rate,1,C123),0))+AO123*Y123/AB123</f>
        <v>4823.64295728444</v>
      </c>
      <c r="AW123" s="88" t="n">
        <f aca="false">AJ123*(1+IF(K123=3,INDEX(in_sup_vat_rate,1,C123),0))+AO123*Z123/AB123</f>
        <v>4565.10045236369</v>
      </c>
      <c r="AX123" s="88" t="n">
        <f aca="false">AK123*(1+IF(K123=3,INDEX(in_sup_vat_rate,1,C123),0))+AO123*AA123/AB123</f>
        <v>4009.09506543734</v>
      </c>
      <c r="AY123" s="88" t="n">
        <f aca="false">AV123+AW123+AX123</f>
        <v>13397.8384750855</v>
      </c>
      <c r="AZ123" s="88" t="n">
        <f aca="false">MAX(INDEX(in_oce_ins_min,1,C123),INDEX(in_oce_ins_rate,1,C123)*(1+INDEX(in_oce_ins_uplift,1,C123))*(AL123+AO123+AR123+AU123))*(1-INDEX(in_oce_ins_in_other,1,C123))</f>
        <v>100</v>
      </c>
      <c r="BA123" s="87" t="n">
        <f aca="false">INDEX(in_cus_mfn,1,C123)+L123</f>
        <v>0.125</v>
      </c>
      <c r="BB123" s="88" t="n">
        <f aca="false">AY123*BA123</f>
        <v>1674.72980938568</v>
      </c>
      <c r="BC123" s="88" t="n">
        <f aca="false">MIN(MAX(AY123*INDEX(in_cus_mpf_rate,1,C123),INDEX(in_cus_mpf_min,1,C123)),INDEX(in_cus_mpf_max,1,C123))</f>
        <v>46.4101124776961</v>
      </c>
      <c r="BD123" s="88" t="n">
        <f aca="false">AY123*INDEX(in_cus_hmf,1,C123)</f>
        <v>16.7472980938568</v>
      </c>
      <c r="BE123" s="88" t="n">
        <f aca="false">MAX(INDEX(in_cus_stb_min,1,C123),INDEX(in_cus_stb_rate,1,C123)/1000*(AY123+BB123+BC123+BD123))</f>
        <v>105.950079865299</v>
      </c>
      <c r="BF123" s="88" t="n">
        <f aca="false">INDEX(in_cus_broker,1,C123)+INDEX(in_cus_isf,1,C123)+INDEX(in_cus_do_fee,1,C123)+BE123+INDEX(in_cus_isf_bond,1,C123)</f>
        <v>730.950079865299</v>
      </c>
      <c r="BG123" s="88" t="n">
        <f aca="false">IF(H123=1,INDEX(in_cus_cfc,1,C123)*INDEX(ct_teu,F123)*G123*(1-INDEX(in_cus_cfc_in_freight,1,C123)),0)</f>
        <v>0</v>
      </c>
      <c r="BH123" s="88" t="n">
        <f aca="false">IF(F123=4,1,G123)*(INDEX(in_cus_exam,1,C123)+INDEX(in_cus_exam_dray,1,C123))</f>
        <v>600</v>
      </c>
      <c r="BI123" s="88" t="n">
        <f aca="false">IF(F123=4,1,G123)*INDEX(in_cus_dem_days,1,C123)*INDEX(in_cus_dem_rate,1,C123)</f>
        <v>750</v>
      </c>
      <c r="BJ123" s="88" t="n">
        <f aca="false">BG123+BH123+BI123</f>
        <v>1350</v>
      </c>
      <c r="BK123" s="88" t="n">
        <f aca="false">IF(F123=4,(INDEX(in_dra_lcl_cfs_d,1,C123)+INDEX(in_dra_lcl_deliv,1,C123))*P123,G123*(INDEX(tbl_dest_line,E123,C123)*P123*(1+INDEX(in_dra_fsc,1,C123))+INDEX(tbl_dest_tolls,E123,C123)+INDEX(in_dra_chassis_days,1,C123)*INDEX(tbl_dest_chassis,E123,C123)*(1-INDEX(in_dra_chassis_in_dray,1,C123))+INDEX(in_dra_wait_hours,1,C123)*INDEX(in_dra_wait_rate,1,C123)+INDEX(in_dra_split,1,C123)+INDEX(in_dra_prepull,1,C123)+INDEX(in_dra_dryrun,1,C123)))</f>
        <v>2850</v>
      </c>
      <c r="BL123" s="88" t="n">
        <f aca="false">IF(F123=4,0,G123*IF(F123=1,INDEX(in_dra_unload_20,1,C123),INDEX(in_dra_unload_40,1,C123))*Q123*(1-INDEX(in_dra_unload_in_dray,1,C123)))</f>
        <v>650</v>
      </c>
      <c r="BM123" s="88" t="n">
        <f aca="false">AL123+AN123+AO123+AR123+AU123+AZ123+BB123+BC123+BD123+BF123+BJ123+BK123+BL123</f>
        <v>28011.9631467095</v>
      </c>
      <c r="BN123" s="88" t="n">
        <f aca="false">AP123+AU123+BJ123+BK123+BL123</f>
        <v>10877.3789495494</v>
      </c>
      <c r="BO123" s="88" t="n">
        <f aca="false">AQ123+BF123</f>
        <v>1898.85850211745</v>
      </c>
      <c r="BP123" s="88" t="n">
        <f aca="false">AI123*(1+IF(K123=3,INDEX(in_sup_vat_rate,1,C123),0))+AO123*Y123/AB123+AV123*BA123+(BC123+BD123)*AV123/AY123+AZ123*AI123/AL123+BN123*AC123/AF123+BO123*Y123/AB123</f>
        <v>9717.21287179036</v>
      </c>
      <c r="BQ123" s="88" t="n">
        <f aca="false">AJ123*(1+IF(K123=3,INDEX(in_sup_vat_rate,1,C123),0))+AO123*Z123/AB123+AW123*BA123+(BC123+BD123)*AW123/AY123+AZ123*AJ123/AL123+BN123*AD123/AF123+BO123*Z123/AB123</f>
        <v>10226.8736587498</v>
      </c>
      <c r="BR123" s="88" t="n">
        <f aca="false">AK123*(1+IF(K123=3,INDEX(in_sup_vat_rate,1,C123),0))+AO123*AA123/AB123+AX123*BA123+(BC123+BD123)*AX123/AY123+AZ123*AK123/AL123+BN123*AE123/AF123+BO123*AA123/AB123</f>
        <v>8067.87661616941</v>
      </c>
      <c r="BS123" s="89" t="n">
        <f aca="false">BP123+BQ123+BR123-BM123</f>
        <v>0</v>
      </c>
      <c r="BT123" s="85" t="n">
        <f aca="false">Y123*(1-R123)</f>
        <v>20544</v>
      </c>
      <c r="BU123" s="85" t="n">
        <f aca="false">Z123*(1-R123)</f>
        <v>20544</v>
      </c>
      <c r="BV123" s="85" t="n">
        <f aca="false">AA123*(1-R123)</f>
        <v>20544</v>
      </c>
      <c r="BW123" s="85" t="n">
        <f aca="false">BT123+BU123+BV123</f>
        <v>61632</v>
      </c>
      <c r="BX123" s="90" t="n">
        <f aca="false">IF(BT123&gt;0,BP123/BT123,0)</f>
        <v>0.472995174834032</v>
      </c>
      <c r="BY123" s="90" t="n">
        <f aca="false">IF(BU123&gt;0,BQ123/BU123,0)</f>
        <v>0.497803429650981</v>
      </c>
      <c r="BZ123" s="90" t="n">
        <f aca="false">IF(BV123&gt;0,BR123/BV123,0)</f>
        <v>0.39271206270295</v>
      </c>
      <c r="CA123" s="90" t="n">
        <f aca="false">INDEX(in_mkt_listing_3464,1,C123)*(1-IF(sku_flute_3464="B",T123,0))*(1-S123)*N123</f>
        <v>0.1995</v>
      </c>
      <c r="CB123" s="90" t="n">
        <f aca="false">INDEX(in_mkt_listing_3463,1,C123)*(1-IF(sku_flute_3463="B",T123,0))*(1-S123)*N123</f>
        <v>0.23625</v>
      </c>
      <c r="CC123" s="90" t="n">
        <f aca="false">INDEX(in_mkt_listing_3460,1,C123)*(1-IF(sku_flute_3460="B",T123,0))*(1-S123)*N123</f>
        <v>0.21</v>
      </c>
      <c r="CD123" s="88" t="n">
        <f aca="false">BT123*CA123+BU123*CB123+BV123*CC123</f>
        <v>13266.288</v>
      </c>
      <c r="CE123" s="88" t="n">
        <f aca="false">CD123-BM123</f>
        <v>-14745.6751467095</v>
      </c>
      <c r="CF123" s="87" t="n">
        <f aca="false">IF(CD123&gt;0,CE123/CD123,0)</f>
        <v>-1.11151477690742</v>
      </c>
      <c r="CG123" s="87" t="n">
        <f aca="false">W123+INDEX(in_sel_processing,1,C123)+INDEX(in_sel_bad_debt,1,C123)</f>
        <v>0.095</v>
      </c>
      <c r="CH123" s="88" t="n">
        <f aca="false">CD123*CG123</f>
        <v>1260.29736</v>
      </c>
      <c r="CI123" s="88" t="n">
        <f aca="false">INDEX(in_sel_testing,1,C123)*X123+INDEX(in_sel_admin,1,C123)</f>
        <v>4750</v>
      </c>
      <c r="CJ123" s="79" t="n">
        <f aca="false">INDEX(in_sup_lead_days,1,C123)</f>
        <v>35</v>
      </c>
      <c r="CK123" s="79" t="n">
        <f aca="false">CJ123+INDEX(in_oce_transit,1,C123)+IF(F123=4,INDEX(in_oce_lcl_extra_days,1,C123),0)</f>
        <v>73</v>
      </c>
      <c r="CL123" s="79" t="n">
        <f aca="false">CK123+2+INDEX(in_cus_dem_days,1,C123)</f>
        <v>78</v>
      </c>
      <c r="CM123" s="79" t="n">
        <f aca="false">CL123+U123</f>
        <v>138</v>
      </c>
      <c r="CN123" s="79" t="n">
        <f aca="false">CJ123+INDEX(in_sup_vat_lag,1,C123)</f>
        <v>215</v>
      </c>
      <c r="CO123" s="91" t="n">
        <f aca="false">INDEX(in_sup_advance,1,C123)</f>
        <v>0.5</v>
      </c>
      <c r="CP123" s="88" t="n">
        <f aca="false">CO123*(AL123+AM123)+AO123+INDEX(in_sel_testing,1,C123)*X123</f>
        <v>10957.9060810111</v>
      </c>
      <c r="CQ123" s="88" t="n">
        <f aca="false">(1-CO123)*(AL123+AM123)+AR123+AU123+AZ123</f>
        <v>13735.2197658759</v>
      </c>
      <c r="CR123" s="88" t="n">
        <f aca="false">BB123+BC123+BD123+BF123+BJ123</f>
        <v>3818.83729982254</v>
      </c>
      <c r="CS123" s="88" t="n">
        <f aca="false">BK123+BL123</f>
        <v>3500</v>
      </c>
      <c r="CT123" s="88" t="n">
        <f aca="false">IF(K123=2,AM123,0)</f>
        <v>0</v>
      </c>
      <c r="CU123" s="85" t="n">
        <f aca="false">IF(K123=2,CO123*AM123*(CN123-0)+(1-CO123)*AM123*(CN123-CJ123),0)</f>
        <v>0</v>
      </c>
      <c r="CV123" s="85" t="n">
        <f aca="false">(CP123-CO123*CT123)*(CM123-0)+(CQ123-(1-CO123)*CT123)*(CM123-CJ123)+CR123*(CM123-CK123)+CS123*(CM123-CL123)</f>
        <v>3385143.09955321</v>
      </c>
      <c r="CW123" s="88" t="n">
        <f aca="false">INDEX(in_sel_fin_rate,1,C123)/365*(CU123+CV123)</f>
        <v>1298.41105188342</v>
      </c>
      <c r="CX123" s="85" t="n">
        <f aca="false">CP123-IF(CN123&lt;=0,CT123,0)</f>
        <v>10957.9060810111</v>
      </c>
      <c r="CY123" s="85" t="n">
        <f aca="false">CP123+CQ123-IF(CN123&lt;=CJ123,CT123,0)</f>
        <v>24693.125846887</v>
      </c>
      <c r="CZ123" s="85" t="n">
        <f aca="false">CP123+CQ123+CR123-IF(CN123&lt;=CK123,CT123,0)</f>
        <v>28511.9631467095</v>
      </c>
      <c r="DA123" s="85" t="n">
        <f aca="false">CP123+CQ123+CR123+CS123-IF(CN123&lt;=CL123,CT123,0)</f>
        <v>32011.9631467095</v>
      </c>
      <c r="DB123" s="88" t="n">
        <f aca="false">MAX(CX123,CY123,CZ123,DA123)</f>
        <v>32011.9631467095</v>
      </c>
      <c r="DC123" s="88" t="n">
        <f aca="false">CP123+CQ123+CR123+CS123</f>
        <v>32011.9631467095</v>
      </c>
      <c r="DD123" s="88" t="n">
        <f aca="false">CE123-CH123-CI123-CW123</f>
        <v>-22054.3835585929</v>
      </c>
      <c r="DE123" s="87" t="n">
        <f aca="false">IF(CD123&gt;0,DD123/CD123,0)</f>
        <v>-1.66243817099349</v>
      </c>
      <c r="DF123" s="86" t="n">
        <f aca="false">IF(CD123&gt;0,(BM123+CI123+CW123)/(CD123*(1-CG123)),0)</f>
        <v>2.83694825524143</v>
      </c>
      <c r="DG123" s="90" t="n">
        <f aca="false">IF(BW123&gt;0,BM123/BW123,0)</f>
        <v>0.454503555729321</v>
      </c>
      <c r="DH123" s="90" t="n">
        <f aca="false">IF(BW123&gt;0,CD123/BW123,0)</f>
        <v>0.21525</v>
      </c>
      <c r="DI123" s="90" t="n">
        <f aca="false">IF(AI123&gt;0,(AI123*IF(K123=3,INDEX(in_sup_vat_rate,1,C123),0)+AV123*BA123+(BC123+BD123)*AV123/AY123+AZ123*AI123/AL123)/AI123,0)</f>
        <v>0.302214489809212</v>
      </c>
      <c r="DJ123" s="90" t="n">
        <f aca="false">IF(AJ123&gt;0,(AJ123*IF(K123=3,INDEX(in_sup_vat_rate,1,C123),0)+AW123*BA123+(BC123+BD123)*AW123/AY123+AZ123*AJ123/AL123)/AJ123,0)</f>
        <v>0.302537606255458</v>
      </c>
      <c r="DK123" s="90" t="n">
        <f aca="false">IF(AK123&gt;0,(AK123*IF(K123=3,INDEX(in_sup_vat_rate,1,C123),0)+AX123*BA123+(BC123+BD123)*AX123/AY123+AZ123*AK123/AL123)/AK123,0)</f>
        <v>0.303380015191983</v>
      </c>
      <c r="DL123" s="90" t="n">
        <f aca="false">IF(Y123&gt;0,(BP123-AI123*(1+DI123))/Y123,0)</f>
        <v>0.205814171777696</v>
      </c>
      <c r="DM123" s="90" t="n">
        <f aca="false">IF(Z123&gt;0,(BQ123-AJ123*(1+DJ123))/Z123,0)</f>
        <v>0.243372452759981</v>
      </c>
      <c r="DN123" s="90" t="n">
        <f aca="false">IF(AA123&gt;0,(BR123-AK123*(1+DK123))/AA123,0)</f>
        <v>0.172038195023235</v>
      </c>
      <c r="DO123" s="86" t="n">
        <f aca="false">IF(Y123&gt;0,(CA123*(1-thr_gm_go)*(1-R123)-DL123)/(1+DI123)*I123/((1+AH123)*J123),"")</f>
        <v>-2.09491839710827</v>
      </c>
      <c r="DP123" s="86" t="n">
        <f aca="false">IF(Z123&gt;0,(CB123*(1-thr_gm_go)*(1-R123)-DM123)/(1+DJ123)*I123/((1+AH123)*J123),"")</f>
        <v>-2.46825533305589</v>
      </c>
      <c r="DQ123" s="86" t="n">
        <f aca="false">IF(AA123&gt;0,(CC123*(1-thr_gm_go)*(1-R123)-DN123)/(1+DK123)*I123/((1+AH123)*J123),"")</f>
        <v>-0.701501600086989</v>
      </c>
      <c r="DR123" s="92" t="n">
        <f aca="false">IF(AND(AY123*INDEX(in_cus_mpf_rate,1,C123)&gt;INDEX(in_cus_mpf_min,1,C123),AY123*INDEX(in_cus_mpf_rate,1,C123)&lt;INDEX(in_cus_mpf_max,1,C123)),INDEX(in_cus_mpf_rate,1,C123),0)</f>
        <v>0.003464</v>
      </c>
      <c r="DS123" s="88" t="n">
        <f aca="false">IF(AZ123&gt;INDEX(in_oce_ins_min,1,C123),INDEX(in_oce_ins_rate,1,C123)*(1+INDEX(in_oce_ins_uplift,1,C123))*AL123,0)</f>
        <v>0</v>
      </c>
      <c r="DT123" s="88" t="n">
        <f aca="false">(AL123+AN123)*(1+BA123+INDEX(in_cus_hmf,1,C123)+DR123)+DS123</f>
        <v>14550.5635692787</v>
      </c>
      <c r="DU123" s="86" t="n">
        <f aca="false">IF(DT123&gt;0,(CD123*(1-thr_gm_go)-(BM123-DT123))/DT123,0)</f>
        <v>-0.241343475165815</v>
      </c>
      <c r="DV123" s="86" t="n">
        <f aca="false">IF(DT123&gt;0,(CD123-(BM123-DT123))/DT123,0)</f>
        <v>-0.0134092110248414</v>
      </c>
      <c r="DW123" s="87" t="n">
        <f aca="false">(1+AH123)*J123*DU123-1</f>
        <v>-1.2654778226824</v>
      </c>
      <c r="DX123" s="87" t="n">
        <f aca="false">(1+AH123)*J123*DV123-1</f>
        <v>-1.01475013212733</v>
      </c>
      <c r="DY123" s="85" t="n">
        <f aca="false">IF(G123&gt;0,(CD123*(1-thr_gm_go)-(BM123-AT123))/G123,"")</f>
        <v>-12962.2471467095</v>
      </c>
      <c r="DZ123" s="90" t="n">
        <f aca="false">IF(AB123&gt;0,(AL123+AN123+BB123+BC123+BD123)/AB123,0)</f>
        <v>0.227690841247757</v>
      </c>
      <c r="EA123" s="88" t="n">
        <f aca="false">BM123-DZ123*AB123</f>
        <v>13394.2111386035</v>
      </c>
      <c r="EB123" s="90" t="n">
        <f aca="false">IF(AB123&gt;0,CD123/AB123,0)</f>
        <v>0.20664</v>
      </c>
      <c r="EC123" s="85" t="str">
        <f aca="false">IF(EB123*(1-thr_gm_go)-DZ123&gt;0,EA123/(EB123*(1-thr_gm_go)-DZ123),"n/a")</f>
        <v>n/a</v>
      </c>
      <c r="ED123" s="85" t="str">
        <f aca="false">IF(EB123-DZ123&gt;0,EA123/(EB123-DZ123),"n/a")</f>
        <v>n/a</v>
      </c>
      <c r="EE123" s="93" t="b">
        <f aca="false">INDEX(cfg_fits,D123,C123)</f>
        <v>1</v>
      </c>
      <c r="EF123" s="87" t="n">
        <f aca="false">IF(F123=4,"",INDEX(cfg_lenutil,D123,C123))</f>
        <v>0.999580888516345</v>
      </c>
      <c r="EG123" s="31" t="str">
        <f aca="false">IF(O123&gt;1,"Check fit (units scaled up)","")</f>
        <v/>
      </c>
    </row>
    <row r="124" customFormat="false" ht="15" hidden="false" customHeight="false" outlineLevel="0" collapsed="false">
      <c r="A124" s="78" t="n">
        <v>3045</v>
      </c>
      <c r="B124" s="9" t="s">
        <v>3272</v>
      </c>
      <c r="C124" s="78" t="n">
        <v>3</v>
      </c>
      <c r="D124" s="78" t="n">
        <v>4</v>
      </c>
      <c r="E124" s="78" t="n">
        <v>5</v>
      </c>
      <c r="F124" s="79" t="n">
        <f aca="false">INDEX(cfg_ct,D124)</f>
        <v>3</v>
      </c>
      <c r="G124" s="79" t="n">
        <f aca="false">INDEX(cfg_n,D124)</f>
        <v>1</v>
      </c>
      <c r="H124" s="79" t="n">
        <f aca="false">INDEX(dest_port,E124)</f>
        <v>4</v>
      </c>
      <c r="I124" s="80" t="n">
        <f aca="false">INDEX(in_fx_cbe,1,C124)*(1-INDEX(in_fx_spread,1,C124))</f>
        <v>48.265</v>
      </c>
      <c r="J124" s="81" t="n">
        <f aca="false">1</f>
        <v>1</v>
      </c>
      <c r="K124" s="82" t="n">
        <f aca="false">INDEX(in_sup_vat_mode,1,C124)</f>
        <v>3</v>
      </c>
      <c r="L124" s="83" t="n">
        <f aca="false">INDEX(in_cus_s301,1,C124)</f>
        <v>0.125</v>
      </c>
      <c r="M124" s="84" t="n">
        <f aca="false">1</f>
        <v>1</v>
      </c>
      <c r="N124" s="81" t="n">
        <f aca="false">1</f>
        <v>1</v>
      </c>
      <c r="O124" s="81" t="n">
        <f aca="false">1</f>
        <v>1</v>
      </c>
      <c r="P124" s="81" t="n">
        <f aca="false">1</f>
        <v>1</v>
      </c>
      <c r="Q124" s="81" t="n">
        <f aca="false">1</f>
        <v>1</v>
      </c>
      <c r="R124" s="83" t="n">
        <f aca="false">INDEX(in_sel_damage,1,C124)</f>
        <v>0.04</v>
      </c>
      <c r="S124" s="83" t="n">
        <f aca="false">INDEX(in_mkt_dist_margin,1,C124)</f>
        <v>0.3</v>
      </c>
      <c r="T124" s="83" t="n">
        <f aca="false">INDEX(in_mkt_eflute_disc,1,C124)</f>
        <v>0.25</v>
      </c>
      <c r="U124" s="82" t="n">
        <f aca="false">INDEX(in_sel_credit_days,1,C124)</f>
        <v>60</v>
      </c>
      <c r="V124" s="81" t="n">
        <f aca="false">1</f>
        <v>1</v>
      </c>
      <c r="W124" s="83" t="n">
        <f aca="false">INDEX(in_sel_commission,1,C124)</f>
        <v>0.07</v>
      </c>
      <c r="X124" s="82" t="n">
        <f aca="false">1</f>
        <v>1</v>
      </c>
      <c r="Y124" s="85" t="n">
        <f aca="false">INDEX(cfg_u_3464,D124,C124)*O124</f>
        <v>21400</v>
      </c>
      <c r="Z124" s="85" t="n">
        <f aca="false">INDEX(cfg_u_3463,D124,C124)*O124</f>
        <v>21400</v>
      </c>
      <c r="AA124" s="85" t="n">
        <f aca="false">INDEX(cfg_u_3460,D124,C124)*O124</f>
        <v>21400</v>
      </c>
      <c r="AB124" s="85" t="n">
        <f aca="false">Y124+Z124+AA124</f>
        <v>64200</v>
      </c>
      <c r="AC124" s="86" t="n">
        <f aca="false">Y124*INDEX(lg_vpu_3464,C124)</f>
        <v>17.1267624</v>
      </c>
      <c r="AD124" s="86" t="n">
        <f aca="false">Z124*INDEX(lg_vpu_3463,C124)</f>
        <v>20.9517984</v>
      </c>
      <c r="AE124" s="86" t="n">
        <f aca="false">AA124*INDEX(lg_vpu_3460,C124)</f>
        <v>13.6869264</v>
      </c>
      <c r="AF124" s="86" t="n">
        <f aca="false">AC124+AD124+AE124</f>
        <v>51.7654872</v>
      </c>
      <c r="AG124" s="85" t="n">
        <f aca="false">Y124*INDEX(lg_kpu_3464,C124)+Z124*INDEX(lg_kpu_3463,C124)+AA124*INDEX(lg_kpu_3460,C124)</f>
        <v>12628.6104576</v>
      </c>
      <c r="AH124" s="87" t="n">
        <f aca="false">INDEX(in_sup_requote,1,C124)</f>
        <v>0.1</v>
      </c>
      <c r="AI124" s="88" t="n">
        <f aca="false">Y124*q_price_3464*(1+AH124)*J124/I124</f>
        <v>4079.81145757796</v>
      </c>
      <c r="AJ124" s="88" t="n">
        <f aca="false">Z124*q_price_3463*(1+AH124)*J124/I124</f>
        <v>3853.01978659484</v>
      </c>
      <c r="AK124" s="88" t="n">
        <f aca="false">AA124*q_price_3460*(1+AH124)*J124/I124</f>
        <v>3365.29576297524</v>
      </c>
      <c r="AL124" s="88" t="n">
        <f aca="false">AI124+AJ124+AK124</f>
        <v>11298.127007148</v>
      </c>
      <c r="AM124" s="88" t="n">
        <f aca="false">IF(OR(K124=2,K124=3),AL124*INDEX(in_sup_vat_rate,1,C124),0)</f>
        <v>1581.73778100073</v>
      </c>
      <c r="AN124" s="88" t="n">
        <f aca="false">IF(K124=3,AM124,0)</f>
        <v>1581.73778100073</v>
      </c>
      <c r="AO124" s="88" t="n">
        <f aca="false">INDEX(in_sup_tooling_egp,1,C124)/I124</f>
        <v>517.973686936704</v>
      </c>
      <c r="AP124" s="88" t="n">
        <f aca="false">IF(F124=4,INDEX(in_ori_lcl_truck,1,C124)*V124/I124+INDEX(in_ori_lcl_cfs_o,1,C124),G124*(IF(F124=1,INDEX(in_ori_truck_20,1,C124),INDEX(in_ori_truck_40,1,C124))*V124/I124+INDEX(in_ori_terminal,1,C124)+IF(F124=1,INDEX(in_ori_othc_20,1,C124),INDEX(in_ori_othc_40,1,C124))*(1-INDEX(in_ori_othc_in_freight,1,C124))+INDEX(in_ori_seal,1,C124)+INDEX(in_ori_inspection,1,C124)+INDEX(in_ori_dd_days,1,C124)*IF(F124=1,INDEX(in_ori_dd_20,1,C124),INDEX(in_ori_dd_40,1,C124))+INDEX(in_ori_loading_egp,1,C124)/I124))</f>
        <v>882.378949549363</v>
      </c>
      <c r="AQ124" s="88" t="n">
        <f aca="false">(INDEX(in_ori_clearance,1,C124)+INDEX(in_ori_coo,1,C124))/I124+INDEX(in_ori_bl_fee,1,C124)+INDEX(in_ori_fwd_fee,1,C124)+INDEX(in_ori_qc,1,C124)+INDEX(in_ori_wires,1,C124)*INDEX(in_ori_wire_fee,1,C124)</f>
        <v>1167.90842225215</v>
      </c>
      <c r="AR124" s="88" t="n">
        <f aca="false">AP124+AQ124</f>
        <v>2050.28737180151</v>
      </c>
      <c r="AS124" s="85" t="n">
        <f aca="false">INDEX(tbl_port_diff,H124,C124)</f>
        <v>200</v>
      </c>
      <c r="AT124" s="88" t="n">
        <f aca="false">IF(F124=4,MAX(AF124*INDEX(in_oce_lcl_factor,1,C124),AG124/1000,1)*INDEX(in_oce_lcl_rate,1,C124)*M124,G124*(INDEX(tbl_ocean_rate,MIN(F124,3),C124)+AS124)*M124)</f>
        <v>5200</v>
      </c>
      <c r="AU124" s="88" t="n">
        <f aca="false">AT124+INDEX(in_oce_ams,1,C124)</f>
        <v>5245</v>
      </c>
      <c r="AV124" s="88" t="n">
        <f aca="false">AI124*(1+IF(K124=3,INDEX(in_sup_vat_rate,1,C124),0))+AO124*Y124/AB124</f>
        <v>4823.64295728444</v>
      </c>
      <c r="AW124" s="88" t="n">
        <f aca="false">AJ124*(1+IF(K124=3,INDEX(in_sup_vat_rate,1,C124),0))+AO124*Z124/AB124</f>
        <v>4565.10045236369</v>
      </c>
      <c r="AX124" s="88" t="n">
        <f aca="false">AK124*(1+IF(K124=3,INDEX(in_sup_vat_rate,1,C124),0))+AO124*AA124/AB124</f>
        <v>4009.09506543734</v>
      </c>
      <c r="AY124" s="88" t="n">
        <f aca="false">AV124+AW124+AX124</f>
        <v>13397.8384750855</v>
      </c>
      <c r="AZ124" s="88" t="n">
        <f aca="false">MAX(INDEX(in_oce_ins_min,1,C124),INDEX(in_oce_ins_rate,1,C124)*(1+INDEX(in_oce_ins_uplift,1,C124))*(AL124+AO124+AR124+AU124))*(1-INDEX(in_oce_ins_in_other,1,C124))</f>
        <v>100</v>
      </c>
      <c r="BA124" s="87" t="n">
        <f aca="false">INDEX(in_cus_mfn,1,C124)+L124</f>
        <v>0.125</v>
      </c>
      <c r="BB124" s="88" t="n">
        <f aca="false">AY124*BA124</f>
        <v>1674.72980938568</v>
      </c>
      <c r="BC124" s="88" t="n">
        <f aca="false">MIN(MAX(AY124*INDEX(in_cus_mpf_rate,1,C124),INDEX(in_cus_mpf_min,1,C124)),INDEX(in_cus_mpf_max,1,C124))</f>
        <v>46.4101124776961</v>
      </c>
      <c r="BD124" s="88" t="n">
        <f aca="false">AY124*INDEX(in_cus_hmf,1,C124)</f>
        <v>16.7472980938568</v>
      </c>
      <c r="BE124" s="88" t="n">
        <f aca="false">MAX(INDEX(in_cus_stb_min,1,C124),INDEX(in_cus_stb_rate,1,C124)/1000*(AY124+BB124+BC124+BD124))</f>
        <v>105.950079865299</v>
      </c>
      <c r="BF124" s="88" t="n">
        <f aca="false">INDEX(in_cus_broker,1,C124)+INDEX(in_cus_isf,1,C124)+INDEX(in_cus_do_fee,1,C124)+BE124+INDEX(in_cus_isf_bond,1,C124)</f>
        <v>730.950079865299</v>
      </c>
      <c r="BG124" s="88" t="n">
        <f aca="false">IF(H124=1,INDEX(in_cus_cfc,1,C124)*INDEX(ct_teu,F124)*G124*(1-INDEX(in_cus_cfc_in_freight,1,C124)),0)</f>
        <v>0</v>
      </c>
      <c r="BH124" s="88" t="n">
        <f aca="false">IF(F124=4,1,G124)*(INDEX(in_cus_exam,1,C124)+INDEX(in_cus_exam_dray,1,C124))</f>
        <v>600</v>
      </c>
      <c r="BI124" s="88" t="n">
        <f aca="false">IF(F124=4,1,G124)*INDEX(in_cus_dem_days,1,C124)*INDEX(in_cus_dem_rate,1,C124)</f>
        <v>750</v>
      </c>
      <c r="BJ124" s="88" t="n">
        <f aca="false">BG124+BH124+BI124</f>
        <v>1350</v>
      </c>
      <c r="BK124" s="88" t="n">
        <f aca="false">IF(F124=4,(INDEX(in_dra_lcl_cfs_d,1,C124)+INDEX(in_dra_lcl_deliv,1,C124))*P124,G124*(INDEX(tbl_dest_line,E124,C124)*P124*(1+INDEX(in_dra_fsc,1,C124))+INDEX(tbl_dest_tolls,E124,C124)+INDEX(in_dra_chassis_days,1,C124)*INDEX(tbl_dest_chassis,E124,C124)*(1-INDEX(in_dra_chassis_in_dray,1,C124))+INDEX(in_dra_wait_hours,1,C124)*INDEX(in_dra_wait_rate,1,C124)+INDEX(in_dra_split,1,C124)+INDEX(in_dra_prepull,1,C124)+INDEX(in_dra_dryrun,1,C124)))</f>
        <v>3465</v>
      </c>
      <c r="BL124" s="88" t="n">
        <f aca="false">IF(F124=4,0,G124*IF(F124=1,INDEX(in_dra_unload_20,1,C124),INDEX(in_dra_unload_40,1,C124))*Q124*(1-INDEX(in_dra_unload_in_dray,1,C124)))</f>
        <v>650</v>
      </c>
      <c r="BM124" s="88" t="n">
        <f aca="false">AL124+AN124+AO124+AR124+AU124+AZ124+BB124+BC124+BD124+BF124+BJ124+BK124+BL124</f>
        <v>28726.9631467095</v>
      </c>
      <c r="BN124" s="88" t="n">
        <f aca="false">AP124+AU124+BJ124+BK124+BL124</f>
        <v>11592.3789495494</v>
      </c>
      <c r="BO124" s="88" t="n">
        <f aca="false">AQ124+BF124</f>
        <v>1898.85850211745</v>
      </c>
      <c r="BP124" s="88" t="n">
        <f aca="false">AI124*(1+IF(K124=3,INDEX(in_sup_vat_rate,1,C124),0))+AO124*Y124/AB124+AV124*BA124+(BC124+BD124)*AV124/AY124+AZ124*AI124/AL124+BN124*AC124/AF124+BO124*Y124/AB124</f>
        <v>9953.77270689223</v>
      </c>
      <c r="BQ124" s="88" t="n">
        <f aca="false">AJ124*(1+IF(K124=3,INDEX(in_sup_vat_rate,1,C124),0))+AO124*Z124/AB124+AW124*BA124+(BC124+BD124)*AW124/AY124+AZ124*AJ124/AL124+BN124*AD124/AF124+BO124*Z124/AB124</f>
        <v>10516.2660061669</v>
      </c>
      <c r="BR124" s="88" t="n">
        <f aca="false">AK124*(1+IF(K124=3,INDEX(in_sup_vat_rate,1,C124),0))+AO124*AA124/AB124+AX124*BA124+(BC124+BD124)*AX124/AY124+AZ124*AK124/AL124+BN124*AE124/AF124+BO124*AA124/AB124</f>
        <v>8256.9244336504</v>
      </c>
      <c r="BS124" s="89" t="n">
        <f aca="false">BP124+BQ124+BR124-BM124</f>
        <v>0</v>
      </c>
      <c r="BT124" s="85" t="n">
        <f aca="false">Y124*(1-R124)</f>
        <v>20544</v>
      </c>
      <c r="BU124" s="85" t="n">
        <f aca="false">Z124*(1-R124)</f>
        <v>20544</v>
      </c>
      <c r="BV124" s="85" t="n">
        <f aca="false">AA124*(1-R124)</f>
        <v>20544</v>
      </c>
      <c r="BW124" s="85" t="n">
        <f aca="false">BT124+BU124+BV124</f>
        <v>61632</v>
      </c>
      <c r="BX124" s="90" t="n">
        <f aca="false">IF(BT124&gt;0,BP124/BT124,0)</f>
        <v>0.484509964315237</v>
      </c>
      <c r="BY124" s="90" t="n">
        <f aca="false">IF(BU124&gt;0,BQ124/BU124,0)</f>
        <v>0.511889895159993</v>
      </c>
      <c r="BZ124" s="90" t="n">
        <f aca="false">IF(BV124&gt;0,BR124/BV124,0)</f>
        <v>0.401914156622391</v>
      </c>
      <c r="CA124" s="90" t="n">
        <f aca="false">INDEX(in_mkt_listing_3464,1,C124)*(1-IF(sku_flute_3464="B",T124,0))*(1-S124)*N124</f>
        <v>0.1995</v>
      </c>
      <c r="CB124" s="90" t="n">
        <f aca="false">INDEX(in_mkt_listing_3463,1,C124)*(1-IF(sku_flute_3463="B",T124,0))*(1-S124)*N124</f>
        <v>0.23625</v>
      </c>
      <c r="CC124" s="90" t="n">
        <f aca="false">INDEX(in_mkt_listing_3460,1,C124)*(1-IF(sku_flute_3460="B",T124,0))*(1-S124)*N124</f>
        <v>0.21</v>
      </c>
      <c r="CD124" s="88" t="n">
        <f aca="false">BT124*CA124+BU124*CB124+BV124*CC124</f>
        <v>13266.288</v>
      </c>
      <c r="CE124" s="88" t="n">
        <f aca="false">CD124-BM124</f>
        <v>-15460.6751467095</v>
      </c>
      <c r="CF124" s="87" t="n">
        <f aca="false">IF(CD124&gt;0,CE124/CD124,0)</f>
        <v>-1.16541078760762</v>
      </c>
      <c r="CG124" s="87" t="n">
        <f aca="false">W124+INDEX(in_sel_processing,1,C124)+INDEX(in_sel_bad_debt,1,C124)</f>
        <v>0.095</v>
      </c>
      <c r="CH124" s="88" t="n">
        <f aca="false">CD124*CG124</f>
        <v>1260.29736</v>
      </c>
      <c r="CI124" s="88" t="n">
        <f aca="false">INDEX(in_sel_testing,1,C124)*X124+INDEX(in_sel_admin,1,C124)</f>
        <v>4750</v>
      </c>
      <c r="CJ124" s="79" t="n">
        <f aca="false">INDEX(in_sup_lead_days,1,C124)</f>
        <v>35</v>
      </c>
      <c r="CK124" s="79" t="n">
        <f aca="false">CJ124+INDEX(in_oce_transit,1,C124)+IF(F124=4,INDEX(in_oce_lcl_extra_days,1,C124),0)</f>
        <v>73</v>
      </c>
      <c r="CL124" s="79" t="n">
        <f aca="false">CK124+2+INDEX(in_cus_dem_days,1,C124)</f>
        <v>78</v>
      </c>
      <c r="CM124" s="79" t="n">
        <f aca="false">CL124+U124</f>
        <v>138</v>
      </c>
      <c r="CN124" s="79" t="n">
        <f aca="false">CJ124+INDEX(in_sup_vat_lag,1,C124)</f>
        <v>215</v>
      </c>
      <c r="CO124" s="91" t="n">
        <f aca="false">INDEX(in_sup_advance,1,C124)</f>
        <v>0.5</v>
      </c>
      <c r="CP124" s="88" t="n">
        <f aca="false">CO124*(AL124+AM124)+AO124+INDEX(in_sel_testing,1,C124)*X124</f>
        <v>10957.9060810111</v>
      </c>
      <c r="CQ124" s="88" t="n">
        <f aca="false">(1-CO124)*(AL124+AM124)+AR124+AU124+AZ124</f>
        <v>13835.2197658759</v>
      </c>
      <c r="CR124" s="88" t="n">
        <f aca="false">BB124+BC124+BD124+BF124+BJ124</f>
        <v>3818.83729982254</v>
      </c>
      <c r="CS124" s="88" t="n">
        <f aca="false">BK124+BL124</f>
        <v>4115</v>
      </c>
      <c r="CT124" s="88" t="n">
        <f aca="false">IF(K124=2,AM124,0)</f>
        <v>0</v>
      </c>
      <c r="CU124" s="85" t="n">
        <f aca="false">IF(K124=2,CO124*AM124*(CN124-0)+(1-CO124)*AM124*(CN124-CJ124),0)</f>
        <v>0</v>
      </c>
      <c r="CV124" s="85" t="n">
        <f aca="false">(CP124-CO124*CT124)*(CM124-0)+(CQ124-(1-CO124)*CT124)*(CM124-CJ124)+CR124*(CM124-CK124)+CS124*(CM124-CL124)</f>
        <v>3432343.09955321</v>
      </c>
      <c r="CW124" s="88" t="n">
        <f aca="false">INDEX(in_sel_fin_rate,1,C124)/365*(CU124+CV124)</f>
        <v>1316.51516147246</v>
      </c>
      <c r="CX124" s="85" t="n">
        <f aca="false">CP124-IF(CN124&lt;=0,CT124,0)</f>
        <v>10957.9060810111</v>
      </c>
      <c r="CY124" s="85" t="n">
        <f aca="false">CP124+CQ124-IF(CN124&lt;=CJ124,CT124,0)</f>
        <v>24793.125846887</v>
      </c>
      <c r="CZ124" s="85" t="n">
        <f aca="false">CP124+CQ124+CR124-IF(CN124&lt;=CK124,CT124,0)</f>
        <v>28611.9631467095</v>
      </c>
      <c r="DA124" s="85" t="n">
        <f aca="false">CP124+CQ124+CR124+CS124-IF(CN124&lt;=CL124,CT124,0)</f>
        <v>32726.9631467095</v>
      </c>
      <c r="DB124" s="88" t="n">
        <f aca="false">MAX(CX124,CY124,CZ124,DA124)</f>
        <v>32726.9631467095</v>
      </c>
      <c r="DC124" s="88" t="n">
        <f aca="false">CP124+CQ124+CR124+CS124</f>
        <v>32726.9631467095</v>
      </c>
      <c r="DD124" s="88" t="n">
        <f aca="false">CE124-CH124-CI124-CW124</f>
        <v>-22787.487668182</v>
      </c>
      <c r="DE124" s="87" t="n">
        <f aca="false">IF(CD124&gt;0,DD124/CD124,0)</f>
        <v>-1.71769885202115</v>
      </c>
      <c r="DF124" s="86" t="n">
        <f aca="false">IF(CD124&gt;0,(BM124+CI124+CW124)/(CD124*(1-CG124)),0)</f>
        <v>2.89800978123884</v>
      </c>
      <c r="DG124" s="90" t="n">
        <f aca="false">IF(BW124&gt;0,BM124/BW124,0)</f>
        <v>0.46610467203254</v>
      </c>
      <c r="DH124" s="90" t="n">
        <f aca="false">IF(BW124&gt;0,CD124/BW124,0)</f>
        <v>0.21525</v>
      </c>
      <c r="DI124" s="90" t="n">
        <f aca="false">IF(AI124&gt;0,(AI124*IF(K124=3,INDEX(in_sup_vat_rate,1,C124),0)+AV124*BA124+(BC124+BD124)*AV124/AY124+AZ124*AI124/AL124)/AI124,0)</f>
        <v>0.302214489809212</v>
      </c>
      <c r="DJ124" s="90" t="n">
        <f aca="false">IF(AJ124&gt;0,(AJ124*IF(K124=3,INDEX(in_sup_vat_rate,1,C124),0)+AW124*BA124+(BC124+BD124)*AW124/AY124+AZ124*AJ124/AL124)/AJ124,0)</f>
        <v>0.302537606255458</v>
      </c>
      <c r="DK124" s="90" t="n">
        <f aca="false">IF(AK124&gt;0,(AK124*IF(K124=3,INDEX(in_sup_vat_rate,1,C124),0)+AX124*BA124+(BC124+BD124)*AX124/AY124+AZ124*AK124/AL124)/AK124,0)</f>
        <v>0.303380015191983</v>
      </c>
      <c r="DL124" s="90" t="n">
        <f aca="false">IF(Y124&gt;0,(BP124-AI124*(1+DI124))/Y124,0)</f>
        <v>0.216868369679653</v>
      </c>
      <c r="DM124" s="90" t="n">
        <f aca="false">IF(Z124&gt;0,(BQ124-AJ124*(1+DJ124))/Z124,0)</f>
        <v>0.256895459648632</v>
      </c>
      <c r="DN124" s="90" t="n">
        <f aca="false">IF(AA124&gt;0,(BR124-AK124*(1+DK124))/AA124,0)</f>
        <v>0.180872205185898</v>
      </c>
      <c r="DO124" s="86" t="n">
        <f aca="false">IF(Y124&gt;0,(CA124*(1-thr_gm_go)*(1-R124)-DL124)/(1+DI124)*I124/((1+AH124)*J124),"")</f>
        <v>-2.4673824265912</v>
      </c>
      <c r="DP124" s="86" t="n">
        <f aca="false">IF(Z124&gt;0,(CB124*(1-thr_gm_go)*(1-R124)-DM124)/(1+DJ124)*I124/((1+AH124)*J124),"")</f>
        <v>-2.92379124886866</v>
      </c>
      <c r="DQ124" s="86" t="n">
        <f aca="false">IF(AA124&gt;0,(CC124*(1-thr_gm_go)*(1-R124)-DN124)/(1+DK124)*I124/((1+AH124)*J124),"")</f>
        <v>-0.998891669494772</v>
      </c>
      <c r="DR124" s="92" t="n">
        <f aca="false">IF(AND(AY124*INDEX(in_cus_mpf_rate,1,C124)&gt;INDEX(in_cus_mpf_min,1,C124),AY124*INDEX(in_cus_mpf_rate,1,C124)&lt;INDEX(in_cus_mpf_max,1,C124)),INDEX(in_cus_mpf_rate,1,C124),0)</f>
        <v>0.003464</v>
      </c>
      <c r="DS124" s="88" t="n">
        <f aca="false">IF(AZ124&gt;INDEX(in_oce_ins_min,1,C124),INDEX(in_oce_ins_rate,1,C124)*(1+INDEX(in_oce_ins_uplift,1,C124))*AL124,0)</f>
        <v>0</v>
      </c>
      <c r="DT124" s="88" t="n">
        <f aca="false">(AL124+AN124)*(1+BA124+INDEX(in_cus_hmf,1,C124)+DR124)+DS124</f>
        <v>14550.5635692787</v>
      </c>
      <c r="DU124" s="86" t="n">
        <f aca="false">IF(DT124&gt;0,(CD124*(1-thr_gm_go)-(BM124-DT124))/DT124,0)</f>
        <v>-0.290482465322156</v>
      </c>
      <c r="DV124" s="86" t="n">
        <f aca="false">IF(DT124&gt;0,(CD124-(BM124-DT124))/DT124,0)</f>
        <v>-0.0625482011811824</v>
      </c>
      <c r="DW124" s="87" t="n">
        <f aca="false">(1+AH124)*J124*DU124-1</f>
        <v>-1.31953071185437</v>
      </c>
      <c r="DX124" s="87" t="n">
        <f aca="false">(1+AH124)*J124*DV124-1</f>
        <v>-1.0688030212993</v>
      </c>
      <c r="DY124" s="85" t="n">
        <f aca="false">IF(G124&gt;0,(CD124*(1-thr_gm_go)-(BM124-AT124))/G124,"")</f>
        <v>-13577.2471467095</v>
      </c>
      <c r="DZ124" s="90" t="n">
        <f aca="false">IF(AB124&gt;0,(AL124+AN124+BB124+BC124+BD124)/AB124,0)</f>
        <v>0.227690841247757</v>
      </c>
      <c r="EA124" s="88" t="n">
        <f aca="false">BM124-DZ124*AB124</f>
        <v>14109.2111386035</v>
      </c>
      <c r="EB124" s="90" t="n">
        <f aca="false">IF(AB124&gt;0,CD124/AB124,0)</f>
        <v>0.20664</v>
      </c>
      <c r="EC124" s="85" t="str">
        <f aca="false">IF(EB124*(1-thr_gm_go)-DZ124&gt;0,EA124/(EB124*(1-thr_gm_go)-DZ124),"n/a")</f>
        <v>n/a</v>
      </c>
      <c r="ED124" s="85" t="str">
        <f aca="false">IF(EB124-DZ124&gt;0,EA124/(EB124-DZ124),"n/a")</f>
        <v>n/a</v>
      </c>
      <c r="EE124" s="93" t="b">
        <f aca="false">INDEX(cfg_fits,D124,C124)</f>
        <v>1</v>
      </c>
      <c r="EF124" s="87" t="n">
        <f aca="false">IF(F124=4,"",INDEX(cfg_lenutil,D124,C124))</f>
        <v>0.999580888516345</v>
      </c>
      <c r="EG124" s="31" t="str">
        <f aca="false">IF(O124&gt;1,"Check fit (units scaled up)","")</f>
        <v/>
      </c>
    </row>
    <row r="125" customFormat="false" ht="15" hidden="false" customHeight="false" outlineLevel="0" collapsed="false">
      <c r="A125" s="78" t="n">
        <v>3051</v>
      </c>
      <c r="B125" s="9" t="s">
        <v>3273</v>
      </c>
      <c r="C125" s="78" t="n">
        <v>3</v>
      </c>
      <c r="D125" s="78" t="n">
        <v>5</v>
      </c>
      <c r="E125" s="78" t="n">
        <v>1</v>
      </c>
      <c r="F125" s="79" t="n">
        <f aca="false">INDEX(cfg_ct,D125)</f>
        <v>3</v>
      </c>
      <c r="G125" s="79" t="n">
        <f aca="false">INDEX(cfg_n,D125)</f>
        <v>1</v>
      </c>
      <c r="H125" s="79" t="n">
        <f aca="false">INDEX(dest_port,E125)</f>
        <v>1</v>
      </c>
      <c r="I125" s="80" t="n">
        <f aca="false">INDEX(in_fx_cbe,1,C125)*(1-INDEX(in_fx_spread,1,C125))</f>
        <v>48.265</v>
      </c>
      <c r="J125" s="81" t="n">
        <f aca="false">1</f>
        <v>1</v>
      </c>
      <c r="K125" s="82" t="n">
        <f aca="false">INDEX(in_sup_vat_mode,1,C125)</f>
        <v>3</v>
      </c>
      <c r="L125" s="83" t="n">
        <f aca="false">INDEX(in_cus_s301,1,C125)</f>
        <v>0.125</v>
      </c>
      <c r="M125" s="84" t="n">
        <f aca="false">1</f>
        <v>1</v>
      </c>
      <c r="N125" s="81" t="n">
        <f aca="false">1</f>
        <v>1</v>
      </c>
      <c r="O125" s="81" t="n">
        <f aca="false">1</f>
        <v>1</v>
      </c>
      <c r="P125" s="81" t="n">
        <f aca="false">1</f>
        <v>1</v>
      </c>
      <c r="Q125" s="81" t="n">
        <f aca="false">1</f>
        <v>1</v>
      </c>
      <c r="R125" s="83" t="n">
        <f aca="false">INDEX(in_sel_damage,1,C125)</f>
        <v>0.04</v>
      </c>
      <c r="S125" s="83" t="n">
        <f aca="false">INDEX(in_mkt_dist_margin,1,C125)</f>
        <v>0.3</v>
      </c>
      <c r="T125" s="83" t="n">
        <f aca="false">INDEX(in_mkt_eflute_disc,1,C125)</f>
        <v>0.25</v>
      </c>
      <c r="U125" s="82" t="n">
        <f aca="false">INDEX(in_sel_credit_days,1,C125)</f>
        <v>60</v>
      </c>
      <c r="V125" s="81" t="n">
        <f aca="false">1</f>
        <v>1</v>
      </c>
      <c r="W125" s="83" t="n">
        <f aca="false">INDEX(in_sel_commission,1,C125)</f>
        <v>0.07</v>
      </c>
      <c r="X125" s="82" t="n">
        <f aca="false">1</f>
        <v>1</v>
      </c>
      <c r="Y125" s="85" t="n">
        <f aca="false">INDEX(cfg_u_3464,D125,C125)*O125</f>
        <v>63000</v>
      </c>
      <c r="Z125" s="85" t="n">
        <f aca="false">INDEX(cfg_u_3463,D125,C125)*O125</f>
        <v>0</v>
      </c>
      <c r="AA125" s="85" t="n">
        <f aca="false">INDEX(cfg_u_3460,D125,C125)*O125</f>
        <v>0</v>
      </c>
      <c r="AB125" s="85" t="n">
        <f aca="false">Y125+Z125+AA125</f>
        <v>63000</v>
      </c>
      <c r="AC125" s="86" t="n">
        <f aca="false">Y125*INDEX(lg_vpu_3464,C125)</f>
        <v>50.419908</v>
      </c>
      <c r="AD125" s="86" t="n">
        <f aca="false">Z125*INDEX(lg_vpu_3463,C125)</f>
        <v>0</v>
      </c>
      <c r="AE125" s="86" t="n">
        <f aca="false">AA125*INDEX(lg_vpu_3460,C125)</f>
        <v>0</v>
      </c>
      <c r="AF125" s="86" t="n">
        <f aca="false">AC125+AD125+AE125</f>
        <v>50.419908</v>
      </c>
      <c r="AG125" s="85" t="n">
        <f aca="false">Y125*INDEX(lg_kpu_3464,C125)+Z125*INDEX(lg_kpu_3463,C125)+AA125*INDEX(lg_kpu_3460,C125)</f>
        <v>12299.825664</v>
      </c>
      <c r="AH125" s="87" t="n">
        <f aca="false">INDEX(in_sup_requote,1,C125)</f>
        <v>0.1</v>
      </c>
      <c r="AI125" s="88" t="n">
        <f aca="false">Y125*q_price_3464*(1+AH125)*J125/I125</f>
        <v>12010.6598984772</v>
      </c>
      <c r="AJ125" s="88" t="n">
        <f aca="false">Z125*q_price_3463*(1+AH125)*J125/I125</f>
        <v>0</v>
      </c>
      <c r="AK125" s="88" t="n">
        <f aca="false">AA125*q_price_3460*(1+AH125)*J125/I125</f>
        <v>0</v>
      </c>
      <c r="AL125" s="88" t="n">
        <f aca="false">AI125+AJ125+AK125</f>
        <v>12010.6598984772</v>
      </c>
      <c r="AM125" s="88" t="n">
        <f aca="false">IF(OR(K125=2,K125=3),AL125*INDEX(in_sup_vat_rate,1,C125),0)</f>
        <v>1681.4923857868</v>
      </c>
      <c r="AN125" s="88" t="n">
        <f aca="false">IF(K125=3,AM125,0)</f>
        <v>1681.4923857868</v>
      </c>
      <c r="AO125" s="88" t="n">
        <f aca="false">INDEX(in_sup_tooling_egp,1,C125)/I125</f>
        <v>517.973686936704</v>
      </c>
      <c r="AP125" s="88" t="n">
        <f aca="false">IF(F125=4,INDEX(in_ori_lcl_truck,1,C125)*V125/I125+INDEX(in_ori_lcl_cfs_o,1,C125),G125*(IF(F125=1,INDEX(in_ori_truck_20,1,C125),INDEX(in_ori_truck_40,1,C125))*V125/I125+INDEX(in_ori_terminal,1,C125)+IF(F125=1,INDEX(in_ori_othc_20,1,C125),INDEX(in_ori_othc_40,1,C125))*(1-INDEX(in_ori_othc_in_freight,1,C125))+INDEX(in_ori_seal,1,C125)+INDEX(in_ori_inspection,1,C125)+INDEX(in_ori_dd_days,1,C125)*IF(F125=1,INDEX(in_ori_dd_20,1,C125),INDEX(in_ori_dd_40,1,C125))+INDEX(in_ori_loading_egp,1,C125)/I125))</f>
        <v>882.378949549363</v>
      </c>
      <c r="AQ125" s="88" t="n">
        <f aca="false">(INDEX(in_ori_clearance,1,C125)+INDEX(in_ori_coo,1,C125))/I125+INDEX(in_ori_bl_fee,1,C125)+INDEX(in_ori_fwd_fee,1,C125)+INDEX(in_ori_qc,1,C125)+INDEX(in_ori_wires,1,C125)*INDEX(in_ori_wire_fee,1,C125)</f>
        <v>1167.90842225215</v>
      </c>
      <c r="AR125" s="88" t="n">
        <f aca="false">AP125+AQ125</f>
        <v>2050.28737180151</v>
      </c>
      <c r="AS125" s="85" t="n">
        <f aca="false">INDEX(tbl_port_diff,H125,C125)</f>
        <v>0</v>
      </c>
      <c r="AT125" s="88" t="n">
        <f aca="false">IF(F125=4,MAX(AF125*INDEX(in_oce_lcl_factor,1,C125),AG125/1000,1)*INDEX(in_oce_lcl_rate,1,C125)*M125,G125*(INDEX(tbl_ocean_rate,MIN(F125,3),C125)+AS125)*M125)</f>
        <v>5000</v>
      </c>
      <c r="AU125" s="88" t="n">
        <f aca="false">AT125+INDEX(in_oce_ams,1,C125)</f>
        <v>5045</v>
      </c>
      <c r="AV125" s="88" t="n">
        <f aca="false">AI125*(1+IF(K125=3,INDEX(in_sup_vat_rate,1,C125),0))+AO125*Y125/AB125</f>
        <v>14210.1259712007</v>
      </c>
      <c r="AW125" s="88" t="n">
        <f aca="false">AJ125*(1+IF(K125=3,INDEX(in_sup_vat_rate,1,C125),0))+AO125*Z125/AB125</f>
        <v>0</v>
      </c>
      <c r="AX125" s="88" t="n">
        <f aca="false">AK125*(1+IF(K125=3,INDEX(in_sup_vat_rate,1,C125),0))+AO125*AA125/AB125</f>
        <v>0</v>
      </c>
      <c r="AY125" s="88" t="n">
        <f aca="false">AV125+AW125+AX125</f>
        <v>14210.1259712007</v>
      </c>
      <c r="AZ125" s="88" t="n">
        <f aca="false">MAX(INDEX(in_oce_ins_min,1,C125),INDEX(in_oce_ins_rate,1,C125)*(1+INDEX(in_oce_ins_uplift,1,C125))*(AL125+AO125+AR125+AU125))*(1-INDEX(in_oce_ins_in_other,1,C125))</f>
        <v>100</v>
      </c>
      <c r="BA125" s="87" t="n">
        <f aca="false">INDEX(in_cus_mfn,1,C125)+L125</f>
        <v>0.125</v>
      </c>
      <c r="BB125" s="88" t="n">
        <f aca="false">AY125*BA125</f>
        <v>1776.26574640008</v>
      </c>
      <c r="BC125" s="88" t="n">
        <f aca="false">MIN(MAX(AY125*INDEX(in_cus_mpf_rate,1,C125),INDEX(in_cus_mpf_min,1,C125)),INDEX(in_cus_mpf_max,1,C125))</f>
        <v>49.2238763642391</v>
      </c>
      <c r="BD125" s="88" t="n">
        <f aca="false">AY125*INDEX(in_cus_hmf,1,C125)</f>
        <v>17.7626574640008</v>
      </c>
      <c r="BE125" s="88" t="n">
        <f aca="false">MAX(INDEX(in_cus_stb_min,1,C125),INDEX(in_cus_stb_rate,1,C125)/1000*(AY125+BB125+BC125+BD125))</f>
        <v>112.373647760003</v>
      </c>
      <c r="BF125" s="88" t="n">
        <f aca="false">INDEX(in_cus_broker,1,C125)+INDEX(in_cus_isf,1,C125)+INDEX(in_cus_do_fee,1,C125)+BE125+INDEX(in_cus_isf_bond,1,C125)</f>
        <v>737.373647760003</v>
      </c>
      <c r="BG125" s="88" t="n">
        <f aca="false">IF(H125=1,INDEX(in_cus_cfc,1,C125)*INDEX(ct_teu,F125)*G125*(1-INDEX(in_cus_cfc_in_freight,1,C125)),0)</f>
        <v>29.6</v>
      </c>
      <c r="BH125" s="88" t="n">
        <f aca="false">IF(F125=4,1,G125)*(INDEX(in_cus_exam,1,C125)+INDEX(in_cus_exam_dray,1,C125))</f>
        <v>600</v>
      </c>
      <c r="BI125" s="88" t="n">
        <f aca="false">IF(F125=4,1,G125)*INDEX(in_cus_dem_days,1,C125)*INDEX(in_cus_dem_rate,1,C125)</f>
        <v>750</v>
      </c>
      <c r="BJ125" s="88" t="n">
        <f aca="false">BG125+BH125+BI125</f>
        <v>1379.6</v>
      </c>
      <c r="BK125" s="88" t="n">
        <f aca="false">IF(F125=4,(INDEX(in_dra_lcl_cfs_d,1,C125)+INDEX(in_dra_lcl_deliv,1,C125))*P125,G125*(INDEX(tbl_dest_line,E125,C125)*P125*(1+INDEX(in_dra_fsc,1,C125))+INDEX(tbl_dest_tolls,E125,C125)+INDEX(in_dra_chassis_days,1,C125)*INDEX(tbl_dest_chassis,E125,C125)*(1-INDEX(in_dra_chassis_in_dray,1,C125))+INDEX(in_dra_wait_hours,1,C125)*INDEX(in_dra_wait_rate,1,C125)+INDEX(in_dra_split,1,C125)+INDEX(in_dra_prepull,1,C125)+INDEX(in_dra_dryrun,1,C125)))</f>
        <v>2280</v>
      </c>
      <c r="BL125" s="88" t="n">
        <f aca="false">IF(F125=4,0,G125*IF(F125=1,INDEX(in_dra_unload_20,1,C125),INDEX(in_dra_unload_40,1,C125))*Q125*(1-INDEX(in_dra_unload_in_dray,1,C125)))</f>
        <v>650</v>
      </c>
      <c r="BM125" s="88" t="n">
        <f aca="false">AL125+AN125+AO125+AR125+AU125+AZ125+BB125+BC125+BD125+BF125+BJ125+BK125+BL125</f>
        <v>28295.6392709905</v>
      </c>
      <c r="BN125" s="88" t="n">
        <f aca="false">AP125+AU125+BJ125+BK125+BL125</f>
        <v>10236.9789495494</v>
      </c>
      <c r="BO125" s="88" t="n">
        <f aca="false">AQ125+BF125</f>
        <v>1905.28207001215</v>
      </c>
      <c r="BP125" s="88" t="n">
        <f aca="false">AI125*(1+IF(K125=3,INDEX(in_sup_vat_rate,1,C125),0))+AO125*Y125/AB125+AV125*BA125+(BC125+BD125)*AV125/AY125+AZ125*AI125/AL125+BN125*AC125/AF125+BO125*Y125/AB125</f>
        <v>28295.6392709905</v>
      </c>
      <c r="BQ125" s="88" t="n">
        <f aca="false">AJ125*(1+IF(K125=3,INDEX(in_sup_vat_rate,1,C125),0))+AO125*Z125/AB125+AW125*BA125+(BC125+BD125)*AW125/AY125+AZ125*AJ125/AL125+BN125*AD125/AF125+BO125*Z125/AB125</f>
        <v>0</v>
      </c>
      <c r="BR125" s="88" t="n">
        <f aca="false">AK125*(1+IF(K125=3,INDEX(in_sup_vat_rate,1,C125),0))+AO125*AA125/AB125+AX125*BA125+(BC125+BD125)*AX125/AY125+AZ125*AK125/AL125+BN125*AE125/AF125+BO125*AA125/AB125</f>
        <v>0</v>
      </c>
      <c r="BS125" s="89" t="n">
        <f aca="false">BP125+BQ125+BR125-BM125</f>
        <v>0</v>
      </c>
      <c r="BT125" s="85" t="n">
        <f aca="false">Y125*(1-R125)</f>
        <v>60480</v>
      </c>
      <c r="BU125" s="85" t="n">
        <f aca="false">Z125*(1-R125)</f>
        <v>0</v>
      </c>
      <c r="BV125" s="85" t="n">
        <f aca="false">AA125*(1-R125)</f>
        <v>0</v>
      </c>
      <c r="BW125" s="85" t="n">
        <f aca="false">BT125+BU125+BV125</f>
        <v>60480</v>
      </c>
      <c r="BX125" s="90" t="n">
        <f aca="false">IF(BT125&gt;0,BP125/BT125,0)</f>
        <v>0.467851178422462</v>
      </c>
      <c r="BY125" s="90" t="n">
        <f aca="false">IF(BU125&gt;0,BQ125/BU125,0)</f>
        <v>0</v>
      </c>
      <c r="BZ125" s="90" t="n">
        <f aca="false">IF(BV125&gt;0,BR125/BV125,0)</f>
        <v>0</v>
      </c>
      <c r="CA125" s="90" t="n">
        <f aca="false">INDEX(in_mkt_listing_3464,1,C125)*(1-IF(sku_flute_3464="B",T125,0))*(1-S125)*N125</f>
        <v>0.1995</v>
      </c>
      <c r="CB125" s="90" t="n">
        <f aca="false">INDEX(in_mkt_listing_3463,1,C125)*(1-IF(sku_flute_3463="B",T125,0))*(1-S125)*N125</f>
        <v>0.23625</v>
      </c>
      <c r="CC125" s="90" t="n">
        <f aca="false">INDEX(in_mkt_listing_3460,1,C125)*(1-IF(sku_flute_3460="B",T125,0))*(1-S125)*N125</f>
        <v>0.21</v>
      </c>
      <c r="CD125" s="88" t="n">
        <f aca="false">BT125*CA125+BU125*CB125+BV125*CC125</f>
        <v>12065.76</v>
      </c>
      <c r="CE125" s="88" t="n">
        <f aca="false">CD125-BM125</f>
        <v>-16229.8792709905</v>
      </c>
      <c r="CF125" s="87" t="n">
        <f aca="false">IF(CD125&gt;0,CE125/CD125,0)</f>
        <v>-1.3451186888344</v>
      </c>
      <c r="CG125" s="87" t="n">
        <f aca="false">W125+INDEX(in_sel_processing,1,C125)+INDEX(in_sel_bad_debt,1,C125)</f>
        <v>0.095</v>
      </c>
      <c r="CH125" s="88" t="n">
        <f aca="false">CD125*CG125</f>
        <v>1146.2472</v>
      </c>
      <c r="CI125" s="88" t="n">
        <f aca="false">INDEX(in_sel_testing,1,C125)*X125+INDEX(in_sel_admin,1,C125)</f>
        <v>4750</v>
      </c>
      <c r="CJ125" s="79" t="n">
        <f aca="false">INDEX(in_sup_lead_days,1,C125)</f>
        <v>35</v>
      </c>
      <c r="CK125" s="79" t="n">
        <f aca="false">CJ125+INDEX(in_oce_transit,1,C125)+IF(F125=4,INDEX(in_oce_lcl_extra_days,1,C125),0)</f>
        <v>73</v>
      </c>
      <c r="CL125" s="79" t="n">
        <f aca="false">CK125+2+INDEX(in_cus_dem_days,1,C125)</f>
        <v>78</v>
      </c>
      <c r="CM125" s="79" t="n">
        <f aca="false">CL125+U125</f>
        <v>138</v>
      </c>
      <c r="CN125" s="79" t="n">
        <f aca="false">CJ125+INDEX(in_sup_vat_lag,1,C125)</f>
        <v>215</v>
      </c>
      <c r="CO125" s="91" t="n">
        <f aca="false">INDEX(in_sup_advance,1,C125)</f>
        <v>0.5</v>
      </c>
      <c r="CP125" s="88" t="n">
        <f aca="false">CO125*(AL125+AM125)+AO125+INDEX(in_sel_testing,1,C125)*X125</f>
        <v>11364.0498290687</v>
      </c>
      <c r="CQ125" s="88" t="n">
        <f aca="false">(1-CO125)*(AL125+AM125)+AR125+AU125+AZ125</f>
        <v>14041.3635139335</v>
      </c>
      <c r="CR125" s="88" t="n">
        <f aca="false">BB125+BC125+BD125+BF125+BJ125</f>
        <v>3960.22592798833</v>
      </c>
      <c r="CS125" s="88" t="n">
        <f aca="false">BK125+BL125</f>
        <v>2930</v>
      </c>
      <c r="CT125" s="88" t="n">
        <f aca="false">IF(K125=2,AM125,0)</f>
        <v>0</v>
      </c>
      <c r="CU125" s="85" t="n">
        <f aca="false">IF(K125=2,CO125*AM125*(CN125-0)+(1-CO125)*AM125*(CN125-CJ125),0)</f>
        <v>0</v>
      </c>
      <c r="CV125" s="85" t="n">
        <f aca="false">(CP125-CO125*CT125)*(CM125-0)+(CQ125-(1-CO125)*CT125)*(CM125-CJ125)+CR125*(CM125-CK125)+CS125*(CM125-CL125)</f>
        <v>3447714.00366587</v>
      </c>
      <c r="CW125" s="88" t="n">
        <f aca="false">INDEX(in_sel_fin_rate,1,C125)/365*(CU125+CV125)</f>
        <v>1322.41085072116</v>
      </c>
      <c r="CX125" s="85" t="n">
        <f aca="false">CP125-IF(CN125&lt;=0,CT125,0)</f>
        <v>11364.0498290687</v>
      </c>
      <c r="CY125" s="85" t="n">
        <f aca="false">CP125+CQ125-IF(CN125&lt;=CJ125,CT125,0)</f>
        <v>25405.4133430022</v>
      </c>
      <c r="CZ125" s="85" t="n">
        <f aca="false">CP125+CQ125+CR125-IF(CN125&lt;=CK125,CT125,0)</f>
        <v>29365.6392709905</v>
      </c>
      <c r="DA125" s="85" t="n">
        <f aca="false">CP125+CQ125+CR125+CS125-IF(CN125&lt;=CL125,CT125,0)</f>
        <v>32295.6392709905</v>
      </c>
      <c r="DB125" s="88" t="n">
        <f aca="false">MAX(CX125,CY125,CZ125,DA125)</f>
        <v>32295.6392709905</v>
      </c>
      <c r="DC125" s="88" t="n">
        <f aca="false">CP125+CQ125+CR125+CS125</f>
        <v>32295.6392709905</v>
      </c>
      <c r="DD125" s="88" t="n">
        <f aca="false">CE125-CH125-CI125-CW125</f>
        <v>-23448.5373217117</v>
      </c>
      <c r="DE125" s="87" t="n">
        <f aca="false">IF(CD125&gt;0,DD125/CD125,0)</f>
        <v>-1.94339497236077</v>
      </c>
      <c r="DF125" s="86" t="n">
        <f aca="false">IF(CD125&gt;0,(BM125+CI125+CW125)/(CD125*(1-CG125)),0)</f>
        <v>3.14739775951466</v>
      </c>
      <c r="DG125" s="90" t="n">
        <f aca="false">IF(BW125&gt;0,BM125/BW125,0)</f>
        <v>0.467851178422462</v>
      </c>
      <c r="DH125" s="90" t="n">
        <f aca="false">IF(BW125&gt;0,CD125/BW125,0)</f>
        <v>0.1995</v>
      </c>
      <c r="DI125" s="90" t="n">
        <f aca="false">IF(AI125&gt;0,(AI125*IF(K125=3,INDEX(in_sup_vat_rate,1,C125),0)+AV125*BA125+(BC125+BD125)*AV125/AY125+AZ125*AI125/AL125)/AI125,0)</f>
        <v>0.301793964416119</v>
      </c>
      <c r="DJ125" s="90" t="n">
        <f aca="false">IF(AJ125&gt;0,(AJ125*IF(K125=3,INDEX(in_sup_vat_rate,1,C125),0)+AW125*BA125+(BC125+BD125)*AW125/AY125+AZ125*AJ125/AL125)/AJ125,0)</f>
        <v>0</v>
      </c>
      <c r="DK125" s="90" t="n">
        <f aca="false">IF(AK125&gt;0,(AK125*IF(K125=3,INDEX(in_sup_vat_rate,1,C125),0)+AX125*BA125+(BC125+BD125)*AX125/AY125+AZ125*AK125/AL125)/AK125,0)</f>
        <v>0</v>
      </c>
      <c r="DL125" s="90" t="n">
        <f aca="false">IF(Y125&gt;0,(BP125-AI125*(1+DI125))/Y125,0)</f>
        <v>0.200956106452353</v>
      </c>
      <c r="DM125" s="90" t="n">
        <f aca="false">IF(Z125&gt;0,(BQ125-AJ125*(1+DJ125))/Z125,0)</f>
        <v>0</v>
      </c>
      <c r="DN125" s="90" t="n">
        <f aca="false">IF(AA125&gt;0,(BR125-AK125*(1+DK125))/AA125,0)</f>
        <v>0</v>
      </c>
      <c r="DO125" s="86" t="n">
        <f aca="false">IF(Y125&gt;0,(CA125*(1-thr_gm_go)*(1-R125)-DL125)/(1+DI125)*I125/((1+AH125)*J125),"")</f>
        <v>-1.93185289163885</v>
      </c>
      <c r="DP125" s="86" t="str">
        <f aca="false">IF(Z125&gt;0,(CB125*(1-thr_gm_go)*(1-R125)-DM125)/(1+DJ125)*I125/((1+AH125)*J125),"")</f>
        <v/>
      </c>
      <c r="DQ125" s="86" t="str">
        <f aca="false">IF(AA125&gt;0,(CC125*(1-thr_gm_go)*(1-R125)-DN125)/(1+DK125)*I125/((1+AH125)*J125),"")</f>
        <v/>
      </c>
      <c r="DR125" s="92" t="n">
        <f aca="false">IF(AND(AY125*INDEX(in_cus_mpf_rate,1,C125)&gt;INDEX(in_cus_mpf_min,1,C125),AY125*INDEX(in_cus_mpf_rate,1,C125)&lt;INDEX(in_cus_mpf_max,1,C125)),INDEX(in_cus_mpf_rate,1,C125),0)</f>
        <v>0.003464</v>
      </c>
      <c r="DS125" s="88" t="n">
        <f aca="false">IF(AZ125&gt;INDEX(in_oce_ins_min,1,C125),INDEX(in_oce_ins_rate,1,C125)*(1+INDEX(in_oce_ins_uplift,1,C125))*AL125,0)</f>
        <v>0</v>
      </c>
      <c r="DT125" s="88" t="n">
        <f aca="false">(AL125+AN125)*(1+BA125+INDEX(in_cus_hmf,1,C125)+DR125)+DS125</f>
        <v>15468.216125665</v>
      </c>
      <c r="DU125" s="86" t="n">
        <f aca="false">IF(DT125&gt;0,(CD125*(1-thr_gm_go)-(BM125-DT125))/DT125,0)</f>
        <v>-0.244249441217522</v>
      </c>
      <c r="DV125" s="86" t="n">
        <f aca="false">IF(DT125&gt;0,(CD125-(BM125-DT125))/DT125,0)</f>
        <v>-0.0492405290395298</v>
      </c>
      <c r="DW125" s="87" t="n">
        <f aca="false">(1+AH125)*J125*DU125-1</f>
        <v>-1.26867438533927</v>
      </c>
      <c r="DX125" s="87" t="n">
        <f aca="false">(1+AH125)*J125*DV125-1</f>
        <v>-1.05416458194348</v>
      </c>
      <c r="DY125" s="85" t="n">
        <f aca="false">IF(G125&gt;0,(CD125*(1-thr_gm_go)-(BM125-AT125))/G125,"")</f>
        <v>-14246.3192709905</v>
      </c>
      <c r="DZ125" s="90" t="n">
        <f aca="false">IF(AB125&gt;0,(AL125+AN125+BB125+BC125+BD125)/AB125,0)</f>
        <v>0.246593723245909</v>
      </c>
      <c r="EA125" s="88" t="n">
        <f aca="false">BM125-DZ125*AB125</f>
        <v>12760.2347064982</v>
      </c>
      <c r="EB125" s="90" t="n">
        <f aca="false">IF(AB125&gt;0,CD125/AB125,0)</f>
        <v>0.19152</v>
      </c>
      <c r="EC125" s="85" t="str">
        <f aca="false">IF(EB125*(1-thr_gm_go)-DZ125&gt;0,EA125/(EB125*(1-thr_gm_go)-DZ125),"n/a")</f>
        <v>n/a</v>
      </c>
      <c r="ED125" s="85" t="str">
        <f aca="false">IF(EB125-DZ125&gt;0,EA125/(EB125-DZ125),"n/a")</f>
        <v>n/a</v>
      </c>
      <c r="EE125" s="93" t="b">
        <f aca="false">INDEX(cfg_fits,D125,C125)</f>
        <v>1</v>
      </c>
      <c r="EF125" s="87" t="n">
        <f aca="false">IF(F125=4,"",INDEX(cfg_lenutil,D125,C125))</f>
        <v>0.991198658843252</v>
      </c>
      <c r="EG125" s="31" t="str">
        <f aca="false">IF(O125&gt;1,"Check fit (units scaled up)","")</f>
        <v/>
      </c>
    </row>
    <row r="126" customFormat="false" ht="15" hidden="false" customHeight="false" outlineLevel="0" collapsed="false">
      <c r="A126" s="78" t="n">
        <v>3052</v>
      </c>
      <c r="B126" s="9" t="s">
        <v>3274</v>
      </c>
      <c r="C126" s="78" t="n">
        <v>3</v>
      </c>
      <c r="D126" s="78" t="n">
        <v>5</v>
      </c>
      <c r="E126" s="78" t="n">
        <v>2</v>
      </c>
      <c r="F126" s="79" t="n">
        <f aca="false">INDEX(cfg_ct,D126)</f>
        <v>3</v>
      </c>
      <c r="G126" s="79" t="n">
        <f aca="false">INDEX(cfg_n,D126)</f>
        <v>1</v>
      </c>
      <c r="H126" s="79" t="n">
        <f aca="false">INDEX(dest_port,E126)</f>
        <v>1</v>
      </c>
      <c r="I126" s="80" t="n">
        <f aca="false">INDEX(in_fx_cbe,1,C126)*(1-INDEX(in_fx_spread,1,C126))</f>
        <v>48.265</v>
      </c>
      <c r="J126" s="81" t="n">
        <f aca="false">1</f>
        <v>1</v>
      </c>
      <c r="K126" s="82" t="n">
        <f aca="false">INDEX(in_sup_vat_mode,1,C126)</f>
        <v>3</v>
      </c>
      <c r="L126" s="83" t="n">
        <f aca="false">INDEX(in_cus_s301,1,C126)</f>
        <v>0.125</v>
      </c>
      <c r="M126" s="84" t="n">
        <f aca="false">1</f>
        <v>1</v>
      </c>
      <c r="N126" s="81" t="n">
        <f aca="false">1</f>
        <v>1</v>
      </c>
      <c r="O126" s="81" t="n">
        <f aca="false">1</f>
        <v>1</v>
      </c>
      <c r="P126" s="81" t="n">
        <f aca="false">1</f>
        <v>1</v>
      </c>
      <c r="Q126" s="81" t="n">
        <f aca="false">1</f>
        <v>1</v>
      </c>
      <c r="R126" s="83" t="n">
        <f aca="false">INDEX(in_sel_damage,1,C126)</f>
        <v>0.04</v>
      </c>
      <c r="S126" s="83" t="n">
        <f aca="false">INDEX(in_mkt_dist_margin,1,C126)</f>
        <v>0.3</v>
      </c>
      <c r="T126" s="83" t="n">
        <f aca="false">INDEX(in_mkt_eflute_disc,1,C126)</f>
        <v>0.25</v>
      </c>
      <c r="U126" s="82" t="n">
        <f aca="false">INDEX(in_sel_credit_days,1,C126)</f>
        <v>60</v>
      </c>
      <c r="V126" s="81" t="n">
        <f aca="false">1</f>
        <v>1</v>
      </c>
      <c r="W126" s="83" t="n">
        <f aca="false">INDEX(in_sel_commission,1,C126)</f>
        <v>0.07</v>
      </c>
      <c r="X126" s="82" t="n">
        <f aca="false">1</f>
        <v>1</v>
      </c>
      <c r="Y126" s="85" t="n">
        <f aca="false">INDEX(cfg_u_3464,D126,C126)*O126</f>
        <v>63000</v>
      </c>
      <c r="Z126" s="85" t="n">
        <f aca="false">INDEX(cfg_u_3463,D126,C126)*O126</f>
        <v>0</v>
      </c>
      <c r="AA126" s="85" t="n">
        <f aca="false">INDEX(cfg_u_3460,D126,C126)*O126</f>
        <v>0</v>
      </c>
      <c r="AB126" s="85" t="n">
        <f aca="false">Y126+Z126+AA126</f>
        <v>63000</v>
      </c>
      <c r="AC126" s="86" t="n">
        <f aca="false">Y126*INDEX(lg_vpu_3464,C126)</f>
        <v>50.419908</v>
      </c>
      <c r="AD126" s="86" t="n">
        <f aca="false">Z126*INDEX(lg_vpu_3463,C126)</f>
        <v>0</v>
      </c>
      <c r="AE126" s="86" t="n">
        <f aca="false">AA126*INDEX(lg_vpu_3460,C126)</f>
        <v>0</v>
      </c>
      <c r="AF126" s="86" t="n">
        <f aca="false">AC126+AD126+AE126</f>
        <v>50.419908</v>
      </c>
      <c r="AG126" s="85" t="n">
        <f aca="false">Y126*INDEX(lg_kpu_3464,C126)+Z126*INDEX(lg_kpu_3463,C126)+AA126*INDEX(lg_kpu_3460,C126)</f>
        <v>12299.825664</v>
      </c>
      <c r="AH126" s="87" t="n">
        <f aca="false">INDEX(in_sup_requote,1,C126)</f>
        <v>0.1</v>
      </c>
      <c r="AI126" s="88" t="n">
        <f aca="false">Y126*q_price_3464*(1+AH126)*J126/I126</f>
        <v>12010.6598984772</v>
      </c>
      <c r="AJ126" s="88" t="n">
        <f aca="false">Z126*q_price_3463*(1+AH126)*J126/I126</f>
        <v>0</v>
      </c>
      <c r="AK126" s="88" t="n">
        <f aca="false">AA126*q_price_3460*(1+AH126)*J126/I126</f>
        <v>0</v>
      </c>
      <c r="AL126" s="88" t="n">
        <f aca="false">AI126+AJ126+AK126</f>
        <v>12010.6598984772</v>
      </c>
      <c r="AM126" s="88" t="n">
        <f aca="false">IF(OR(K126=2,K126=3),AL126*INDEX(in_sup_vat_rate,1,C126),0)</f>
        <v>1681.4923857868</v>
      </c>
      <c r="AN126" s="88" t="n">
        <f aca="false">IF(K126=3,AM126,0)</f>
        <v>1681.4923857868</v>
      </c>
      <c r="AO126" s="88" t="n">
        <f aca="false">INDEX(in_sup_tooling_egp,1,C126)/I126</f>
        <v>517.973686936704</v>
      </c>
      <c r="AP126" s="88" t="n">
        <f aca="false">IF(F126=4,INDEX(in_ori_lcl_truck,1,C126)*V126/I126+INDEX(in_ori_lcl_cfs_o,1,C126),G126*(IF(F126=1,INDEX(in_ori_truck_20,1,C126),INDEX(in_ori_truck_40,1,C126))*V126/I126+INDEX(in_ori_terminal,1,C126)+IF(F126=1,INDEX(in_ori_othc_20,1,C126),INDEX(in_ori_othc_40,1,C126))*(1-INDEX(in_ori_othc_in_freight,1,C126))+INDEX(in_ori_seal,1,C126)+INDEX(in_ori_inspection,1,C126)+INDEX(in_ori_dd_days,1,C126)*IF(F126=1,INDEX(in_ori_dd_20,1,C126),INDEX(in_ori_dd_40,1,C126))+INDEX(in_ori_loading_egp,1,C126)/I126))</f>
        <v>882.378949549363</v>
      </c>
      <c r="AQ126" s="88" t="n">
        <f aca="false">(INDEX(in_ori_clearance,1,C126)+INDEX(in_ori_coo,1,C126))/I126+INDEX(in_ori_bl_fee,1,C126)+INDEX(in_ori_fwd_fee,1,C126)+INDEX(in_ori_qc,1,C126)+INDEX(in_ori_wires,1,C126)*INDEX(in_ori_wire_fee,1,C126)</f>
        <v>1167.90842225215</v>
      </c>
      <c r="AR126" s="88" t="n">
        <f aca="false">AP126+AQ126</f>
        <v>2050.28737180151</v>
      </c>
      <c r="AS126" s="85" t="n">
        <f aca="false">INDEX(tbl_port_diff,H126,C126)</f>
        <v>0</v>
      </c>
      <c r="AT126" s="88" t="n">
        <f aca="false">IF(F126=4,MAX(AF126*INDEX(in_oce_lcl_factor,1,C126),AG126/1000,1)*INDEX(in_oce_lcl_rate,1,C126)*M126,G126*(INDEX(tbl_ocean_rate,MIN(F126,3),C126)+AS126)*M126)</f>
        <v>5000</v>
      </c>
      <c r="AU126" s="88" t="n">
        <f aca="false">AT126+INDEX(in_oce_ams,1,C126)</f>
        <v>5045</v>
      </c>
      <c r="AV126" s="88" t="n">
        <f aca="false">AI126*(1+IF(K126=3,INDEX(in_sup_vat_rate,1,C126),0))+AO126*Y126/AB126</f>
        <v>14210.1259712007</v>
      </c>
      <c r="AW126" s="88" t="n">
        <f aca="false">AJ126*(1+IF(K126=3,INDEX(in_sup_vat_rate,1,C126),0))+AO126*Z126/AB126</f>
        <v>0</v>
      </c>
      <c r="AX126" s="88" t="n">
        <f aca="false">AK126*(1+IF(K126=3,INDEX(in_sup_vat_rate,1,C126),0))+AO126*AA126/AB126</f>
        <v>0</v>
      </c>
      <c r="AY126" s="88" t="n">
        <f aca="false">AV126+AW126+AX126</f>
        <v>14210.1259712007</v>
      </c>
      <c r="AZ126" s="88" t="n">
        <f aca="false">MAX(INDEX(in_oce_ins_min,1,C126),INDEX(in_oce_ins_rate,1,C126)*(1+INDEX(in_oce_ins_uplift,1,C126))*(AL126+AO126+AR126+AU126))*(1-INDEX(in_oce_ins_in_other,1,C126))</f>
        <v>100</v>
      </c>
      <c r="BA126" s="87" t="n">
        <f aca="false">INDEX(in_cus_mfn,1,C126)+L126</f>
        <v>0.125</v>
      </c>
      <c r="BB126" s="88" t="n">
        <f aca="false">AY126*BA126</f>
        <v>1776.26574640008</v>
      </c>
      <c r="BC126" s="88" t="n">
        <f aca="false">MIN(MAX(AY126*INDEX(in_cus_mpf_rate,1,C126),INDEX(in_cus_mpf_min,1,C126)),INDEX(in_cus_mpf_max,1,C126))</f>
        <v>49.2238763642391</v>
      </c>
      <c r="BD126" s="88" t="n">
        <f aca="false">AY126*INDEX(in_cus_hmf,1,C126)</f>
        <v>17.7626574640008</v>
      </c>
      <c r="BE126" s="88" t="n">
        <f aca="false">MAX(INDEX(in_cus_stb_min,1,C126),INDEX(in_cus_stb_rate,1,C126)/1000*(AY126+BB126+BC126+BD126))</f>
        <v>112.373647760003</v>
      </c>
      <c r="BF126" s="88" t="n">
        <f aca="false">INDEX(in_cus_broker,1,C126)+INDEX(in_cus_isf,1,C126)+INDEX(in_cus_do_fee,1,C126)+BE126+INDEX(in_cus_isf_bond,1,C126)</f>
        <v>737.373647760003</v>
      </c>
      <c r="BG126" s="88" t="n">
        <f aca="false">IF(H126=1,INDEX(in_cus_cfc,1,C126)*INDEX(ct_teu,F126)*G126*(1-INDEX(in_cus_cfc_in_freight,1,C126)),0)</f>
        <v>29.6</v>
      </c>
      <c r="BH126" s="88" t="n">
        <f aca="false">IF(F126=4,1,G126)*(INDEX(in_cus_exam,1,C126)+INDEX(in_cus_exam_dray,1,C126))</f>
        <v>600</v>
      </c>
      <c r="BI126" s="88" t="n">
        <f aca="false">IF(F126=4,1,G126)*INDEX(in_cus_dem_days,1,C126)*INDEX(in_cus_dem_rate,1,C126)</f>
        <v>750</v>
      </c>
      <c r="BJ126" s="88" t="n">
        <f aca="false">BG126+BH126+BI126</f>
        <v>1379.6</v>
      </c>
      <c r="BK126" s="88" t="n">
        <f aca="false">IF(F126=4,(INDEX(in_dra_lcl_cfs_d,1,C126)+INDEX(in_dra_lcl_deliv,1,C126))*P126,G126*(INDEX(tbl_dest_line,E126,C126)*P126*(1+INDEX(in_dra_fsc,1,C126))+INDEX(tbl_dest_tolls,E126,C126)+INDEX(in_dra_chassis_days,1,C126)*INDEX(tbl_dest_chassis,E126,C126)*(1-INDEX(in_dra_chassis_in_dray,1,C126))+INDEX(in_dra_wait_hours,1,C126)*INDEX(in_dra_wait_rate,1,C126)+INDEX(in_dra_split,1,C126)+INDEX(in_dra_prepull,1,C126)+INDEX(in_dra_dryrun,1,C126)))</f>
        <v>2660</v>
      </c>
      <c r="BL126" s="88" t="n">
        <f aca="false">IF(F126=4,0,G126*IF(F126=1,INDEX(in_dra_unload_20,1,C126),INDEX(in_dra_unload_40,1,C126))*Q126*(1-INDEX(in_dra_unload_in_dray,1,C126)))</f>
        <v>650</v>
      </c>
      <c r="BM126" s="88" t="n">
        <f aca="false">AL126+AN126+AO126+AR126+AU126+AZ126+BB126+BC126+BD126+BF126+BJ126+BK126+BL126</f>
        <v>28675.6392709905</v>
      </c>
      <c r="BN126" s="88" t="n">
        <f aca="false">AP126+AU126+BJ126+BK126+BL126</f>
        <v>10616.9789495494</v>
      </c>
      <c r="BO126" s="88" t="n">
        <f aca="false">AQ126+BF126</f>
        <v>1905.28207001215</v>
      </c>
      <c r="BP126" s="88" t="n">
        <f aca="false">AI126*(1+IF(K126=3,INDEX(in_sup_vat_rate,1,C126),0))+AO126*Y126/AB126+AV126*BA126+(BC126+BD126)*AV126/AY126+AZ126*AI126/AL126+BN126*AC126/AF126+BO126*Y126/AB126</f>
        <v>28675.6392709905</v>
      </c>
      <c r="BQ126" s="88" t="n">
        <f aca="false">AJ126*(1+IF(K126=3,INDEX(in_sup_vat_rate,1,C126),0))+AO126*Z126/AB126+AW126*BA126+(BC126+BD126)*AW126/AY126+AZ126*AJ126/AL126+BN126*AD126/AF126+BO126*Z126/AB126</f>
        <v>0</v>
      </c>
      <c r="BR126" s="88" t="n">
        <f aca="false">AK126*(1+IF(K126=3,INDEX(in_sup_vat_rate,1,C126),0))+AO126*AA126/AB126+AX126*BA126+(BC126+BD126)*AX126/AY126+AZ126*AK126/AL126+BN126*AE126/AF126+BO126*AA126/AB126</f>
        <v>0</v>
      </c>
      <c r="BS126" s="89" t="n">
        <f aca="false">BP126+BQ126+BR126-BM126</f>
        <v>0</v>
      </c>
      <c r="BT126" s="85" t="n">
        <f aca="false">Y126*(1-R126)</f>
        <v>60480</v>
      </c>
      <c r="BU126" s="85" t="n">
        <f aca="false">Z126*(1-R126)</f>
        <v>0</v>
      </c>
      <c r="BV126" s="85" t="n">
        <f aca="false">AA126*(1-R126)</f>
        <v>0</v>
      </c>
      <c r="BW126" s="85" t="n">
        <f aca="false">BT126+BU126+BV126</f>
        <v>60480</v>
      </c>
      <c r="BX126" s="90" t="n">
        <f aca="false">IF(BT126&gt;0,BP126/BT126,0)</f>
        <v>0.474134247205531</v>
      </c>
      <c r="BY126" s="90" t="n">
        <f aca="false">IF(BU126&gt;0,BQ126/BU126,0)</f>
        <v>0</v>
      </c>
      <c r="BZ126" s="90" t="n">
        <f aca="false">IF(BV126&gt;0,BR126/BV126,0)</f>
        <v>0</v>
      </c>
      <c r="CA126" s="90" t="n">
        <f aca="false">INDEX(in_mkt_listing_3464,1,C126)*(1-IF(sku_flute_3464="B",T126,0))*(1-S126)*N126</f>
        <v>0.1995</v>
      </c>
      <c r="CB126" s="90" t="n">
        <f aca="false">INDEX(in_mkt_listing_3463,1,C126)*(1-IF(sku_flute_3463="B",T126,0))*(1-S126)*N126</f>
        <v>0.23625</v>
      </c>
      <c r="CC126" s="90" t="n">
        <f aca="false">INDEX(in_mkt_listing_3460,1,C126)*(1-IF(sku_flute_3460="B",T126,0))*(1-S126)*N126</f>
        <v>0.21</v>
      </c>
      <c r="CD126" s="88" t="n">
        <f aca="false">BT126*CA126+BU126*CB126+BV126*CC126</f>
        <v>12065.76</v>
      </c>
      <c r="CE126" s="88" t="n">
        <f aca="false">CD126-BM126</f>
        <v>-16609.8792709905</v>
      </c>
      <c r="CF126" s="87" t="n">
        <f aca="false">IF(CD126&gt;0,CE126/CD126,0)</f>
        <v>-1.37661276794752</v>
      </c>
      <c r="CG126" s="87" t="n">
        <f aca="false">W126+INDEX(in_sel_processing,1,C126)+INDEX(in_sel_bad_debt,1,C126)</f>
        <v>0.095</v>
      </c>
      <c r="CH126" s="88" t="n">
        <f aca="false">CD126*CG126</f>
        <v>1146.2472</v>
      </c>
      <c r="CI126" s="88" t="n">
        <f aca="false">INDEX(in_sel_testing,1,C126)*X126+INDEX(in_sel_admin,1,C126)</f>
        <v>4750</v>
      </c>
      <c r="CJ126" s="79" t="n">
        <f aca="false">INDEX(in_sup_lead_days,1,C126)</f>
        <v>35</v>
      </c>
      <c r="CK126" s="79" t="n">
        <f aca="false">CJ126+INDEX(in_oce_transit,1,C126)+IF(F126=4,INDEX(in_oce_lcl_extra_days,1,C126),0)</f>
        <v>73</v>
      </c>
      <c r="CL126" s="79" t="n">
        <f aca="false">CK126+2+INDEX(in_cus_dem_days,1,C126)</f>
        <v>78</v>
      </c>
      <c r="CM126" s="79" t="n">
        <f aca="false">CL126+U126</f>
        <v>138</v>
      </c>
      <c r="CN126" s="79" t="n">
        <f aca="false">CJ126+INDEX(in_sup_vat_lag,1,C126)</f>
        <v>215</v>
      </c>
      <c r="CO126" s="91" t="n">
        <f aca="false">INDEX(in_sup_advance,1,C126)</f>
        <v>0.5</v>
      </c>
      <c r="CP126" s="88" t="n">
        <f aca="false">CO126*(AL126+AM126)+AO126+INDEX(in_sel_testing,1,C126)*X126</f>
        <v>11364.0498290687</v>
      </c>
      <c r="CQ126" s="88" t="n">
        <f aca="false">(1-CO126)*(AL126+AM126)+AR126+AU126+AZ126</f>
        <v>14041.3635139335</v>
      </c>
      <c r="CR126" s="88" t="n">
        <f aca="false">BB126+BC126+BD126+BF126+BJ126</f>
        <v>3960.22592798833</v>
      </c>
      <c r="CS126" s="88" t="n">
        <f aca="false">BK126+BL126</f>
        <v>3310</v>
      </c>
      <c r="CT126" s="88" t="n">
        <f aca="false">IF(K126=2,AM126,0)</f>
        <v>0</v>
      </c>
      <c r="CU126" s="85" t="n">
        <f aca="false">IF(K126=2,CO126*AM126*(CN126-0)+(1-CO126)*AM126*(CN126-CJ126),0)</f>
        <v>0</v>
      </c>
      <c r="CV126" s="85" t="n">
        <f aca="false">(CP126-CO126*CT126)*(CM126-0)+(CQ126-(1-CO126)*CT126)*(CM126-CJ126)+CR126*(CM126-CK126)+CS126*(CM126-CL126)</f>
        <v>3470514.00366587</v>
      </c>
      <c r="CW126" s="88" t="n">
        <f aca="false">INDEX(in_sel_fin_rate,1,C126)/365*(CU126+CV126)</f>
        <v>1331.15605620061</v>
      </c>
      <c r="CX126" s="85" t="n">
        <f aca="false">CP126-IF(CN126&lt;=0,CT126,0)</f>
        <v>11364.0498290687</v>
      </c>
      <c r="CY126" s="85" t="n">
        <f aca="false">CP126+CQ126-IF(CN126&lt;=CJ126,CT126,0)</f>
        <v>25405.4133430022</v>
      </c>
      <c r="CZ126" s="85" t="n">
        <f aca="false">CP126+CQ126+CR126-IF(CN126&lt;=CK126,CT126,0)</f>
        <v>29365.6392709905</v>
      </c>
      <c r="DA126" s="85" t="n">
        <f aca="false">CP126+CQ126+CR126+CS126-IF(CN126&lt;=CL126,CT126,0)</f>
        <v>32675.6392709905</v>
      </c>
      <c r="DB126" s="88" t="n">
        <f aca="false">MAX(CX126,CY126,CZ126,DA126)</f>
        <v>32675.6392709905</v>
      </c>
      <c r="DC126" s="88" t="n">
        <f aca="false">CP126+CQ126+CR126+CS126</f>
        <v>32675.6392709905</v>
      </c>
      <c r="DD126" s="88" t="n">
        <f aca="false">CE126-CH126-CI126-CW126</f>
        <v>-23837.2825271911</v>
      </c>
      <c r="DE126" s="87" t="n">
        <f aca="false">IF(CD126&gt;0,DD126/CD126,0)</f>
        <v>-1.97561384671924</v>
      </c>
      <c r="DF126" s="86" t="n">
        <f aca="false">IF(CD126&gt;0,(BM126+CI126+CW126)/(CD126*(1-CG126)),0)</f>
        <v>3.18299872565662</v>
      </c>
      <c r="DG126" s="90" t="n">
        <f aca="false">IF(BW126&gt;0,BM126/BW126,0)</f>
        <v>0.474134247205531</v>
      </c>
      <c r="DH126" s="90" t="n">
        <f aca="false">IF(BW126&gt;0,CD126/BW126,0)</f>
        <v>0.1995</v>
      </c>
      <c r="DI126" s="90" t="n">
        <f aca="false">IF(AI126&gt;0,(AI126*IF(K126=3,INDEX(in_sup_vat_rate,1,C126),0)+AV126*BA126+(BC126+BD126)*AV126/AY126+AZ126*AI126/AL126)/AI126,0)</f>
        <v>0.301793964416119</v>
      </c>
      <c r="DJ126" s="90" t="n">
        <f aca="false">IF(AJ126&gt;0,(AJ126*IF(K126=3,INDEX(in_sup_vat_rate,1,C126),0)+AW126*BA126+(BC126+BD126)*AW126/AY126+AZ126*AJ126/AL126)/AJ126,0)</f>
        <v>0</v>
      </c>
      <c r="DK126" s="90" t="n">
        <f aca="false">IF(AK126&gt;0,(AK126*IF(K126=3,INDEX(in_sup_vat_rate,1,C126),0)+AX126*BA126+(BC126+BD126)*AX126/AY126+AZ126*AK126/AL126)/AK126,0)</f>
        <v>0</v>
      </c>
      <c r="DL126" s="90" t="n">
        <f aca="false">IF(Y126&gt;0,(BP126-AI126*(1+DI126))/Y126,0)</f>
        <v>0.206987852484099</v>
      </c>
      <c r="DM126" s="90" t="n">
        <f aca="false">IF(Z126&gt;0,(BQ126-AJ126*(1+DJ126))/Z126,0)</f>
        <v>0</v>
      </c>
      <c r="DN126" s="90" t="n">
        <f aca="false">IF(AA126&gt;0,(BR126-AK126*(1+DK126))/AA126,0)</f>
        <v>0</v>
      </c>
      <c r="DO126" s="86" t="n">
        <f aca="false">IF(Y126&gt;0,(CA126*(1-thr_gm_go)*(1-R126)-DL126)/(1+DI126)*I126/((1+AH126)*J126),"")</f>
        <v>-2.13515431482164</v>
      </c>
      <c r="DP126" s="86" t="str">
        <f aca="false">IF(Z126&gt;0,(CB126*(1-thr_gm_go)*(1-R126)-DM126)/(1+DJ126)*I126/((1+AH126)*J126),"")</f>
        <v/>
      </c>
      <c r="DQ126" s="86" t="str">
        <f aca="false">IF(AA126&gt;0,(CC126*(1-thr_gm_go)*(1-R126)-DN126)/(1+DK126)*I126/((1+AH126)*J126),"")</f>
        <v/>
      </c>
      <c r="DR126" s="92" t="n">
        <f aca="false">IF(AND(AY126*INDEX(in_cus_mpf_rate,1,C126)&gt;INDEX(in_cus_mpf_min,1,C126),AY126*INDEX(in_cus_mpf_rate,1,C126)&lt;INDEX(in_cus_mpf_max,1,C126)),INDEX(in_cus_mpf_rate,1,C126),0)</f>
        <v>0.003464</v>
      </c>
      <c r="DS126" s="88" t="n">
        <f aca="false">IF(AZ126&gt;INDEX(in_oce_ins_min,1,C126),INDEX(in_oce_ins_rate,1,C126)*(1+INDEX(in_oce_ins_uplift,1,C126))*AL126,0)</f>
        <v>0</v>
      </c>
      <c r="DT126" s="88" t="n">
        <f aca="false">(AL126+AN126)*(1+BA126+INDEX(in_cus_hmf,1,C126)+DR126)+DS126</f>
        <v>15468.216125665</v>
      </c>
      <c r="DU126" s="86" t="n">
        <f aca="false">IF(DT126&gt;0,(CD126*(1-thr_gm_go)-(BM126-DT126))/DT126,0)</f>
        <v>-0.268815945649116</v>
      </c>
      <c r="DV126" s="86" t="n">
        <f aca="false">IF(DT126&gt;0,(CD126-(BM126-DT126))/DT126,0)</f>
        <v>-0.0738070334711236</v>
      </c>
      <c r="DW126" s="87" t="n">
        <f aca="false">(1+AH126)*J126*DU126-1</f>
        <v>-1.29569754021403</v>
      </c>
      <c r="DX126" s="87" t="n">
        <f aca="false">(1+AH126)*J126*DV126-1</f>
        <v>-1.08118773681824</v>
      </c>
      <c r="DY126" s="85" t="n">
        <f aca="false">IF(G126&gt;0,(CD126*(1-thr_gm_go)-(BM126-AT126))/G126,"")</f>
        <v>-14626.3192709905</v>
      </c>
      <c r="DZ126" s="90" t="n">
        <f aca="false">IF(AB126&gt;0,(AL126+AN126+BB126+BC126+BD126)/AB126,0)</f>
        <v>0.246593723245909</v>
      </c>
      <c r="EA126" s="88" t="n">
        <f aca="false">BM126-DZ126*AB126</f>
        <v>13140.2347064982</v>
      </c>
      <c r="EB126" s="90" t="n">
        <f aca="false">IF(AB126&gt;0,CD126/AB126,0)</f>
        <v>0.19152</v>
      </c>
      <c r="EC126" s="85" t="str">
        <f aca="false">IF(EB126*(1-thr_gm_go)-DZ126&gt;0,EA126/(EB126*(1-thr_gm_go)-DZ126),"n/a")</f>
        <v>n/a</v>
      </c>
      <c r="ED126" s="85" t="str">
        <f aca="false">IF(EB126-DZ126&gt;0,EA126/(EB126-DZ126),"n/a")</f>
        <v>n/a</v>
      </c>
      <c r="EE126" s="93" t="b">
        <f aca="false">INDEX(cfg_fits,D126,C126)</f>
        <v>1</v>
      </c>
      <c r="EF126" s="87" t="n">
        <f aca="false">IF(F126=4,"",INDEX(cfg_lenutil,D126,C126))</f>
        <v>0.991198658843252</v>
      </c>
      <c r="EG126" s="31" t="str">
        <f aca="false">IF(O126&gt;1,"Check fit (units scaled up)","")</f>
        <v/>
      </c>
    </row>
    <row r="127" customFormat="false" ht="15" hidden="false" customHeight="false" outlineLevel="0" collapsed="false">
      <c r="A127" s="78" t="n">
        <v>3053</v>
      </c>
      <c r="B127" s="9" t="s">
        <v>3275</v>
      </c>
      <c r="C127" s="78" t="n">
        <v>3</v>
      </c>
      <c r="D127" s="78" t="n">
        <v>5</v>
      </c>
      <c r="E127" s="78" t="n">
        <v>3</v>
      </c>
      <c r="F127" s="79" t="n">
        <f aca="false">INDEX(cfg_ct,D127)</f>
        <v>3</v>
      </c>
      <c r="G127" s="79" t="n">
        <f aca="false">INDEX(cfg_n,D127)</f>
        <v>1</v>
      </c>
      <c r="H127" s="79" t="n">
        <f aca="false">INDEX(dest_port,E127)</f>
        <v>2</v>
      </c>
      <c r="I127" s="80" t="n">
        <f aca="false">INDEX(in_fx_cbe,1,C127)*(1-INDEX(in_fx_spread,1,C127))</f>
        <v>48.265</v>
      </c>
      <c r="J127" s="81" t="n">
        <f aca="false">1</f>
        <v>1</v>
      </c>
      <c r="K127" s="82" t="n">
        <f aca="false">INDEX(in_sup_vat_mode,1,C127)</f>
        <v>3</v>
      </c>
      <c r="L127" s="83" t="n">
        <f aca="false">INDEX(in_cus_s301,1,C127)</f>
        <v>0.125</v>
      </c>
      <c r="M127" s="84" t="n">
        <f aca="false">1</f>
        <v>1</v>
      </c>
      <c r="N127" s="81" t="n">
        <f aca="false">1</f>
        <v>1</v>
      </c>
      <c r="O127" s="81" t="n">
        <f aca="false">1</f>
        <v>1</v>
      </c>
      <c r="P127" s="81" t="n">
        <f aca="false">1</f>
        <v>1</v>
      </c>
      <c r="Q127" s="81" t="n">
        <f aca="false">1</f>
        <v>1</v>
      </c>
      <c r="R127" s="83" t="n">
        <f aca="false">INDEX(in_sel_damage,1,C127)</f>
        <v>0.04</v>
      </c>
      <c r="S127" s="83" t="n">
        <f aca="false">INDEX(in_mkt_dist_margin,1,C127)</f>
        <v>0.3</v>
      </c>
      <c r="T127" s="83" t="n">
        <f aca="false">INDEX(in_mkt_eflute_disc,1,C127)</f>
        <v>0.25</v>
      </c>
      <c r="U127" s="82" t="n">
        <f aca="false">INDEX(in_sel_credit_days,1,C127)</f>
        <v>60</v>
      </c>
      <c r="V127" s="81" t="n">
        <f aca="false">1</f>
        <v>1</v>
      </c>
      <c r="W127" s="83" t="n">
        <f aca="false">INDEX(in_sel_commission,1,C127)</f>
        <v>0.07</v>
      </c>
      <c r="X127" s="82" t="n">
        <f aca="false">1</f>
        <v>1</v>
      </c>
      <c r="Y127" s="85" t="n">
        <f aca="false">INDEX(cfg_u_3464,D127,C127)*O127</f>
        <v>63000</v>
      </c>
      <c r="Z127" s="85" t="n">
        <f aca="false">INDEX(cfg_u_3463,D127,C127)*O127</f>
        <v>0</v>
      </c>
      <c r="AA127" s="85" t="n">
        <f aca="false">INDEX(cfg_u_3460,D127,C127)*O127</f>
        <v>0</v>
      </c>
      <c r="AB127" s="85" t="n">
        <f aca="false">Y127+Z127+AA127</f>
        <v>63000</v>
      </c>
      <c r="AC127" s="86" t="n">
        <f aca="false">Y127*INDEX(lg_vpu_3464,C127)</f>
        <v>50.419908</v>
      </c>
      <c r="AD127" s="86" t="n">
        <f aca="false">Z127*INDEX(lg_vpu_3463,C127)</f>
        <v>0</v>
      </c>
      <c r="AE127" s="86" t="n">
        <f aca="false">AA127*INDEX(lg_vpu_3460,C127)</f>
        <v>0</v>
      </c>
      <c r="AF127" s="86" t="n">
        <f aca="false">AC127+AD127+AE127</f>
        <v>50.419908</v>
      </c>
      <c r="AG127" s="85" t="n">
        <f aca="false">Y127*INDEX(lg_kpu_3464,C127)+Z127*INDEX(lg_kpu_3463,C127)+AA127*INDEX(lg_kpu_3460,C127)</f>
        <v>12299.825664</v>
      </c>
      <c r="AH127" s="87" t="n">
        <f aca="false">INDEX(in_sup_requote,1,C127)</f>
        <v>0.1</v>
      </c>
      <c r="AI127" s="88" t="n">
        <f aca="false">Y127*q_price_3464*(1+AH127)*J127/I127</f>
        <v>12010.6598984772</v>
      </c>
      <c r="AJ127" s="88" t="n">
        <f aca="false">Z127*q_price_3463*(1+AH127)*J127/I127</f>
        <v>0</v>
      </c>
      <c r="AK127" s="88" t="n">
        <f aca="false">AA127*q_price_3460*(1+AH127)*J127/I127</f>
        <v>0</v>
      </c>
      <c r="AL127" s="88" t="n">
        <f aca="false">AI127+AJ127+AK127</f>
        <v>12010.6598984772</v>
      </c>
      <c r="AM127" s="88" t="n">
        <f aca="false">IF(OR(K127=2,K127=3),AL127*INDEX(in_sup_vat_rate,1,C127),0)</f>
        <v>1681.4923857868</v>
      </c>
      <c r="AN127" s="88" t="n">
        <f aca="false">IF(K127=3,AM127,0)</f>
        <v>1681.4923857868</v>
      </c>
      <c r="AO127" s="88" t="n">
        <f aca="false">INDEX(in_sup_tooling_egp,1,C127)/I127</f>
        <v>517.973686936704</v>
      </c>
      <c r="AP127" s="88" t="n">
        <f aca="false">IF(F127=4,INDEX(in_ori_lcl_truck,1,C127)*V127/I127+INDEX(in_ori_lcl_cfs_o,1,C127),G127*(IF(F127=1,INDEX(in_ori_truck_20,1,C127),INDEX(in_ori_truck_40,1,C127))*V127/I127+INDEX(in_ori_terminal,1,C127)+IF(F127=1,INDEX(in_ori_othc_20,1,C127),INDEX(in_ori_othc_40,1,C127))*(1-INDEX(in_ori_othc_in_freight,1,C127))+INDEX(in_ori_seal,1,C127)+INDEX(in_ori_inspection,1,C127)+INDEX(in_ori_dd_days,1,C127)*IF(F127=1,INDEX(in_ori_dd_20,1,C127),INDEX(in_ori_dd_40,1,C127))+INDEX(in_ori_loading_egp,1,C127)/I127))</f>
        <v>882.378949549363</v>
      </c>
      <c r="AQ127" s="88" t="n">
        <f aca="false">(INDEX(in_ori_clearance,1,C127)+INDEX(in_ori_coo,1,C127))/I127+INDEX(in_ori_bl_fee,1,C127)+INDEX(in_ori_fwd_fee,1,C127)+INDEX(in_ori_qc,1,C127)+INDEX(in_ori_wires,1,C127)*INDEX(in_ori_wire_fee,1,C127)</f>
        <v>1167.90842225215</v>
      </c>
      <c r="AR127" s="88" t="n">
        <f aca="false">AP127+AQ127</f>
        <v>2050.28737180151</v>
      </c>
      <c r="AS127" s="85" t="n">
        <f aca="false">INDEX(tbl_port_diff,H127,C127)</f>
        <v>300</v>
      </c>
      <c r="AT127" s="88" t="n">
        <f aca="false">IF(F127=4,MAX(AF127*INDEX(in_oce_lcl_factor,1,C127),AG127/1000,1)*INDEX(in_oce_lcl_rate,1,C127)*M127,G127*(INDEX(tbl_ocean_rate,MIN(F127,3),C127)+AS127)*M127)</f>
        <v>5300</v>
      </c>
      <c r="AU127" s="88" t="n">
        <f aca="false">AT127+INDEX(in_oce_ams,1,C127)</f>
        <v>5345</v>
      </c>
      <c r="AV127" s="88" t="n">
        <f aca="false">AI127*(1+IF(K127=3,INDEX(in_sup_vat_rate,1,C127),0))+AO127*Y127/AB127</f>
        <v>14210.1259712007</v>
      </c>
      <c r="AW127" s="88" t="n">
        <f aca="false">AJ127*(1+IF(K127=3,INDEX(in_sup_vat_rate,1,C127),0))+AO127*Z127/AB127</f>
        <v>0</v>
      </c>
      <c r="AX127" s="88" t="n">
        <f aca="false">AK127*(1+IF(K127=3,INDEX(in_sup_vat_rate,1,C127),0))+AO127*AA127/AB127</f>
        <v>0</v>
      </c>
      <c r="AY127" s="88" t="n">
        <f aca="false">AV127+AW127+AX127</f>
        <v>14210.1259712007</v>
      </c>
      <c r="AZ127" s="88" t="n">
        <f aca="false">MAX(INDEX(in_oce_ins_min,1,C127),INDEX(in_oce_ins_rate,1,C127)*(1+INDEX(in_oce_ins_uplift,1,C127))*(AL127+AO127+AR127+AU127))*(1-INDEX(in_oce_ins_in_other,1,C127))</f>
        <v>100</v>
      </c>
      <c r="BA127" s="87" t="n">
        <f aca="false">INDEX(in_cus_mfn,1,C127)+L127</f>
        <v>0.125</v>
      </c>
      <c r="BB127" s="88" t="n">
        <f aca="false">AY127*BA127</f>
        <v>1776.26574640008</v>
      </c>
      <c r="BC127" s="88" t="n">
        <f aca="false">MIN(MAX(AY127*INDEX(in_cus_mpf_rate,1,C127),INDEX(in_cus_mpf_min,1,C127)),INDEX(in_cus_mpf_max,1,C127))</f>
        <v>49.2238763642391</v>
      </c>
      <c r="BD127" s="88" t="n">
        <f aca="false">AY127*INDEX(in_cus_hmf,1,C127)</f>
        <v>17.7626574640008</v>
      </c>
      <c r="BE127" s="88" t="n">
        <f aca="false">MAX(INDEX(in_cus_stb_min,1,C127),INDEX(in_cus_stb_rate,1,C127)/1000*(AY127+BB127+BC127+BD127))</f>
        <v>112.373647760003</v>
      </c>
      <c r="BF127" s="88" t="n">
        <f aca="false">INDEX(in_cus_broker,1,C127)+INDEX(in_cus_isf,1,C127)+INDEX(in_cus_do_fee,1,C127)+BE127+INDEX(in_cus_isf_bond,1,C127)</f>
        <v>737.373647760003</v>
      </c>
      <c r="BG127" s="88" t="n">
        <f aca="false">IF(H127=1,INDEX(in_cus_cfc,1,C127)*INDEX(ct_teu,F127)*G127*(1-INDEX(in_cus_cfc_in_freight,1,C127)),0)</f>
        <v>0</v>
      </c>
      <c r="BH127" s="88" t="n">
        <f aca="false">IF(F127=4,1,G127)*(INDEX(in_cus_exam,1,C127)+INDEX(in_cus_exam_dray,1,C127))</f>
        <v>600</v>
      </c>
      <c r="BI127" s="88" t="n">
        <f aca="false">IF(F127=4,1,G127)*INDEX(in_cus_dem_days,1,C127)*INDEX(in_cus_dem_rate,1,C127)</f>
        <v>750</v>
      </c>
      <c r="BJ127" s="88" t="n">
        <f aca="false">BG127+BH127+BI127</f>
        <v>1350</v>
      </c>
      <c r="BK127" s="88" t="n">
        <f aca="false">IF(F127=4,(INDEX(in_dra_lcl_cfs_d,1,C127)+INDEX(in_dra_lcl_deliv,1,C127))*P127,G127*(INDEX(tbl_dest_line,E127,C127)*P127*(1+INDEX(in_dra_fsc,1,C127))+INDEX(tbl_dest_tolls,E127,C127)+INDEX(in_dra_chassis_days,1,C127)*INDEX(tbl_dest_chassis,E127,C127)*(1-INDEX(in_dra_chassis_in_dray,1,C127))+INDEX(in_dra_wait_hours,1,C127)*INDEX(in_dra_wait_rate,1,C127)+INDEX(in_dra_split,1,C127)+INDEX(in_dra_prepull,1,C127)+INDEX(in_dra_dryrun,1,C127)))</f>
        <v>2100</v>
      </c>
      <c r="BL127" s="88" t="n">
        <f aca="false">IF(F127=4,0,G127*IF(F127=1,INDEX(in_dra_unload_20,1,C127),INDEX(in_dra_unload_40,1,C127))*Q127*(1-INDEX(in_dra_unload_in_dray,1,C127)))</f>
        <v>650</v>
      </c>
      <c r="BM127" s="88" t="n">
        <f aca="false">AL127+AN127+AO127+AR127+AU127+AZ127+BB127+BC127+BD127+BF127+BJ127+BK127+BL127</f>
        <v>28386.0392709905</v>
      </c>
      <c r="BN127" s="88" t="n">
        <f aca="false">AP127+AU127+BJ127+BK127+BL127</f>
        <v>10327.3789495494</v>
      </c>
      <c r="BO127" s="88" t="n">
        <f aca="false">AQ127+BF127</f>
        <v>1905.28207001215</v>
      </c>
      <c r="BP127" s="88" t="n">
        <f aca="false">AI127*(1+IF(K127=3,INDEX(in_sup_vat_rate,1,C127),0))+AO127*Y127/AB127+AV127*BA127+(BC127+BD127)*AV127/AY127+AZ127*AI127/AL127+BN127*AC127/AF127+BO127*Y127/AB127</f>
        <v>28386.0392709905</v>
      </c>
      <c r="BQ127" s="88" t="n">
        <f aca="false">AJ127*(1+IF(K127=3,INDEX(in_sup_vat_rate,1,C127),0))+AO127*Z127/AB127+AW127*BA127+(BC127+BD127)*AW127/AY127+AZ127*AJ127/AL127+BN127*AD127/AF127+BO127*Z127/AB127</f>
        <v>0</v>
      </c>
      <c r="BR127" s="88" t="n">
        <f aca="false">AK127*(1+IF(K127=3,INDEX(in_sup_vat_rate,1,C127),0))+AO127*AA127/AB127+AX127*BA127+(BC127+BD127)*AX127/AY127+AZ127*AK127/AL127+BN127*AE127/AF127+BO127*AA127/AB127</f>
        <v>0</v>
      </c>
      <c r="BS127" s="89" t="n">
        <f aca="false">BP127+BQ127+BR127-BM127</f>
        <v>0</v>
      </c>
      <c r="BT127" s="85" t="n">
        <f aca="false">Y127*(1-R127)</f>
        <v>60480</v>
      </c>
      <c r="BU127" s="85" t="n">
        <f aca="false">Z127*(1-R127)</f>
        <v>0</v>
      </c>
      <c r="BV127" s="85" t="n">
        <f aca="false">AA127*(1-R127)</f>
        <v>0</v>
      </c>
      <c r="BW127" s="85" t="n">
        <f aca="false">BT127+BU127+BV127</f>
        <v>60480</v>
      </c>
      <c r="BX127" s="90" t="n">
        <f aca="false">IF(BT127&gt;0,BP127/BT127,0)</f>
        <v>0.469345887417171</v>
      </c>
      <c r="BY127" s="90" t="n">
        <f aca="false">IF(BU127&gt;0,BQ127/BU127,0)</f>
        <v>0</v>
      </c>
      <c r="BZ127" s="90" t="n">
        <f aca="false">IF(BV127&gt;0,BR127/BV127,0)</f>
        <v>0</v>
      </c>
      <c r="CA127" s="90" t="n">
        <f aca="false">INDEX(in_mkt_listing_3464,1,C127)*(1-IF(sku_flute_3464="B",T127,0))*(1-S127)*N127</f>
        <v>0.1995</v>
      </c>
      <c r="CB127" s="90" t="n">
        <f aca="false">INDEX(in_mkt_listing_3463,1,C127)*(1-IF(sku_flute_3463="B",T127,0))*(1-S127)*N127</f>
        <v>0.23625</v>
      </c>
      <c r="CC127" s="90" t="n">
        <f aca="false">INDEX(in_mkt_listing_3460,1,C127)*(1-IF(sku_flute_3460="B",T127,0))*(1-S127)*N127</f>
        <v>0.21</v>
      </c>
      <c r="CD127" s="88" t="n">
        <f aca="false">BT127*CA127+BU127*CB127+BV127*CC127</f>
        <v>12065.76</v>
      </c>
      <c r="CE127" s="88" t="n">
        <f aca="false">CD127-BM127</f>
        <v>-16320.2792709905</v>
      </c>
      <c r="CF127" s="87" t="n">
        <f aca="false">IF(CD127&gt;0,CE127/CD127,0)</f>
        <v>-1.3526109644971</v>
      </c>
      <c r="CG127" s="87" t="n">
        <f aca="false">W127+INDEX(in_sel_processing,1,C127)+INDEX(in_sel_bad_debt,1,C127)</f>
        <v>0.095</v>
      </c>
      <c r="CH127" s="88" t="n">
        <f aca="false">CD127*CG127</f>
        <v>1146.2472</v>
      </c>
      <c r="CI127" s="88" t="n">
        <f aca="false">INDEX(in_sel_testing,1,C127)*X127+INDEX(in_sel_admin,1,C127)</f>
        <v>4750</v>
      </c>
      <c r="CJ127" s="79" t="n">
        <f aca="false">INDEX(in_sup_lead_days,1,C127)</f>
        <v>35</v>
      </c>
      <c r="CK127" s="79" t="n">
        <f aca="false">CJ127+INDEX(in_oce_transit,1,C127)+IF(F127=4,INDEX(in_oce_lcl_extra_days,1,C127),0)</f>
        <v>73</v>
      </c>
      <c r="CL127" s="79" t="n">
        <f aca="false">CK127+2+INDEX(in_cus_dem_days,1,C127)</f>
        <v>78</v>
      </c>
      <c r="CM127" s="79" t="n">
        <f aca="false">CL127+U127</f>
        <v>138</v>
      </c>
      <c r="CN127" s="79" t="n">
        <f aca="false">CJ127+INDEX(in_sup_vat_lag,1,C127)</f>
        <v>215</v>
      </c>
      <c r="CO127" s="91" t="n">
        <f aca="false">INDEX(in_sup_advance,1,C127)</f>
        <v>0.5</v>
      </c>
      <c r="CP127" s="88" t="n">
        <f aca="false">CO127*(AL127+AM127)+AO127+INDEX(in_sel_testing,1,C127)*X127</f>
        <v>11364.0498290687</v>
      </c>
      <c r="CQ127" s="88" t="n">
        <f aca="false">(1-CO127)*(AL127+AM127)+AR127+AU127+AZ127</f>
        <v>14341.3635139335</v>
      </c>
      <c r="CR127" s="88" t="n">
        <f aca="false">BB127+BC127+BD127+BF127+BJ127</f>
        <v>3930.62592798833</v>
      </c>
      <c r="CS127" s="88" t="n">
        <f aca="false">BK127+BL127</f>
        <v>2750</v>
      </c>
      <c r="CT127" s="88" t="n">
        <f aca="false">IF(K127=2,AM127,0)</f>
        <v>0</v>
      </c>
      <c r="CU127" s="85" t="n">
        <f aca="false">IF(K127=2,CO127*AM127*(CN127-0)+(1-CO127)*AM127*(CN127-CJ127),0)</f>
        <v>0</v>
      </c>
      <c r="CV127" s="85" t="n">
        <f aca="false">(CP127-CO127*CT127)*(CM127-0)+(CQ127-(1-CO127)*CT127)*(CM127-CJ127)+CR127*(CM127-CK127)+CS127*(CM127-CL127)</f>
        <v>3465890.00366587</v>
      </c>
      <c r="CW127" s="88" t="n">
        <f aca="false">INDEX(in_sel_fin_rate,1,C127)/365*(CU127+CV127)</f>
        <v>1329.38246715951</v>
      </c>
      <c r="CX127" s="85" t="n">
        <f aca="false">CP127-IF(CN127&lt;=0,CT127,0)</f>
        <v>11364.0498290687</v>
      </c>
      <c r="CY127" s="85" t="n">
        <f aca="false">CP127+CQ127-IF(CN127&lt;=CJ127,CT127,0)</f>
        <v>25705.4133430022</v>
      </c>
      <c r="CZ127" s="85" t="n">
        <f aca="false">CP127+CQ127+CR127-IF(CN127&lt;=CK127,CT127,0)</f>
        <v>29636.0392709905</v>
      </c>
      <c r="DA127" s="85" t="n">
        <f aca="false">CP127+CQ127+CR127+CS127-IF(CN127&lt;=CL127,CT127,0)</f>
        <v>32386.0392709905</v>
      </c>
      <c r="DB127" s="88" t="n">
        <f aca="false">MAX(CX127,CY127,CZ127,DA127)</f>
        <v>32386.0392709905</v>
      </c>
      <c r="DC127" s="88" t="n">
        <f aca="false">CP127+CQ127+CR127+CS127</f>
        <v>32386.0392709905</v>
      </c>
      <c r="DD127" s="88" t="n">
        <f aca="false">CE127-CH127-CI127-CW127</f>
        <v>-23545.90893815</v>
      </c>
      <c r="DE127" s="87" t="n">
        <f aca="false">IF(CD127&gt;0,DD127/CD127,0)</f>
        <v>-1.95146504970677</v>
      </c>
      <c r="DF127" s="86" t="n">
        <f aca="false">IF(CD127&gt;0,(BM127+CI127+CW127)/(CD127*(1-CG127)),0)</f>
        <v>3.15631497205168</v>
      </c>
      <c r="DG127" s="90" t="n">
        <f aca="false">IF(BW127&gt;0,BM127/BW127,0)</f>
        <v>0.469345887417171</v>
      </c>
      <c r="DH127" s="90" t="n">
        <f aca="false">IF(BW127&gt;0,CD127/BW127,0)</f>
        <v>0.1995</v>
      </c>
      <c r="DI127" s="90" t="n">
        <f aca="false">IF(AI127&gt;0,(AI127*IF(K127=3,INDEX(in_sup_vat_rate,1,C127),0)+AV127*BA127+(BC127+BD127)*AV127/AY127+AZ127*AI127/AL127)/AI127,0)</f>
        <v>0.301793964416119</v>
      </c>
      <c r="DJ127" s="90" t="n">
        <f aca="false">IF(AJ127&gt;0,(AJ127*IF(K127=3,INDEX(in_sup_vat_rate,1,C127),0)+AW127*BA127+(BC127+BD127)*AW127/AY127+AZ127*AJ127/AL127)/AJ127,0)</f>
        <v>0</v>
      </c>
      <c r="DK127" s="90" t="n">
        <f aca="false">IF(AK127&gt;0,(AK127*IF(K127=3,INDEX(in_sup_vat_rate,1,C127),0)+AX127*BA127+(BC127+BD127)*AX127/AY127+AZ127*AK127/AL127)/AK127,0)</f>
        <v>0</v>
      </c>
      <c r="DL127" s="90" t="n">
        <f aca="false">IF(Y127&gt;0,(BP127-AI127*(1+DI127))/Y127,0)</f>
        <v>0.202391027087273</v>
      </c>
      <c r="DM127" s="90" t="n">
        <f aca="false">IF(Z127&gt;0,(BQ127-AJ127*(1+DJ127))/Z127,0)</f>
        <v>0</v>
      </c>
      <c r="DN127" s="90" t="n">
        <f aca="false">IF(AA127&gt;0,(BR127-AK127*(1+DK127))/AA127,0)</f>
        <v>0</v>
      </c>
      <c r="DO127" s="86" t="n">
        <f aca="false">IF(Y127&gt;0,(CA127*(1-thr_gm_go)*(1-R127)-DL127)/(1+DI127)*I127/((1+AH127)*J127),"")</f>
        <v>-1.98021723020654</v>
      </c>
      <c r="DP127" s="86" t="str">
        <f aca="false">IF(Z127&gt;0,(CB127*(1-thr_gm_go)*(1-R127)-DM127)/(1+DJ127)*I127/((1+AH127)*J127),"")</f>
        <v/>
      </c>
      <c r="DQ127" s="86" t="str">
        <f aca="false">IF(AA127&gt;0,(CC127*(1-thr_gm_go)*(1-R127)-DN127)/(1+DK127)*I127/((1+AH127)*J127),"")</f>
        <v/>
      </c>
      <c r="DR127" s="92" t="n">
        <f aca="false">IF(AND(AY127*INDEX(in_cus_mpf_rate,1,C127)&gt;INDEX(in_cus_mpf_min,1,C127),AY127*INDEX(in_cus_mpf_rate,1,C127)&lt;INDEX(in_cus_mpf_max,1,C127)),INDEX(in_cus_mpf_rate,1,C127),0)</f>
        <v>0.003464</v>
      </c>
      <c r="DS127" s="88" t="n">
        <f aca="false">IF(AZ127&gt;INDEX(in_oce_ins_min,1,C127),INDEX(in_oce_ins_rate,1,C127)*(1+INDEX(in_oce_ins_uplift,1,C127))*AL127,0)</f>
        <v>0</v>
      </c>
      <c r="DT127" s="88" t="n">
        <f aca="false">(AL127+AN127)*(1+BA127+INDEX(in_cus_hmf,1,C127)+DR127)+DS127</f>
        <v>15468.216125665</v>
      </c>
      <c r="DU127" s="86" t="n">
        <f aca="false">IF(DT127&gt;0,(CD127*(1-thr_gm_go)-(BM127-DT127))/DT127,0)</f>
        <v>-0.250093683324406</v>
      </c>
      <c r="DV127" s="86" t="n">
        <f aca="false">IF(DT127&gt;0,(CD127-(BM127-DT127))/DT127,0)</f>
        <v>-0.0550847711464143</v>
      </c>
      <c r="DW127" s="87" t="n">
        <f aca="false">(1+AH127)*J127*DU127-1</f>
        <v>-1.27510305165685</v>
      </c>
      <c r="DX127" s="87" t="n">
        <f aca="false">(1+AH127)*J127*DV127-1</f>
        <v>-1.06059324826106</v>
      </c>
      <c r="DY127" s="85" t="n">
        <f aca="false">IF(G127&gt;0,(CD127*(1-thr_gm_go)-(BM127-AT127))/G127,"")</f>
        <v>-14036.7192709905</v>
      </c>
      <c r="DZ127" s="90" t="n">
        <f aca="false">IF(AB127&gt;0,(AL127+AN127+BB127+BC127+BD127)/AB127,0)</f>
        <v>0.246593723245909</v>
      </c>
      <c r="EA127" s="88" t="n">
        <f aca="false">BM127-DZ127*AB127</f>
        <v>12850.6347064982</v>
      </c>
      <c r="EB127" s="90" t="n">
        <f aca="false">IF(AB127&gt;0,CD127/AB127,0)</f>
        <v>0.19152</v>
      </c>
      <c r="EC127" s="85" t="str">
        <f aca="false">IF(EB127*(1-thr_gm_go)-DZ127&gt;0,EA127/(EB127*(1-thr_gm_go)-DZ127),"n/a")</f>
        <v>n/a</v>
      </c>
      <c r="ED127" s="85" t="str">
        <f aca="false">IF(EB127-DZ127&gt;0,EA127/(EB127-DZ127),"n/a")</f>
        <v>n/a</v>
      </c>
      <c r="EE127" s="93" t="b">
        <f aca="false">INDEX(cfg_fits,D127,C127)</f>
        <v>1</v>
      </c>
      <c r="EF127" s="87" t="n">
        <f aca="false">IF(F127=4,"",INDEX(cfg_lenutil,D127,C127))</f>
        <v>0.991198658843252</v>
      </c>
      <c r="EG127" s="31" t="str">
        <f aca="false">IF(O127&gt;1,"Check fit (units scaled up)","")</f>
        <v/>
      </c>
    </row>
    <row r="128" customFormat="false" ht="15" hidden="false" customHeight="false" outlineLevel="0" collapsed="false">
      <c r="A128" s="78" t="n">
        <v>3054</v>
      </c>
      <c r="B128" s="9" t="s">
        <v>3276</v>
      </c>
      <c r="C128" s="78" t="n">
        <v>3</v>
      </c>
      <c r="D128" s="78" t="n">
        <v>5</v>
      </c>
      <c r="E128" s="78" t="n">
        <v>4</v>
      </c>
      <c r="F128" s="79" t="n">
        <f aca="false">INDEX(cfg_ct,D128)</f>
        <v>3</v>
      </c>
      <c r="G128" s="79" t="n">
        <f aca="false">INDEX(cfg_n,D128)</f>
        <v>1</v>
      </c>
      <c r="H128" s="79" t="n">
        <f aca="false">INDEX(dest_port,E128)</f>
        <v>3</v>
      </c>
      <c r="I128" s="80" t="n">
        <f aca="false">INDEX(in_fx_cbe,1,C128)*(1-INDEX(in_fx_spread,1,C128))</f>
        <v>48.265</v>
      </c>
      <c r="J128" s="81" t="n">
        <f aca="false">1</f>
        <v>1</v>
      </c>
      <c r="K128" s="82" t="n">
        <f aca="false">INDEX(in_sup_vat_mode,1,C128)</f>
        <v>3</v>
      </c>
      <c r="L128" s="83" t="n">
        <f aca="false">INDEX(in_cus_s301,1,C128)</f>
        <v>0.125</v>
      </c>
      <c r="M128" s="84" t="n">
        <f aca="false">1</f>
        <v>1</v>
      </c>
      <c r="N128" s="81" t="n">
        <f aca="false">1</f>
        <v>1</v>
      </c>
      <c r="O128" s="81" t="n">
        <f aca="false">1</f>
        <v>1</v>
      </c>
      <c r="P128" s="81" t="n">
        <f aca="false">1</f>
        <v>1</v>
      </c>
      <c r="Q128" s="81" t="n">
        <f aca="false">1</f>
        <v>1</v>
      </c>
      <c r="R128" s="83" t="n">
        <f aca="false">INDEX(in_sel_damage,1,C128)</f>
        <v>0.04</v>
      </c>
      <c r="S128" s="83" t="n">
        <f aca="false">INDEX(in_mkt_dist_margin,1,C128)</f>
        <v>0.3</v>
      </c>
      <c r="T128" s="83" t="n">
        <f aca="false">INDEX(in_mkt_eflute_disc,1,C128)</f>
        <v>0.25</v>
      </c>
      <c r="U128" s="82" t="n">
        <f aca="false">INDEX(in_sel_credit_days,1,C128)</f>
        <v>60</v>
      </c>
      <c r="V128" s="81" t="n">
        <f aca="false">1</f>
        <v>1</v>
      </c>
      <c r="W128" s="83" t="n">
        <f aca="false">INDEX(in_sel_commission,1,C128)</f>
        <v>0.07</v>
      </c>
      <c r="X128" s="82" t="n">
        <f aca="false">1</f>
        <v>1</v>
      </c>
      <c r="Y128" s="85" t="n">
        <f aca="false">INDEX(cfg_u_3464,D128,C128)*O128</f>
        <v>63000</v>
      </c>
      <c r="Z128" s="85" t="n">
        <f aca="false">INDEX(cfg_u_3463,D128,C128)*O128</f>
        <v>0</v>
      </c>
      <c r="AA128" s="85" t="n">
        <f aca="false">INDEX(cfg_u_3460,D128,C128)*O128</f>
        <v>0</v>
      </c>
      <c r="AB128" s="85" t="n">
        <f aca="false">Y128+Z128+AA128</f>
        <v>63000</v>
      </c>
      <c r="AC128" s="86" t="n">
        <f aca="false">Y128*INDEX(lg_vpu_3464,C128)</f>
        <v>50.419908</v>
      </c>
      <c r="AD128" s="86" t="n">
        <f aca="false">Z128*INDEX(lg_vpu_3463,C128)</f>
        <v>0</v>
      </c>
      <c r="AE128" s="86" t="n">
        <f aca="false">AA128*INDEX(lg_vpu_3460,C128)</f>
        <v>0</v>
      </c>
      <c r="AF128" s="86" t="n">
        <f aca="false">AC128+AD128+AE128</f>
        <v>50.419908</v>
      </c>
      <c r="AG128" s="85" t="n">
        <f aca="false">Y128*INDEX(lg_kpu_3464,C128)+Z128*INDEX(lg_kpu_3463,C128)+AA128*INDEX(lg_kpu_3460,C128)</f>
        <v>12299.825664</v>
      </c>
      <c r="AH128" s="87" t="n">
        <f aca="false">INDEX(in_sup_requote,1,C128)</f>
        <v>0.1</v>
      </c>
      <c r="AI128" s="88" t="n">
        <f aca="false">Y128*q_price_3464*(1+AH128)*J128/I128</f>
        <v>12010.6598984772</v>
      </c>
      <c r="AJ128" s="88" t="n">
        <f aca="false">Z128*q_price_3463*(1+AH128)*J128/I128</f>
        <v>0</v>
      </c>
      <c r="AK128" s="88" t="n">
        <f aca="false">AA128*q_price_3460*(1+AH128)*J128/I128</f>
        <v>0</v>
      </c>
      <c r="AL128" s="88" t="n">
        <f aca="false">AI128+AJ128+AK128</f>
        <v>12010.6598984772</v>
      </c>
      <c r="AM128" s="88" t="n">
        <f aca="false">IF(OR(K128=2,K128=3),AL128*INDEX(in_sup_vat_rate,1,C128),0)</f>
        <v>1681.4923857868</v>
      </c>
      <c r="AN128" s="88" t="n">
        <f aca="false">IF(K128=3,AM128,0)</f>
        <v>1681.4923857868</v>
      </c>
      <c r="AO128" s="88" t="n">
        <f aca="false">INDEX(in_sup_tooling_egp,1,C128)/I128</f>
        <v>517.973686936704</v>
      </c>
      <c r="AP128" s="88" t="n">
        <f aca="false">IF(F128=4,INDEX(in_ori_lcl_truck,1,C128)*V128/I128+INDEX(in_ori_lcl_cfs_o,1,C128),G128*(IF(F128=1,INDEX(in_ori_truck_20,1,C128),INDEX(in_ori_truck_40,1,C128))*V128/I128+INDEX(in_ori_terminal,1,C128)+IF(F128=1,INDEX(in_ori_othc_20,1,C128),INDEX(in_ori_othc_40,1,C128))*(1-INDEX(in_ori_othc_in_freight,1,C128))+INDEX(in_ori_seal,1,C128)+INDEX(in_ori_inspection,1,C128)+INDEX(in_ori_dd_days,1,C128)*IF(F128=1,INDEX(in_ori_dd_20,1,C128),INDEX(in_ori_dd_40,1,C128))+INDEX(in_ori_loading_egp,1,C128)/I128))</f>
        <v>882.378949549363</v>
      </c>
      <c r="AQ128" s="88" t="n">
        <f aca="false">(INDEX(in_ori_clearance,1,C128)+INDEX(in_ori_coo,1,C128))/I128+INDEX(in_ori_bl_fee,1,C128)+INDEX(in_ori_fwd_fee,1,C128)+INDEX(in_ori_qc,1,C128)+INDEX(in_ori_wires,1,C128)*INDEX(in_ori_wire_fee,1,C128)</f>
        <v>1167.90842225215</v>
      </c>
      <c r="AR128" s="88" t="n">
        <f aca="false">AP128+AQ128</f>
        <v>2050.28737180151</v>
      </c>
      <c r="AS128" s="85" t="n">
        <f aca="false">INDEX(tbl_port_diff,H128,C128)</f>
        <v>100</v>
      </c>
      <c r="AT128" s="88" t="n">
        <f aca="false">IF(F128=4,MAX(AF128*INDEX(in_oce_lcl_factor,1,C128),AG128/1000,1)*INDEX(in_oce_lcl_rate,1,C128)*M128,G128*(INDEX(tbl_ocean_rate,MIN(F128,3),C128)+AS128)*M128)</f>
        <v>5100</v>
      </c>
      <c r="AU128" s="88" t="n">
        <f aca="false">AT128+INDEX(in_oce_ams,1,C128)</f>
        <v>5145</v>
      </c>
      <c r="AV128" s="88" t="n">
        <f aca="false">AI128*(1+IF(K128=3,INDEX(in_sup_vat_rate,1,C128),0))+AO128*Y128/AB128</f>
        <v>14210.1259712007</v>
      </c>
      <c r="AW128" s="88" t="n">
        <f aca="false">AJ128*(1+IF(K128=3,INDEX(in_sup_vat_rate,1,C128),0))+AO128*Z128/AB128</f>
        <v>0</v>
      </c>
      <c r="AX128" s="88" t="n">
        <f aca="false">AK128*(1+IF(K128=3,INDEX(in_sup_vat_rate,1,C128),0))+AO128*AA128/AB128</f>
        <v>0</v>
      </c>
      <c r="AY128" s="88" t="n">
        <f aca="false">AV128+AW128+AX128</f>
        <v>14210.1259712007</v>
      </c>
      <c r="AZ128" s="88" t="n">
        <f aca="false">MAX(INDEX(in_oce_ins_min,1,C128),INDEX(in_oce_ins_rate,1,C128)*(1+INDEX(in_oce_ins_uplift,1,C128))*(AL128+AO128+AR128+AU128))*(1-INDEX(in_oce_ins_in_other,1,C128))</f>
        <v>100</v>
      </c>
      <c r="BA128" s="87" t="n">
        <f aca="false">INDEX(in_cus_mfn,1,C128)+L128</f>
        <v>0.125</v>
      </c>
      <c r="BB128" s="88" t="n">
        <f aca="false">AY128*BA128</f>
        <v>1776.26574640008</v>
      </c>
      <c r="BC128" s="88" t="n">
        <f aca="false">MIN(MAX(AY128*INDEX(in_cus_mpf_rate,1,C128),INDEX(in_cus_mpf_min,1,C128)),INDEX(in_cus_mpf_max,1,C128))</f>
        <v>49.2238763642391</v>
      </c>
      <c r="BD128" s="88" t="n">
        <f aca="false">AY128*INDEX(in_cus_hmf,1,C128)</f>
        <v>17.7626574640008</v>
      </c>
      <c r="BE128" s="88" t="n">
        <f aca="false">MAX(INDEX(in_cus_stb_min,1,C128),INDEX(in_cus_stb_rate,1,C128)/1000*(AY128+BB128+BC128+BD128))</f>
        <v>112.373647760003</v>
      </c>
      <c r="BF128" s="88" t="n">
        <f aca="false">INDEX(in_cus_broker,1,C128)+INDEX(in_cus_isf,1,C128)+INDEX(in_cus_do_fee,1,C128)+BE128+INDEX(in_cus_isf_bond,1,C128)</f>
        <v>737.373647760003</v>
      </c>
      <c r="BG128" s="88" t="n">
        <f aca="false">IF(H128=1,INDEX(in_cus_cfc,1,C128)*INDEX(ct_teu,F128)*G128*(1-INDEX(in_cus_cfc_in_freight,1,C128)),0)</f>
        <v>0</v>
      </c>
      <c r="BH128" s="88" t="n">
        <f aca="false">IF(F128=4,1,G128)*(INDEX(in_cus_exam,1,C128)+INDEX(in_cus_exam_dray,1,C128))</f>
        <v>600</v>
      </c>
      <c r="BI128" s="88" t="n">
        <f aca="false">IF(F128=4,1,G128)*INDEX(in_cus_dem_days,1,C128)*INDEX(in_cus_dem_rate,1,C128)</f>
        <v>750</v>
      </c>
      <c r="BJ128" s="88" t="n">
        <f aca="false">BG128+BH128+BI128</f>
        <v>1350</v>
      </c>
      <c r="BK128" s="88" t="n">
        <f aca="false">IF(F128=4,(INDEX(in_dra_lcl_cfs_d,1,C128)+INDEX(in_dra_lcl_deliv,1,C128))*P128,G128*(INDEX(tbl_dest_line,E128,C128)*P128*(1+INDEX(in_dra_fsc,1,C128))+INDEX(tbl_dest_tolls,E128,C128)+INDEX(in_dra_chassis_days,1,C128)*INDEX(tbl_dest_chassis,E128,C128)*(1-INDEX(in_dra_chassis_in_dray,1,C128))+INDEX(in_dra_wait_hours,1,C128)*INDEX(in_dra_wait_rate,1,C128)+INDEX(in_dra_split,1,C128)+INDEX(in_dra_prepull,1,C128)+INDEX(in_dra_dryrun,1,C128)))</f>
        <v>2850</v>
      </c>
      <c r="BL128" s="88" t="n">
        <f aca="false">IF(F128=4,0,G128*IF(F128=1,INDEX(in_dra_unload_20,1,C128),INDEX(in_dra_unload_40,1,C128))*Q128*(1-INDEX(in_dra_unload_in_dray,1,C128)))</f>
        <v>650</v>
      </c>
      <c r="BM128" s="88" t="n">
        <f aca="false">AL128+AN128+AO128+AR128+AU128+AZ128+BB128+BC128+BD128+BF128+BJ128+BK128+BL128</f>
        <v>28936.0392709905</v>
      </c>
      <c r="BN128" s="88" t="n">
        <f aca="false">AP128+AU128+BJ128+BK128+BL128</f>
        <v>10877.3789495494</v>
      </c>
      <c r="BO128" s="88" t="n">
        <f aca="false">AQ128+BF128</f>
        <v>1905.28207001215</v>
      </c>
      <c r="BP128" s="88" t="n">
        <f aca="false">AI128*(1+IF(K128=3,INDEX(in_sup_vat_rate,1,C128),0))+AO128*Y128/AB128+AV128*BA128+(BC128+BD128)*AV128/AY128+AZ128*AI128/AL128+BN128*AC128/AF128+BO128*Y128/AB128</f>
        <v>28936.0392709905</v>
      </c>
      <c r="BQ128" s="88" t="n">
        <f aca="false">AJ128*(1+IF(K128=3,INDEX(in_sup_vat_rate,1,C128),0))+AO128*Z128/AB128+AW128*BA128+(BC128+BD128)*AW128/AY128+AZ128*AJ128/AL128+BN128*AD128/AF128+BO128*Z128/AB128</f>
        <v>0</v>
      </c>
      <c r="BR128" s="88" t="n">
        <f aca="false">AK128*(1+IF(K128=3,INDEX(in_sup_vat_rate,1,C128),0))+AO128*AA128/AB128+AX128*BA128+(BC128+BD128)*AX128/AY128+AZ128*AK128/AL128+BN128*AE128/AF128+BO128*AA128/AB128</f>
        <v>0</v>
      </c>
      <c r="BS128" s="89" t="n">
        <f aca="false">BP128+BQ128+BR128-BM128</f>
        <v>0</v>
      </c>
      <c r="BT128" s="85" t="n">
        <f aca="false">Y128*(1-R128)</f>
        <v>60480</v>
      </c>
      <c r="BU128" s="85" t="n">
        <f aca="false">Z128*(1-R128)</f>
        <v>0</v>
      </c>
      <c r="BV128" s="85" t="n">
        <f aca="false">AA128*(1-R128)</f>
        <v>0</v>
      </c>
      <c r="BW128" s="85" t="n">
        <f aca="false">BT128+BU128+BV128</f>
        <v>60480</v>
      </c>
      <c r="BX128" s="90" t="n">
        <f aca="false">IF(BT128&gt;0,BP128/BT128,0)</f>
        <v>0.478439802761086</v>
      </c>
      <c r="BY128" s="90" t="n">
        <f aca="false">IF(BU128&gt;0,BQ128/BU128,0)</f>
        <v>0</v>
      </c>
      <c r="BZ128" s="90" t="n">
        <f aca="false">IF(BV128&gt;0,BR128/BV128,0)</f>
        <v>0</v>
      </c>
      <c r="CA128" s="90" t="n">
        <f aca="false">INDEX(in_mkt_listing_3464,1,C128)*(1-IF(sku_flute_3464="B",T128,0))*(1-S128)*N128</f>
        <v>0.1995</v>
      </c>
      <c r="CB128" s="90" t="n">
        <f aca="false">INDEX(in_mkt_listing_3463,1,C128)*(1-IF(sku_flute_3463="B",T128,0))*(1-S128)*N128</f>
        <v>0.23625</v>
      </c>
      <c r="CC128" s="90" t="n">
        <f aca="false">INDEX(in_mkt_listing_3460,1,C128)*(1-IF(sku_flute_3460="B",T128,0))*(1-S128)*N128</f>
        <v>0.21</v>
      </c>
      <c r="CD128" s="88" t="n">
        <f aca="false">BT128*CA128+BU128*CB128+BV128*CC128</f>
        <v>12065.76</v>
      </c>
      <c r="CE128" s="88" t="n">
        <f aca="false">CD128-BM128</f>
        <v>-16870.2792709905</v>
      </c>
      <c r="CF128" s="87" t="n">
        <f aca="false">IF(CD128&gt;0,CE128/CD128,0)</f>
        <v>-1.39819450005557</v>
      </c>
      <c r="CG128" s="87" t="n">
        <f aca="false">W128+INDEX(in_sel_processing,1,C128)+INDEX(in_sel_bad_debt,1,C128)</f>
        <v>0.095</v>
      </c>
      <c r="CH128" s="88" t="n">
        <f aca="false">CD128*CG128</f>
        <v>1146.2472</v>
      </c>
      <c r="CI128" s="88" t="n">
        <f aca="false">INDEX(in_sel_testing,1,C128)*X128+INDEX(in_sel_admin,1,C128)</f>
        <v>4750</v>
      </c>
      <c r="CJ128" s="79" t="n">
        <f aca="false">INDEX(in_sup_lead_days,1,C128)</f>
        <v>35</v>
      </c>
      <c r="CK128" s="79" t="n">
        <f aca="false">CJ128+INDEX(in_oce_transit,1,C128)+IF(F128=4,INDEX(in_oce_lcl_extra_days,1,C128),0)</f>
        <v>73</v>
      </c>
      <c r="CL128" s="79" t="n">
        <f aca="false">CK128+2+INDEX(in_cus_dem_days,1,C128)</f>
        <v>78</v>
      </c>
      <c r="CM128" s="79" t="n">
        <f aca="false">CL128+U128</f>
        <v>138</v>
      </c>
      <c r="CN128" s="79" t="n">
        <f aca="false">CJ128+INDEX(in_sup_vat_lag,1,C128)</f>
        <v>215</v>
      </c>
      <c r="CO128" s="91" t="n">
        <f aca="false">INDEX(in_sup_advance,1,C128)</f>
        <v>0.5</v>
      </c>
      <c r="CP128" s="88" t="n">
        <f aca="false">CO128*(AL128+AM128)+AO128+INDEX(in_sel_testing,1,C128)*X128</f>
        <v>11364.0498290687</v>
      </c>
      <c r="CQ128" s="88" t="n">
        <f aca="false">(1-CO128)*(AL128+AM128)+AR128+AU128+AZ128</f>
        <v>14141.3635139335</v>
      </c>
      <c r="CR128" s="88" t="n">
        <f aca="false">BB128+BC128+BD128+BF128+BJ128</f>
        <v>3930.62592798833</v>
      </c>
      <c r="CS128" s="88" t="n">
        <f aca="false">BK128+BL128</f>
        <v>3500</v>
      </c>
      <c r="CT128" s="88" t="n">
        <f aca="false">IF(K128=2,AM128,0)</f>
        <v>0</v>
      </c>
      <c r="CU128" s="85" t="n">
        <f aca="false">IF(K128=2,CO128*AM128*(CN128-0)+(1-CO128)*AM128*(CN128-CJ128),0)</f>
        <v>0</v>
      </c>
      <c r="CV128" s="85" t="n">
        <f aca="false">(CP128-CO128*CT128)*(CM128-0)+(CQ128-(1-CO128)*CT128)*(CM128-CJ128)+CR128*(CM128-CK128)+CS128*(CM128-CL128)</f>
        <v>3490290.00366587</v>
      </c>
      <c r="CW128" s="88" t="n">
        <f aca="false">INDEX(in_sel_fin_rate,1,C128)/365*(CU128+CV128)</f>
        <v>1338.7413712691</v>
      </c>
      <c r="CX128" s="85" t="n">
        <f aca="false">CP128-IF(CN128&lt;=0,CT128,0)</f>
        <v>11364.0498290687</v>
      </c>
      <c r="CY128" s="85" t="n">
        <f aca="false">CP128+CQ128-IF(CN128&lt;=CJ128,CT128,0)</f>
        <v>25505.4133430022</v>
      </c>
      <c r="CZ128" s="85" t="n">
        <f aca="false">CP128+CQ128+CR128-IF(CN128&lt;=CK128,CT128,0)</f>
        <v>29436.0392709905</v>
      </c>
      <c r="DA128" s="85" t="n">
        <f aca="false">CP128+CQ128+CR128+CS128-IF(CN128&lt;=CL128,CT128,0)</f>
        <v>32936.0392709905</v>
      </c>
      <c r="DB128" s="88" t="n">
        <f aca="false">MAX(CX128,CY128,CZ128,DA128)</f>
        <v>32936.0392709905</v>
      </c>
      <c r="DC128" s="88" t="n">
        <f aca="false">CP128+CQ128+CR128+CS128</f>
        <v>32936.0392709905</v>
      </c>
      <c r="DD128" s="88" t="n">
        <f aca="false">CE128-CH128-CI128-CW128</f>
        <v>-24105.2678422596</v>
      </c>
      <c r="DE128" s="87" t="n">
        <f aca="false">IF(CD128&gt;0,DD128/CD128,0)</f>
        <v>-1.99782424333483</v>
      </c>
      <c r="DF128" s="86" t="n">
        <f aca="false">IF(CD128&gt;0,(BM128+CI128+CW128)/(CD128*(1-CG128)),0)</f>
        <v>3.20754060036997</v>
      </c>
      <c r="DG128" s="90" t="n">
        <f aca="false">IF(BW128&gt;0,BM128/BW128,0)</f>
        <v>0.478439802761086</v>
      </c>
      <c r="DH128" s="90" t="n">
        <f aca="false">IF(BW128&gt;0,CD128/BW128,0)</f>
        <v>0.1995</v>
      </c>
      <c r="DI128" s="90" t="n">
        <f aca="false">IF(AI128&gt;0,(AI128*IF(K128=3,INDEX(in_sup_vat_rate,1,C128),0)+AV128*BA128+(BC128+BD128)*AV128/AY128+AZ128*AI128/AL128)/AI128,0)</f>
        <v>0.301793964416119</v>
      </c>
      <c r="DJ128" s="90" t="n">
        <f aca="false">IF(AJ128&gt;0,(AJ128*IF(K128=3,INDEX(in_sup_vat_rate,1,C128),0)+AW128*BA128+(BC128+BD128)*AW128/AY128+AZ128*AJ128/AL128)/AJ128,0)</f>
        <v>0</v>
      </c>
      <c r="DK128" s="90" t="n">
        <f aca="false">IF(AK128&gt;0,(AK128*IF(K128=3,INDEX(in_sup_vat_rate,1,C128),0)+AX128*BA128+(BC128+BD128)*AX128/AY128+AZ128*AK128/AL128)/AK128,0)</f>
        <v>0</v>
      </c>
      <c r="DL128" s="90" t="n">
        <f aca="false">IF(Y128&gt;0,(BP128-AI128*(1+DI128))/Y128,0)</f>
        <v>0.211121185817432</v>
      </c>
      <c r="DM128" s="90" t="n">
        <f aca="false">IF(Z128&gt;0,(BQ128-AJ128*(1+DJ128))/Z128,0)</f>
        <v>0</v>
      </c>
      <c r="DN128" s="90" t="n">
        <f aca="false">IF(AA128&gt;0,(BR128-AK128*(1+DK128))/AA128,0)</f>
        <v>0</v>
      </c>
      <c r="DO128" s="86" t="n">
        <f aca="false">IF(Y128&gt;0,(CA128*(1-thr_gm_go)*(1-R128)-DL128)/(1+DI128)*I128/((1+AH128)*J128),"")</f>
        <v>-2.27446929007637</v>
      </c>
      <c r="DP128" s="86" t="str">
        <f aca="false">IF(Z128&gt;0,(CB128*(1-thr_gm_go)*(1-R128)-DM128)/(1+DJ128)*I128/((1+AH128)*J128),"")</f>
        <v/>
      </c>
      <c r="DQ128" s="86" t="str">
        <f aca="false">IF(AA128&gt;0,(CC128*(1-thr_gm_go)*(1-R128)-DN128)/(1+DK128)*I128/((1+AH128)*J128),"")</f>
        <v/>
      </c>
      <c r="DR128" s="92" t="n">
        <f aca="false">IF(AND(AY128*INDEX(in_cus_mpf_rate,1,C128)&gt;INDEX(in_cus_mpf_min,1,C128),AY128*INDEX(in_cus_mpf_rate,1,C128)&lt;INDEX(in_cus_mpf_max,1,C128)),INDEX(in_cus_mpf_rate,1,C128),0)</f>
        <v>0.003464</v>
      </c>
      <c r="DS128" s="88" t="n">
        <f aca="false">IF(AZ128&gt;INDEX(in_oce_ins_min,1,C128),INDEX(in_oce_ins_rate,1,C128)*(1+INDEX(in_oce_ins_uplift,1,C128))*AL128,0)</f>
        <v>0</v>
      </c>
      <c r="DT128" s="88" t="n">
        <f aca="false">(AL128+AN128)*(1+BA128+INDEX(in_cus_hmf,1,C128)+DR128)+DS128</f>
        <v>15468.216125665</v>
      </c>
      <c r="DU128" s="86" t="n">
        <f aca="false">IF(DT128&gt;0,(CD128*(1-thr_gm_go)-(BM128-DT128))/DT128,0)</f>
        <v>-0.285650466054345</v>
      </c>
      <c r="DV128" s="86" t="n">
        <f aca="false">IF(DT128&gt;0,(CD128-(BM128-DT128))/DT128,0)</f>
        <v>-0.0906415538763528</v>
      </c>
      <c r="DW128" s="87" t="n">
        <f aca="false">(1+AH128)*J128*DU128-1</f>
        <v>-1.31421551265978</v>
      </c>
      <c r="DX128" s="87" t="n">
        <f aca="false">(1+AH128)*J128*DV128-1</f>
        <v>-1.09970570926399</v>
      </c>
      <c r="DY128" s="85" t="n">
        <f aca="false">IF(G128&gt;0,(CD128*(1-thr_gm_go)-(BM128-AT128))/G128,"")</f>
        <v>-14786.7192709905</v>
      </c>
      <c r="DZ128" s="90" t="n">
        <f aca="false">IF(AB128&gt;0,(AL128+AN128+BB128+BC128+BD128)/AB128,0)</f>
        <v>0.246593723245909</v>
      </c>
      <c r="EA128" s="88" t="n">
        <f aca="false">BM128-DZ128*AB128</f>
        <v>13400.6347064982</v>
      </c>
      <c r="EB128" s="90" t="n">
        <f aca="false">IF(AB128&gt;0,CD128/AB128,0)</f>
        <v>0.19152</v>
      </c>
      <c r="EC128" s="85" t="str">
        <f aca="false">IF(EB128*(1-thr_gm_go)-DZ128&gt;0,EA128/(EB128*(1-thr_gm_go)-DZ128),"n/a")</f>
        <v>n/a</v>
      </c>
      <c r="ED128" s="85" t="str">
        <f aca="false">IF(EB128-DZ128&gt;0,EA128/(EB128-DZ128),"n/a")</f>
        <v>n/a</v>
      </c>
      <c r="EE128" s="93" t="b">
        <f aca="false">INDEX(cfg_fits,D128,C128)</f>
        <v>1</v>
      </c>
      <c r="EF128" s="87" t="n">
        <f aca="false">IF(F128=4,"",INDEX(cfg_lenutil,D128,C128))</f>
        <v>0.991198658843252</v>
      </c>
      <c r="EG128" s="31" t="str">
        <f aca="false">IF(O128&gt;1,"Check fit (units scaled up)","")</f>
        <v/>
      </c>
    </row>
    <row r="129" customFormat="false" ht="15" hidden="false" customHeight="false" outlineLevel="0" collapsed="false">
      <c r="A129" s="78" t="n">
        <v>3055</v>
      </c>
      <c r="B129" s="9" t="s">
        <v>3277</v>
      </c>
      <c r="C129" s="78" t="n">
        <v>3</v>
      </c>
      <c r="D129" s="78" t="n">
        <v>5</v>
      </c>
      <c r="E129" s="78" t="n">
        <v>5</v>
      </c>
      <c r="F129" s="79" t="n">
        <f aca="false">INDEX(cfg_ct,D129)</f>
        <v>3</v>
      </c>
      <c r="G129" s="79" t="n">
        <f aca="false">INDEX(cfg_n,D129)</f>
        <v>1</v>
      </c>
      <c r="H129" s="79" t="n">
        <f aca="false">INDEX(dest_port,E129)</f>
        <v>4</v>
      </c>
      <c r="I129" s="80" t="n">
        <f aca="false">INDEX(in_fx_cbe,1,C129)*(1-INDEX(in_fx_spread,1,C129))</f>
        <v>48.265</v>
      </c>
      <c r="J129" s="81" t="n">
        <f aca="false">1</f>
        <v>1</v>
      </c>
      <c r="K129" s="82" t="n">
        <f aca="false">INDEX(in_sup_vat_mode,1,C129)</f>
        <v>3</v>
      </c>
      <c r="L129" s="83" t="n">
        <f aca="false">INDEX(in_cus_s301,1,C129)</f>
        <v>0.125</v>
      </c>
      <c r="M129" s="84" t="n">
        <f aca="false">1</f>
        <v>1</v>
      </c>
      <c r="N129" s="81" t="n">
        <f aca="false">1</f>
        <v>1</v>
      </c>
      <c r="O129" s="81" t="n">
        <f aca="false">1</f>
        <v>1</v>
      </c>
      <c r="P129" s="81" t="n">
        <f aca="false">1</f>
        <v>1</v>
      </c>
      <c r="Q129" s="81" t="n">
        <f aca="false">1</f>
        <v>1</v>
      </c>
      <c r="R129" s="83" t="n">
        <f aca="false">INDEX(in_sel_damage,1,C129)</f>
        <v>0.04</v>
      </c>
      <c r="S129" s="83" t="n">
        <f aca="false">INDEX(in_mkt_dist_margin,1,C129)</f>
        <v>0.3</v>
      </c>
      <c r="T129" s="83" t="n">
        <f aca="false">INDEX(in_mkt_eflute_disc,1,C129)</f>
        <v>0.25</v>
      </c>
      <c r="U129" s="82" t="n">
        <f aca="false">INDEX(in_sel_credit_days,1,C129)</f>
        <v>60</v>
      </c>
      <c r="V129" s="81" t="n">
        <f aca="false">1</f>
        <v>1</v>
      </c>
      <c r="W129" s="83" t="n">
        <f aca="false">INDEX(in_sel_commission,1,C129)</f>
        <v>0.07</v>
      </c>
      <c r="X129" s="82" t="n">
        <f aca="false">1</f>
        <v>1</v>
      </c>
      <c r="Y129" s="85" t="n">
        <f aca="false">INDEX(cfg_u_3464,D129,C129)*O129</f>
        <v>63000</v>
      </c>
      <c r="Z129" s="85" t="n">
        <f aca="false">INDEX(cfg_u_3463,D129,C129)*O129</f>
        <v>0</v>
      </c>
      <c r="AA129" s="85" t="n">
        <f aca="false">INDEX(cfg_u_3460,D129,C129)*O129</f>
        <v>0</v>
      </c>
      <c r="AB129" s="85" t="n">
        <f aca="false">Y129+Z129+AA129</f>
        <v>63000</v>
      </c>
      <c r="AC129" s="86" t="n">
        <f aca="false">Y129*INDEX(lg_vpu_3464,C129)</f>
        <v>50.419908</v>
      </c>
      <c r="AD129" s="86" t="n">
        <f aca="false">Z129*INDEX(lg_vpu_3463,C129)</f>
        <v>0</v>
      </c>
      <c r="AE129" s="86" t="n">
        <f aca="false">AA129*INDEX(lg_vpu_3460,C129)</f>
        <v>0</v>
      </c>
      <c r="AF129" s="86" t="n">
        <f aca="false">AC129+AD129+AE129</f>
        <v>50.419908</v>
      </c>
      <c r="AG129" s="85" t="n">
        <f aca="false">Y129*INDEX(lg_kpu_3464,C129)+Z129*INDEX(lg_kpu_3463,C129)+AA129*INDEX(lg_kpu_3460,C129)</f>
        <v>12299.825664</v>
      </c>
      <c r="AH129" s="87" t="n">
        <f aca="false">INDEX(in_sup_requote,1,C129)</f>
        <v>0.1</v>
      </c>
      <c r="AI129" s="88" t="n">
        <f aca="false">Y129*q_price_3464*(1+AH129)*J129/I129</f>
        <v>12010.6598984772</v>
      </c>
      <c r="AJ129" s="88" t="n">
        <f aca="false">Z129*q_price_3463*(1+AH129)*J129/I129</f>
        <v>0</v>
      </c>
      <c r="AK129" s="88" t="n">
        <f aca="false">AA129*q_price_3460*(1+AH129)*J129/I129</f>
        <v>0</v>
      </c>
      <c r="AL129" s="88" t="n">
        <f aca="false">AI129+AJ129+AK129</f>
        <v>12010.6598984772</v>
      </c>
      <c r="AM129" s="88" t="n">
        <f aca="false">IF(OR(K129=2,K129=3),AL129*INDEX(in_sup_vat_rate,1,C129),0)</f>
        <v>1681.4923857868</v>
      </c>
      <c r="AN129" s="88" t="n">
        <f aca="false">IF(K129=3,AM129,0)</f>
        <v>1681.4923857868</v>
      </c>
      <c r="AO129" s="88" t="n">
        <f aca="false">INDEX(in_sup_tooling_egp,1,C129)/I129</f>
        <v>517.973686936704</v>
      </c>
      <c r="AP129" s="88" t="n">
        <f aca="false">IF(F129=4,INDEX(in_ori_lcl_truck,1,C129)*V129/I129+INDEX(in_ori_lcl_cfs_o,1,C129),G129*(IF(F129=1,INDEX(in_ori_truck_20,1,C129),INDEX(in_ori_truck_40,1,C129))*V129/I129+INDEX(in_ori_terminal,1,C129)+IF(F129=1,INDEX(in_ori_othc_20,1,C129),INDEX(in_ori_othc_40,1,C129))*(1-INDEX(in_ori_othc_in_freight,1,C129))+INDEX(in_ori_seal,1,C129)+INDEX(in_ori_inspection,1,C129)+INDEX(in_ori_dd_days,1,C129)*IF(F129=1,INDEX(in_ori_dd_20,1,C129),INDEX(in_ori_dd_40,1,C129))+INDEX(in_ori_loading_egp,1,C129)/I129))</f>
        <v>882.378949549363</v>
      </c>
      <c r="AQ129" s="88" t="n">
        <f aca="false">(INDEX(in_ori_clearance,1,C129)+INDEX(in_ori_coo,1,C129))/I129+INDEX(in_ori_bl_fee,1,C129)+INDEX(in_ori_fwd_fee,1,C129)+INDEX(in_ori_qc,1,C129)+INDEX(in_ori_wires,1,C129)*INDEX(in_ori_wire_fee,1,C129)</f>
        <v>1167.90842225215</v>
      </c>
      <c r="AR129" s="88" t="n">
        <f aca="false">AP129+AQ129</f>
        <v>2050.28737180151</v>
      </c>
      <c r="AS129" s="85" t="n">
        <f aca="false">INDEX(tbl_port_diff,H129,C129)</f>
        <v>200</v>
      </c>
      <c r="AT129" s="88" t="n">
        <f aca="false">IF(F129=4,MAX(AF129*INDEX(in_oce_lcl_factor,1,C129),AG129/1000,1)*INDEX(in_oce_lcl_rate,1,C129)*M129,G129*(INDEX(tbl_ocean_rate,MIN(F129,3),C129)+AS129)*M129)</f>
        <v>5200</v>
      </c>
      <c r="AU129" s="88" t="n">
        <f aca="false">AT129+INDEX(in_oce_ams,1,C129)</f>
        <v>5245</v>
      </c>
      <c r="AV129" s="88" t="n">
        <f aca="false">AI129*(1+IF(K129=3,INDEX(in_sup_vat_rate,1,C129),0))+AO129*Y129/AB129</f>
        <v>14210.1259712007</v>
      </c>
      <c r="AW129" s="88" t="n">
        <f aca="false">AJ129*(1+IF(K129=3,INDEX(in_sup_vat_rate,1,C129),0))+AO129*Z129/AB129</f>
        <v>0</v>
      </c>
      <c r="AX129" s="88" t="n">
        <f aca="false">AK129*(1+IF(K129=3,INDEX(in_sup_vat_rate,1,C129),0))+AO129*AA129/AB129</f>
        <v>0</v>
      </c>
      <c r="AY129" s="88" t="n">
        <f aca="false">AV129+AW129+AX129</f>
        <v>14210.1259712007</v>
      </c>
      <c r="AZ129" s="88" t="n">
        <f aca="false">MAX(INDEX(in_oce_ins_min,1,C129),INDEX(in_oce_ins_rate,1,C129)*(1+INDEX(in_oce_ins_uplift,1,C129))*(AL129+AO129+AR129+AU129))*(1-INDEX(in_oce_ins_in_other,1,C129))</f>
        <v>100</v>
      </c>
      <c r="BA129" s="87" t="n">
        <f aca="false">INDEX(in_cus_mfn,1,C129)+L129</f>
        <v>0.125</v>
      </c>
      <c r="BB129" s="88" t="n">
        <f aca="false">AY129*BA129</f>
        <v>1776.26574640008</v>
      </c>
      <c r="BC129" s="88" t="n">
        <f aca="false">MIN(MAX(AY129*INDEX(in_cus_mpf_rate,1,C129),INDEX(in_cus_mpf_min,1,C129)),INDEX(in_cus_mpf_max,1,C129))</f>
        <v>49.2238763642391</v>
      </c>
      <c r="BD129" s="88" t="n">
        <f aca="false">AY129*INDEX(in_cus_hmf,1,C129)</f>
        <v>17.7626574640008</v>
      </c>
      <c r="BE129" s="88" t="n">
        <f aca="false">MAX(INDEX(in_cus_stb_min,1,C129),INDEX(in_cus_stb_rate,1,C129)/1000*(AY129+BB129+BC129+BD129))</f>
        <v>112.373647760003</v>
      </c>
      <c r="BF129" s="88" t="n">
        <f aca="false">INDEX(in_cus_broker,1,C129)+INDEX(in_cus_isf,1,C129)+INDEX(in_cus_do_fee,1,C129)+BE129+INDEX(in_cus_isf_bond,1,C129)</f>
        <v>737.373647760003</v>
      </c>
      <c r="BG129" s="88" t="n">
        <f aca="false">IF(H129=1,INDEX(in_cus_cfc,1,C129)*INDEX(ct_teu,F129)*G129*(1-INDEX(in_cus_cfc_in_freight,1,C129)),0)</f>
        <v>0</v>
      </c>
      <c r="BH129" s="88" t="n">
        <f aca="false">IF(F129=4,1,G129)*(INDEX(in_cus_exam,1,C129)+INDEX(in_cus_exam_dray,1,C129))</f>
        <v>600</v>
      </c>
      <c r="BI129" s="88" t="n">
        <f aca="false">IF(F129=4,1,G129)*INDEX(in_cus_dem_days,1,C129)*INDEX(in_cus_dem_rate,1,C129)</f>
        <v>750</v>
      </c>
      <c r="BJ129" s="88" t="n">
        <f aca="false">BG129+BH129+BI129</f>
        <v>1350</v>
      </c>
      <c r="BK129" s="88" t="n">
        <f aca="false">IF(F129=4,(INDEX(in_dra_lcl_cfs_d,1,C129)+INDEX(in_dra_lcl_deliv,1,C129))*P129,G129*(INDEX(tbl_dest_line,E129,C129)*P129*(1+INDEX(in_dra_fsc,1,C129))+INDEX(tbl_dest_tolls,E129,C129)+INDEX(in_dra_chassis_days,1,C129)*INDEX(tbl_dest_chassis,E129,C129)*(1-INDEX(in_dra_chassis_in_dray,1,C129))+INDEX(in_dra_wait_hours,1,C129)*INDEX(in_dra_wait_rate,1,C129)+INDEX(in_dra_split,1,C129)+INDEX(in_dra_prepull,1,C129)+INDEX(in_dra_dryrun,1,C129)))</f>
        <v>3465</v>
      </c>
      <c r="BL129" s="88" t="n">
        <f aca="false">IF(F129=4,0,G129*IF(F129=1,INDEX(in_dra_unload_20,1,C129),INDEX(in_dra_unload_40,1,C129))*Q129*(1-INDEX(in_dra_unload_in_dray,1,C129)))</f>
        <v>650</v>
      </c>
      <c r="BM129" s="88" t="n">
        <f aca="false">AL129+AN129+AO129+AR129+AU129+AZ129+BB129+BC129+BD129+BF129+BJ129+BK129+BL129</f>
        <v>29651.0392709905</v>
      </c>
      <c r="BN129" s="88" t="n">
        <f aca="false">AP129+AU129+BJ129+BK129+BL129</f>
        <v>11592.3789495494</v>
      </c>
      <c r="BO129" s="88" t="n">
        <f aca="false">AQ129+BF129</f>
        <v>1905.28207001215</v>
      </c>
      <c r="BP129" s="88" t="n">
        <f aca="false">AI129*(1+IF(K129=3,INDEX(in_sup_vat_rate,1,C129),0))+AO129*Y129/AB129+AV129*BA129+(BC129+BD129)*AV129/AY129+AZ129*AI129/AL129+BN129*AC129/AF129+BO129*Y129/AB129</f>
        <v>29651.0392709905</v>
      </c>
      <c r="BQ129" s="88" t="n">
        <f aca="false">AJ129*(1+IF(K129=3,INDEX(in_sup_vat_rate,1,C129),0))+AO129*Z129/AB129+AW129*BA129+(BC129+BD129)*AW129/AY129+AZ129*AJ129/AL129+BN129*AD129/AF129+BO129*Z129/AB129</f>
        <v>0</v>
      </c>
      <c r="BR129" s="88" t="n">
        <f aca="false">AK129*(1+IF(K129=3,INDEX(in_sup_vat_rate,1,C129),0))+AO129*AA129/AB129+AX129*BA129+(BC129+BD129)*AX129/AY129+AZ129*AK129/AL129+BN129*AE129/AF129+BO129*AA129/AB129</f>
        <v>0</v>
      </c>
      <c r="BS129" s="89" t="n">
        <f aca="false">BP129+BQ129+BR129-BM129</f>
        <v>0</v>
      </c>
      <c r="BT129" s="85" t="n">
        <f aca="false">Y129*(1-R129)</f>
        <v>60480</v>
      </c>
      <c r="BU129" s="85" t="n">
        <f aca="false">Z129*(1-R129)</f>
        <v>0</v>
      </c>
      <c r="BV129" s="85" t="n">
        <f aca="false">AA129*(1-R129)</f>
        <v>0</v>
      </c>
      <c r="BW129" s="85" t="n">
        <f aca="false">BT129+BU129+BV129</f>
        <v>60480</v>
      </c>
      <c r="BX129" s="90" t="n">
        <f aca="false">IF(BT129&gt;0,BP129/BT129,0)</f>
        <v>0.490261892708176</v>
      </c>
      <c r="BY129" s="90" t="n">
        <f aca="false">IF(BU129&gt;0,BQ129/BU129,0)</f>
        <v>0</v>
      </c>
      <c r="BZ129" s="90" t="n">
        <f aca="false">IF(BV129&gt;0,BR129/BV129,0)</f>
        <v>0</v>
      </c>
      <c r="CA129" s="90" t="n">
        <f aca="false">INDEX(in_mkt_listing_3464,1,C129)*(1-IF(sku_flute_3464="B",T129,0))*(1-S129)*N129</f>
        <v>0.1995</v>
      </c>
      <c r="CB129" s="90" t="n">
        <f aca="false">INDEX(in_mkt_listing_3463,1,C129)*(1-IF(sku_flute_3463="B",T129,0))*(1-S129)*N129</f>
        <v>0.23625</v>
      </c>
      <c r="CC129" s="90" t="n">
        <f aca="false">INDEX(in_mkt_listing_3460,1,C129)*(1-IF(sku_flute_3460="B",T129,0))*(1-S129)*N129</f>
        <v>0.21</v>
      </c>
      <c r="CD129" s="88" t="n">
        <f aca="false">BT129*CA129+BU129*CB129+BV129*CC129</f>
        <v>12065.76</v>
      </c>
      <c r="CE129" s="88" t="n">
        <f aca="false">CD129-BM129</f>
        <v>-17585.2792709905</v>
      </c>
      <c r="CF129" s="87" t="n">
        <f aca="false">IF(CD129&gt;0,CE129/CD129,0)</f>
        <v>-1.45745309628159</v>
      </c>
      <c r="CG129" s="87" t="n">
        <f aca="false">W129+INDEX(in_sel_processing,1,C129)+INDEX(in_sel_bad_debt,1,C129)</f>
        <v>0.095</v>
      </c>
      <c r="CH129" s="88" t="n">
        <f aca="false">CD129*CG129</f>
        <v>1146.2472</v>
      </c>
      <c r="CI129" s="88" t="n">
        <f aca="false">INDEX(in_sel_testing,1,C129)*X129+INDEX(in_sel_admin,1,C129)</f>
        <v>4750</v>
      </c>
      <c r="CJ129" s="79" t="n">
        <f aca="false">INDEX(in_sup_lead_days,1,C129)</f>
        <v>35</v>
      </c>
      <c r="CK129" s="79" t="n">
        <f aca="false">CJ129+INDEX(in_oce_transit,1,C129)+IF(F129=4,INDEX(in_oce_lcl_extra_days,1,C129),0)</f>
        <v>73</v>
      </c>
      <c r="CL129" s="79" t="n">
        <f aca="false">CK129+2+INDEX(in_cus_dem_days,1,C129)</f>
        <v>78</v>
      </c>
      <c r="CM129" s="79" t="n">
        <f aca="false">CL129+U129</f>
        <v>138</v>
      </c>
      <c r="CN129" s="79" t="n">
        <f aca="false">CJ129+INDEX(in_sup_vat_lag,1,C129)</f>
        <v>215</v>
      </c>
      <c r="CO129" s="91" t="n">
        <f aca="false">INDEX(in_sup_advance,1,C129)</f>
        <v>0.5</v>
      </c>
      <c r="CP129" s="88" t="n">
        <f aca="false">CO129*(AL129+AM129)+AO129+INDEX(in_sel_testing,1,C129)*X129</f>
        <v>11364.0498290687</v>
      </c>
      <c r="CQ129" s="88" t="n">
        <f aca="false">(1-CO129)*(AL129+AM129)+AR129+AU129+AZ129</f>
        <v>14241.3635139335</v>
      </c>
      <c r="CR129" s="88" t="n">
        <f aca="false">BB129+BC129+BD129+BF129+BJ129</f>
        <v>3930.62592798833</v>
      </c>
      <c r="CS129" s="88" t="n">
        <f aca="false">BK129+BL129</f>
        <v>4115</v>
      </c>
      <c r="CT129" s="88" t="n">
        <f aca="false">IF(K129=2,AM129,0)</f>
        <v>0</v>
      </c>
      <c r="CU129" s="85" t="n">
        <f aca="false">IF(K129=2,CO129*AM129*(CN129-0)+(1-CO129)*AM129*(CN129-CJ129),0)</f>
        <v>0</v>
      </c>
      <c r="CV129" s="85" t="n">
        <f aca="false">(CP129-CO129*CT129)*(CM129-0)+(CQ129-(1-CO129)*CT129)*(CM129-CJ129)+CR129*(CM129-CK129)+CS129*(CM129-CL129)</f>
        <v>3537490.00366587</v>
      </c>
      <c r="CW129" s="88" t="n">
        <f aca="false">INDEX(in_sel_fin_rate,1,C129)/365*(CU129+CV129)</f>
        <v>1356.84548085814</v>
      </c>
      <c r="CX129" s="85" t="n">
        <f aca="false">CP129-IF(CN129&lt;=0,CT129,0)</f>
        <v>11364.0498290687</v>
      </c>
      <c r="CY129" s="85" t="n">
        <f aca="false">CP129+CQ129-IF(CN129&lt;=CJ129,CT129,0)</f>
        <v>25605.4133430022</v>
      </c>
      <c r="CZ129" s="85" t="n">
        <f aca="false">CP129+CQ129+CR129-IF(CN129&lt;=CK129,CT129,0)</f>
        <v>29536.0392709905</v>
      </c>
      <c r="DA129" s="85" t="n">
        <f aca="false">CP129+CQ129+CR129+CS129-IF(CN129&lt;=CL129,CT129,0)</f>
        <v>33651.0392709905</v>
      </c>
      <c r="DB129" s="88" t="n">
        <f aca="false">MAX(CX129,CY129,CZ129,DA129)</f>
        <v>33651.0392709905</v>
      </c>
      <c r="DC129" s="88" t="n">
        <f aca="false">CP129+CQ129+CR129+CS129</f>
        <v>33651.0392709905</v>
      </c>
      <c r="DD129" s="88" t="n">
        <f aca="false">CE129-CH129-CI129-CW129</f>
        <v>-24838.3719518486</v>
      </c>
      <c r="DE129" s="87" t="n">
        <f aca="false">IF(CD129&gt;0,DD129/CD129,0)</f>
        <v>-2.05858329287576</v>
      </c>
      <c r="DF129" s="86" t="n">
        <f aca="false">IF(CD129&gt;0,(BM129+CI129+CW129)/(CD129*(1-CG129)),0)</f>
        <v>3.27467767168592</v>
      </c>
      <c r="DG129" s="90" t="n">
        <f aca="false">IF(BW129&gt;0,BM129/BW129,0)</f>
        <v>0.490261892708176</v>
      </c>
      <c r="DH129" s="90" t="n">
        <f aca="false">IF(BW129&gt;0,CD129/BW129,0)</f>
        <v>0.1995</v>
      </c>
      <c r="DI129" s="90" t="n">
        <f aca="false">IF(AI129&gt;0,(AI129*IF(K129=3,INDEX(in_sup_vat_rate,1,C129),0)+AV129*BA129+(BC129+BD129)*AV129/AY129+AZ129*AI129/AL129)/AI129,0)</f>
        <v>0.301793964416119</v>
      </c>
      <c r="DJ129" s="90" t="n">
        <f aca="false">IF(AJ129&gt;0,(AJ129*IF(K129=3,INDEX(in_sup_vat_rate,1,C129),0)+AW129*BA129+(BC129+BD129)*AW129/AY129+AZ129*AJ129/AL129)/AJ129,0)</f>
        <v>0</v>
      </c>
      <c r="DK129" s="90" t="n">
        <f aca="false">IF(AK129&gt;0,(AK129*IF(K129=3,INDEX(in_sup_vat_rate,1,C129),0)+AX129*BA129+(BC129+BD129)*AX129/AY129+AZ129*AK129/AL129)/AK129,0)</f>
        <v>0</v>
      </c>
      <c r="DL129" s="90" t="n">
        <f aca="false">IF(Y129&gt;0,(BP129-AI129*(1+DI129))/Y129,0)</f>
        <v>0.222470392166638</v>
      </c>
      <c r="DM129" s="90" t="n">
        <f aca="false">IF(Z129&gt;0,(BQ129-AJ129*(1+DJ129))/Z129,0)</f>
        <v>0</v>
      </c>
      <c r="DN129" s="90" t="n">
        <f aca="false">IF(AA129&gt;0,(BR129-AK129*(1+DK129))/AA129,0)</f>
        <v>0</v>
      </c>
      <c r="DO129" s="86" t="n">
        <f aca="false">IF(Y129&gt;0,(CA129*(1-thr_gm_go)*(1-R129)-DL129)/(1+DI129)*I129/((1+AH129)*J129),"")</f>
        <v>-2.65699696790715</v>
      </c>
      <c r="DP129" s="86" t="str">
        <f aca="false">IF(Z129&gt;0,(CB129*(1-thr_gm_go)*(1-R129)-DM129)/(1+DJ129)*I129/((1+AH129)*J129),"")</f>
        <v/>
      </c>
      <c r="DQ129" s="86" t="str">
        <f aca="false">IF(AA129&gt;0,(CC129*(1-thr_gm_go)*(1-R129)-DN129)/(1+DK129)*I129/((1+AH129)*J129),"")</f>
        <v/>
      </c>
      <c r="DR129" s="92" t="n">
        <f aca="false">IF(AND(AY129*INDEX(in_cus_mpf_rate,1,C129)&gt;INDEX(in_cus_mpf_min,1,C129),AY129*INDEX(in_cus_mpf_rate,1,C129)&lt;INDEX(in_cus_mpf_max,1,C129)),INDEX(in_cus_mpf_rate,1,C129),0)</f>
        <v>0.003464</v>
      </c>
      <c r="DS129" s="88" t="n">
        <f aca="false">IF(AZ129&gt;INDEX(in_oce_ins_min,1,C129),INDEX(in_oce_ins_rate,1,C129)*(1+INDEX(in_oce_ins_uplift,1,C129))*AL129,0)</f>
        <v>0</v>
      </c>
      <c r="DT129" s="88" t="n">
        <f aca="false">(AL129+AN129)*(1+BA129+INDEX(in_cus_hmf,1,C129)+DR129)+DS129</f>
        <v>15468.216125665</v>
      </c>
      <c r="DU129" s="86" t="n">
        <f aca="false">IF(DT129&gt;0,(CD129*(1-thr_gm_go)-(BM129-DT129))/DT129,0)</f>
        <v>-0.331874283603265</v>
      </c>
      <c r="DV129" s="86" t="n">
        <f aca="false">IF(DT129&gt;0,(CD129-(BM129-DT129))/DT129,0)</f>
        <v>-0.136865371425273</v>
      </c>
      <c r="DW129" s="87" t="n">
        <f aca="false">(1+AH129)*J129*DU129-1</f>
        <v>-1.36506171196359</v>
      </c>
      <c r="DX129" s="87" t="n">
        <f aca="false">(1+AH129)*J129*DV129-1</f>
        <v>-1.1505519085678</v>
      </c>
      <c r="DY129" s="85" t="n">
        <f aca="false">IF(G129&gt;0,(CD129*(1-thr_gm_go)-(BM129-AT129))/G129,"")</f>
        <v>-15401.7192709905</v>
      </c>
      <c r="DZ129" s="90" t="n">
        <f aca="false">IF(AB129&gt;0,(AL129+AN129+BB129+BC129+BD129)/AB129,0)</f>
        <v>0.246593723245909</v>
      </c>
      <c r="EA129" s="88" t="n">
        <f aca="false">BM129-DZ129*AB129</f>
        <v>14115.6347064982</v>
      </c>
      <c r="EB129" s="90" t="n">
        <f aca="false">IF(AB129&gt;0,CD129/AB129,0)</f>
        <v>0.19152</v>
      </c>
      <c r="EC129" s="85" t="str">
        <f aca="false">IF(EB129*(1-thr_gm_go)-DZ129&gt;0,EA129/(EB129*(1-thr_gm_go)-DZ129),"n/a")</f>
        <v>n/a</v>
      </c>
      <c r="ED129" s="85" t="str">
        <f aca="false">IF(EB129-DZ129&gt;0,EA129/(EB129-DZ129),"n/a")</f>
        <v>n/a</v>
      </c>
      <c r="EE129" s="93" t="b">
        <f aca="false">INDEX(cfg_fits,D129,C129)</f>
        <v>1</v>
      </c>
      <c r="EF129" s="87" t="n">
        <f aca="false">IF(F129=4,"",INDEX(cfg_lenutil,D129,C129))</f>
        <v>0.991198658843252</v>
      </c>
      <c r="EG129" s="31" t="str">
        <f aca="false">IF(O129&gt;1,"Check fit (units scaled up)","")</f>
        <v/>
      </c>
    </row>
    <row r="130" customFormat="false" ht="15" hidden="false" customHeight="false" outlineLevel="0" collapsed="false">
      <c r="A130" s="78" t="n">
        <v>3061</v>
      </c>
      <c r="B130" s="9" t="s">
        <v>3278</v>
      </c>
      <c r="C130" s="78" t="n">
        <v>3</v>
      </c>
      <c r="D130" s="78" t="n">
        <v>6</v>
      </c>
      <c r="E130" s="78" t="n">
        <v>1</v>
      </c>
      <c r="F130" s="79" t="n">
        <f aca="false">INDEX(cfg_ct,D130)</f>
        <v>3</v>
      </c>
      <c r="G130" s="79" t="n">
        <f aca="false">INDEX(cfg_n,D130)</f>
        <v>1</v>
      </c>
      <c r="H130" s="79" t="n">
        <f aca="false">INDEX(dest_port,E130)</f>
        <v>1</v>
      </c>
      <c r="I130" s="80" t="n">
        <f aca="false">INDEX(in_fx_cbe,1,C130)*(1-INDEX(in_fx_spread,1,C130))</f>
        <v>48.265</v>
      </c>
      <c r="J130" s="81" t="n">
        <f aca="false">1</f>
        <v>1</v>
      </c>
      <c r="K130" s="82" t="n">
        <f aca="false">INDEX(in_sup_vat_mode,1,C130)</f>
        <v>3</v>
      </c>
      <c r="L130" s="83" t="n">
        <f aca="false">INDEX(in_cus_s301,1,C130)</f>
        <v>0.125</v>
      </c>
      <c r="M130" s="84" t="n">
        <f aca="false">1</f>
        <v>1</v>
      </c>
      <c r="N130" s="81" t="n">
        <f aca="false">1</f>
        <v>1</v>
      </c>
      <c r="O130" s="81" t="n">
        <f aca="false">1</f>
        <v>1</v>
      </c>
      <c r="P130" s="81" t="n">
        <f aca="false">1</f>
        <v>1</v>
      </c>
      <c r="Q130" s="81" t="n">
        <f aca="false">1</f>
        <v>1</v>
      </c>
      <c r="R130" s="83" t="n">
        <f aca="false">INDEX(in_sel_damage,1,C130)</f>
        <v>0.04</v>
      </c>
      <c r="S130" s="83" t="n">
        <f aca="false">INDEX(in_mkt_dist_margin,1,C130)</f>
        <v>0.3</v>
      </c>
      <c r="T130" s="83" t="n">
        <f aca="false">INDEX(in_mkt_eflute_disc,1,C130)</f>
        <v>0.25</v>
      </c>
      <c r="U130" s="82" t="n">
        <f aca="false">INDEX(in_sel_credit_days,1,C130)</f>
        <v>60</v>
      </c>
      <c r="V130" s="81" t="n">
        <f aca="false">1</f>
        <v>1</v>
      </c>
      <c r="W130" s="83" t="n">
        <f aca="false">INDEX(in_sel_commission,1,C130)</f>
        <v>0.07</v>
      </c>
      <c r="X130" s="82" t="n">
        <f aca="false">1</f>
        <v>1</v>
      </c>
      <c r="Y130" s="85" t="n">
        <f aca="false">INDEX(cfg_u_3464,D130,C130)*O130</f>
        <v>0</v>
      </c>
      <c r="Z130" s="85" t="n">
        <f aca="false">INDEX(cfg_u_3463,D130,C130)*O130</f>
        <v>55400</v>
      </c>
      <c r="AA130" s="85" t="n">
        <f aca="false">INDEX(cfg_u_3460,D130,C130)*O130</f>
        <v>0</v>
      </c>
      <c r="AB130" s="85" t="n">
        <f aca="false">Y130+Z130+AA130</f>
        <v>55400</v>
      </c>
      <c r="AC130" s="86" t="n">
        <f aca="false">Y130*INDEX(lg_vpu_3464,C130)</f>
        <v>0</v>
      </c>
      <c r="AD130" s="86" t="n">
        <f aca="false">Z130*INDEX(lg_vpu_3463,C130)</f>
        <v>54.2397024</v>
      </c>
      <c r="AE130" s="86" t="n">
        <f aca="false">AA130*INDEX(lg_vpu_3460,C130)</f>
        <v>0</v>
      </c>
      <c r="AF130" s="86" t="n">
        <f aca="false">AC130+AD130+AE130</f>
        <v>54.2397024</v>
      </c>
      <c r="AG130" s="85" t="n">
        <f aca="false">Y130*INDEX(lg_kpu_3464,C130)+Z130*INDEX(lg_kpu_3463,C130)+AA130*INDEX(lg_kpu_3460,C130)</f>
        <v>13227.0274432</v>
      </c>
      <c r="AH130" s="87" t="n">
        <f aca="false">INDEX(in_sup_requote,1,C130)</f>
        <v>0.1</v>
      </c>
      <c r="AI130" s="88" t="n">
        <f aca="false">Y130*q_price_3464*(1+AH130)*J130/I130</f>
        <v>0</v>
      </c>
      <c r="AJ130" s="88" t="n">
        <f aca="false">Z130*q_price_3463*(1+AH130)*J130/I130</f>
        <v>9974.64000828758</v>
      </c>
      <c r="AK130" s="88" t="n">
        <f aca="false">AA130*q_price_3460*(1+AH130)*J130/I130</f>
        <v>0</v>
      </c>
      <c r="AL130" s="88" t="n">
        <f aca="false">AI130+AJ130+AK130</f>
        <v>9974.64000828758</v>
      </c>
      <c r="AM130" s="88" t="n">
        <f aca="false">IF(OR(K130=2,K130=3),AL130*INDEX(in_sup_vat_rate,1,C130),0)</f>
        <v>1396.44960116026</v>
      </c>
      <c r="AN130" s="88" t="n">
        <f aca="false">IF(K130=3,AM130,0)</f>
        <v>1396.44960116026</v>
      </c>
      <c r="AO130" s="88" t="n">
        <f aca="false">INDEX(in_sup_tooling_egp,1,C130)/I130</f>
        <v>517.973686936704</v>
      </c>
      <c r="AP130" s="88" t="n">
        <f aca="false">IF(F130=4,INDEX(in_ori_lcl_truck,1,C130)*V130/I130+INDEX(in_ori_lcl_cfs_o,1,C130),G130*(IF(F130=1,INDEX(in_ori_truck_20,1,C130),INDEX(in_ori_truck_40,1,C130))*V130/I130+INDEX(in_ori_terminal,1,C130)+IF(F130=1,INDEX(in_ori_othc_20,1,C130),INDEX(in_ori_othc_40,1,C130))*(1-INDEX(in_ori_othc_in_freight,1,C130))+INDEX(in_ori_seal,1,C130)+INDEX(in_ori_inspection,1,C130)+INDEX(in_ori_dd_days,1,C130)*IF(F130=1,INDEX(in_ori_dd_20,1,C130),INDEX(in_ori_dd_40,1,C130))+INDEX(in_ori_loading_egp,1,C130)/I130))</f>
        <v>882.378949549363</v>
      </c>
      <c r="AQ130" s="88" t="n">
        <f aca="false">(INDEX(in_ori_clearance,1,C130)+INDEX(in_ori_coo,1,C130))/I130+INDEX(in_ori_bl_fee,1,C130)+INDEX(in_ori_fwd_fee,1,C130)+INDEX(in_ori_qc,1,C130)+INDEX(in_ori_wires,1,C130)*INDEX(in_ori_wire_fee,1,C130)</f>
        <v>1167.90842225215</v>
      </c>
      <c r="AR130" s="88" t="n">
        <f aca="false">AP130+AQ130</f>
        <v>2050.28737180151</v>
      </c>
      <c r="AS130" s="85" t="n">
        <f aca="false">INDEX(tbl_port_diff,H130,C130)</f>
        <v>0</v>
      </c>
      <c r="AT130" s="88" t="n">
        <f aca="false">IF(F130=4,MAX(AF130*INDEX(in_oce_lcl_factor,1,C130),AG130/1000,1)*INDEX(in_oce_lcl_rate,1,C130)*M130,G130*(INDEX(tbl_ocean_rate,MIN(F130,3),C130)+AS130)*M130)</f>
        <v>5000</v>
      </c>
      <c r="AU130" s="88" t="n">
        <f aca="false">AT130+INDEX(in_oce_ams,1,C130)</f>
        <v>5045</v>
      </c>
      <c r="AV130" s="88" t="n">
        <f aca="false">AI130*(1+IF(K130=3,INDEX(in_sup_vat_rate,1,C130),0))+AO130*Y130/AB130</f>
        <v>0</v>
      </c>
      <c r="AW130" s="88" t="n">
        <f aca="false">AJ130*(1+IF(K130=3,INDEX(in_sup_vat_rate,1,C130),0))+AO130*Z130/AB130</f>
        <v>11889.0632963845</v>
      </c>
      <c r="AX130" s="88" t="n">
        <f aca="false">AK130*(1+IF(K130=3,INDEX(in_sup_vat_rate,1,C130),0))+AO130*AA130/AB130</f>
        <v>0</v>
      </c>
      <c r="AY130" s="88" t="n">
        <f aca="false">AV130+AW130+AX130</f>
        <v>11889.0632963845</v>
      </c>
      <c r="AZ130" s="88" t="n">
        <f aca="false">MAX(INDEX(in_oce_ins_min,1,C130),INDEX(in_oce_ins_rate,1,C130)*(1+INDEX(in_oce_ins_uplift,1,C130))*(AL130+AO130+AR130+AU130))*(1-INDEX(in_oce_ins_in_other,1,C130))</f>
        <v>100</v>
      </c>
      <c r="BA130" s="87" t="n">
        <f aca="false">INDEX(in_cus_mfn,1,C130)+L130</f>
        <v>0.125</v>
      </c>
      <c r="BB130" s="88" t="n">
        <f aca="false">AY130*BA130</f>
        <v>1486.13291204807</v>
      </c>
      <c r="BC130" s="88" t="n">
        <f aca="false">MIN(MAX(AY130*INDEX(in_cus_mpf_rate,1,C130),INDEX(in_cus_mpf_min,1,C130)),INDEX(in_cus_mpf_max,1,C130))</f>
        <v>41.1837152586761</v>
      </c>
      <c r="BD130" s="88" t="n">
        <f aca="false">AY130*INDEX(in_cus_hmf,1,C130)</f>
        <v>14.8613291204807</v>
      </c>
      <c r="BE130" s="88" t="n">
        <f aca="false">MAX(INDEX(in_cus_stb_min,1,C130),INDEX(in_cus_stb_rate,1,C130)/1000*(AY130+BB130+BC130+BD130))</f>
        <v>94.0186887696824</v>
      </c>
      <c r="BF130" s="88" t="n">
        <f aca="false">INDEX(in_cus_broker,1,C130)+INDEX(in_cus_isf,1,C130)+INDEX(in_cus_do_fee,1,C130)+BE130+INDEX(in_cus_isf_bond,1,C130)</f>
        <v>719.018688769682</v>
      </c>
      <c r="BG130" s="88" t="n">
        <f aca="false">IF(H130=1,INDEX(in_cus_cfc,1,C130)*INDEX(ct_teu,F130)*G130*(1-INDEX(in_cus_cfc_in_freight,1,C130)),0)</f>
        <v>29.6</v>
      </c>
      <c r="BH130" s="88" t="n">
        <f aca="false">IF(F130=4,1,G130)*(INDEX(in_cus_exam,1,C130)+INDEX(in_cus_exam_dray,1,C130))</f>
        <v>600</v>
      </c>
      <c r="BI130" s="88" t="n">
        <f aca="false">IF(F130=4,1,G130)*INDEX(in_cus_dem_days,1,C130)*INDEX(in_cus_dem_rate,1,C130)</f>
        <v>750</v>
      </c>
      <c r="BJ130" s="88" t="n">
        <f aca="false">BG130+BH130+BI130</f>
        <v>1379.6</v>
      </c>
      <c r="BK130" s="88" t="n">
        <f aca="false">IF(F130=4,(INDEX(in_dra_lcl_cfs_d,1,C130)+INDEX(in_dra_lcl_deliv,1,C130))*P130,G130*(INDEX(tbl_dest_line,E130,C130)*P130*(1+INDEX(in_dra_fsc,1,C130))+INDEX(tbl_dest_tolls,E130,C130)+INDEX(in_dra_chassis_days,1,C130)*INDEX(tbl_dest_chassis,E130,C130)*(1-INDEX(in_dra_chassis_in_dray,1,C130))+INDEX(in_dra_wait_hours,1,C130)*INDEX(in_dra_wait_rate,1,C130)+INDEX(in_dra_split,1,C130)+INDEX(in_dra_prepull,1,C130)+INDEX(in_dra_dryrun,1,C130)))</f>
        <v>2280</v>
      </c>
      <c r="BL130" s="88" t="n">
        <f aca="false">IF(F130=4,0,G130*IF(F130=1,INDEX(in_dra_unload_20,1,C130),INDEX(in_dra_unload_40,1,C130))*Q130*(1-INDEX(in_dra_unload_in_dray,1,C130)))</f>
        <v>650</v>
      </c>
      <c r="BM130" s="88" t="n">
        <f aca="false">AL130+AN130+AO130+AR130+AU130+AZ130+BB130+BC130+BD130+BF130+BJ130+BK130+BL130</f>
        <v>25655.147313383</v>
      </c>
      <c r="BN130" s="88" t="n">
        <f aca="false">AP130+AU130+BJ130+BK130+BL130</f>
        <v>10236.9789495494</v>
      </c>
      <c r="BO130" s="88" t="n">
        <f aca="false">AQ130+BF130</f>
        <v>1886.92711102183</v>
      </c>
      <c r="BP130" s="88" t="n">
        <f aca="false">AI130*(1+IF(K130=3,INDEX(in_sup_vat_rate,1,C130),0))+AO130*Y130/AB130+AV130*BA130+(BC130+BD130)*AV130/AY130+AZ130*AI130/AL130+BN130*AC130/AF130+BO130*Y130/AB130</f>
        <v>0</v>
      </c>
      <c r="BQ130" s="88" t="n">
        <f aca="false">AJ130*(1+IF(K130=3,INDEX(in_sup_vat_rate,1,C130),0))+AO130*Z130/AB130+AW130*BA130+(BC130+BD130)*AW130/AY130+AZ130*AJ130/AL130+BN130*AD130/AF130+BO130*Z130/AB130</f>
        <v>25655.147313383</v>
      </c>
      <c r="BR130" s="88" t="n">
        <f aca="false">AK130*(1+IF(K130=3,INDEX(in_sup_vat_rate,1,C130),0))+AO130*AA130/AB130+AX130*BA130+(BC130+BD130)*AX130/AY130+AZ130*AK130/AL130+BN130*AE130/AF130+BO130*AA130/AB130</f>
        <v>0</v>
      </c>
      <c r="BS130" s="89" t="n">
        <f aca="false">BP130+BQ130+BR130-BM130</f>
        <v>0</v>
      </c>
      <c r="BT130" s="85" t="n">
        <f aca="false">Y130*(1-R130)</f>
        <v>0</v>
      </c>
      <c r="BU130" s="85" t="n">
        <f aca="false">Z130*(1-R130)</f>
        <v>53184</v>
      </c>
      <c r="BV130" s="85" t="n">
        <f aca="false">AA130*(1-R130)</f>
        <v>0</v>
      </c>
      <c r="BW130" s="85" t="n">
        <f aca="false">BT130+BU130+BV130</f>
        <v>53184</v>
      </c>
      <c r="BX130" s="90" t="n">
        <f aca="false">IF(BT130&gt;0,BP130/BT130,0)</f>
        <v>0</v>
      </c>
      <c r="BY130" s="90" t="n">
        <f aca="false">IF(BU130&gt;0,BQ130/BU130,0)</f>
        <v>0.482384689255847</v>
      </c>
      <c r="BZ130" s="90" t="n">
        <f aca="false">IF(BV130&gt;0,BR130/BV130,0)</f>
        <v>0</v>
      </c>
      <c r="CA130" s="90" t="n">
        <f aca="false">INDEX(in_mkt_listing_3464,1,C130)*(1-IF(sku_flute_3464="B",T130,0))*(1-S130)*N130</f>
        <v>0.1995</v>
      </c>
      <c r="CB130" s="90" t="n">
        <f aca="false">INDEX(in_mkt_listing_3463,1,C130)*(1-IF(sku_flute_3463="B",T130,0))*(1-S130)*N130</f>
        <v>0.23625</v>
      </c>
      <c r="CC130" s="90" t="n">
        <f aca="false">INDEX(in_mkt_listing_3460,1,C130)*(1-IF(sku_flute_3460="B",T130,0))*(1-S130)*N130</f>
        <v>0.21</v>
      </c>
      <c r="CD130" s="88" t="n">
        <f aca="false">BT130*CA130+BU130*CB130+BV130*CC130</f>
        <v>12564.72</v>
      </c>
      <c r="CE130" s="88" t="n">
        <f aca="false">CD130-BM130</f>
        <v>-13090.427313383</v>
      </c>
      <c r="CF130" s="87" t="n">
        <f aca="false">IF(CD130&gt;0,CE130/CD130,0)</f>
        <v>-1.0418399545221</v>
      </c>
      <c r="CG130" s="87" t="n">
        <f aca="false">W130+INDEX(in_sel_processing,1,C130)+INDEX(in_sel_bad_debt,1,C130)</f>
        <v>0.095</v>
      </c>
      <c r="CH130" s="88" t="n">
        <f aca="false">CD130*CG130</f>
        <v>1193.6484</v>
      </c>
      <c r="CI130" s="88" t="n">
        <f aca="false">INDEX(in_sel_testing,1,C130)*X130+INDEX(in_sel_admin,1,C130)</f>
        <v>4750</v>
      </c>
      <c r="CJ130" s="79" t="n">
        <f aca="false">INDEX(in_sup_lead_days,1,C130)</f>
        <v>35</v>
      </c>
      <c r="CK130" s="79" t="n">
        <f aca="false">CJ130+INDEX(in_oce_transit,1,C130)+IF(F130=4,INDEX(in_oce_lcl_extra_days,1,C130),0)</f>
        <v>73</v>
      </c>
      <c r="CL130" s="79" t="n">
        <f aca="false">CK130+2+INDEX(in_cus_dem_days,1,C130)</f>
        <v>78</v>
      </c>
      <c r="CM130" s="79" t="n">
        <f aca="false">CL130+U130</f>
        <v>138</v>
      </c>
      <c r="CN130" s="79" t="n">
        <f aca="false">CJ130+INDEX(in_sup_vat_lag,1,C130)</f>
        <v>215</v>
      </c>
      <c r="CO130" s="91" t="n">
        <f aca="false">INDEX(in_sup_advance,1,C130)</f>
        <v>0.5</v>
      </c>
      <c r="CP130" s="88" t="n">
        <f aca="false">CO130*(AL130+AM130)+AO130+INDEX(in_sel_testing,1,C130)*X130</f>
        <v>10203.5184916606</v>
      </c>
      <c r="CQ130" s="88" t="n">
        <f aca="false">(1-CO130)*(AL130+AM130)+AR130+AU130+AZ130</f>
        <v>12880.8321765254</v>
      </c>
      <c r="CR130" s="88" t="n">
        <f aca="false">BB130+BC130+BD130+BF130+BJ130</f>
        <v>3640.79664519691</v>
      </c>
      <c r="CS130" s="88" t="n">
        <f aca="false">BK130+BL130</f>
        <v>2930</v>
      </c>
      <c r="CT130" s="88" t="n">
        <f aca="false">IF(K130=2,AM130,0)</f>
        <v>0</v>
      </c>
      <c r="CU130" s="85" t="n">
        <f aca="false">IF(K130=2,CO130*AM130*(CN130-0)+(1-CO130)*AM130*(CN130-CJ130),0)</f>
        <v>0</v>
      </c>
      <c r="CV130" s="85" t="n">
        <f aca="false">(CP130-CO130*CT130)*(CM130-0)+(CQ130-(1-CO130)*CT130)*(CM130-CJ130)+CR130*(CM130-CK130)+CS130*(CM130-CL130)</f>
        <v>3147263.04796908</v>
      </c>
      <c r="CW130" s="88" t="n">
        <f aca="false">INDEX(in_sel_fin_rate,1,C130)/365*(CU130+CV130)</f>
        <v>1207.16938826211</v>
      </c>
      <c r="CX130" s="85" t="n">
        <f aca="false">CP130-IF(CN130&lt;=0,CT130,0)</f>
        <v>10203.5184916606</v>
      </c>
      <c r="CY130" s="85" t="n">
        <f aca="false">CP130+CQ130-IF(CN130&lt;=CJ130,CT130,0)</f>
        <v>23084.3506681861</v>
      </c>
      <c r="CZ130" s="85" t="n">
        <f aca="false">CP130+CQ130+CR130-IF(CN130&lt;=CK130,CT130,0)</f>
        <v>26725.147313383</v>
      </c>
      <c r="DA130" s="85" t="n">
        <f aca="false">CP130+CQ130+CR130+CS130-IF(CN130&lt;=CL130,CT130,0)</f>
        <v>29655.147313383</v>
      </c>
      <c r="DB130" s="88" t="n">
        <f aca="false">MAX(CX130,CY130,CZ130,DA130)</f>
        <v>29655.147313383</v>
      </c>
      <c r="DC130" s="88" t="n">
        <f aca="false">CP130+CQ130+CR130+CS130</f>
        <v>29655.147313383</v>
      </c>
      <c r="DD130" s="88" t="n">
        <f aca="false">CE130-CH130-CI130-CW130</f>
        <v>-20241.2451016451</v>
      </c>
      <c r="DE130" s="87" t="n">
        <f aca="false">IF(CD130&gt;0,DD130/CD130,0)</f>
        <v>-1.61095870832339</v>
      </c>
      <c r="DF130" s="86" t="n">
        <f aca="false">IF(CD130&gt;0,(BM130+CI130+CW130)/(CD130*(1-CG130)),0)</f>
        <v>2.78006487107557</v>
      </c>
      <c r="DG130" s="90" t="n">
        <f aca="false">IF(BW130&gt;0,BM130/BW130,0)</f>
        <v>0.482384689255847</v>
      </c>
      <c r="DH130" s="90" t="n">
        <f aca="false">IF(BW130&gt;0,CD130/BW130,0)</f>
        <v>0.23625</v>
      </c>
      <c r="DI130" s="90" t="n">
        <f aca="false">IF(AI130&gt;0,(AI130*IF(K130=3,INDEX(in_sup_vat_rate,1,C130),0)+AV130*BA130+(BC130+BD130)*AV130/AY130+AZ130*AI130/AL130)/AI130,0)</f>
        <v>0</v>
      </c>
      <c r="DJ130" s="90" t="n">
        <f aca="false">IF(AJ130&gt;0,(AJ130*IF(K130=3,INDEX(in_sup_vat_rate,1,C130),0)+AW130*BA130+(BC130+BD130)*AW130/AY130+AZ130*AJ130/AL130)/AJ130,0)</f>
        <v>0.304635310654099</v>
      </c>
      <c r="DK130" s="90" t="n">
        <f aca="false">IF(AK130&gt;0,(AK130*IF(K130=3,INDEX(in_sup_vat_rate,1,C130),0)+AX130*BA130+(BC130+BD130)*AX130/AY130+AZ130*AK130/AL130)/AK130,0)</f>
        <v>0</v>
      </c>
      <c r="DL130" s="90" t="n">
        <f aca="false">IF(Y130&gt;0,(BP130-AI130*(1+DI130))/Y130,0)</f>
        <v>0</v>
      </c>
      <c r="DM130" s="90" t="n">
        <f aca="false">IF(Z130&gt;0,(BQ130-AJ130*(1+DJ130))/Z130,0)</f>
        <v>0.228192775225774</v>
      </c>
      <c r="DN130" s="90" t="n">
        <f aca="false">IF(AA130&gt;0,(BR130-AK130*(1+DK130))/AA130,0)</f>
        <v>0</v>
      </c>
      <c r="DO130" s="86" t="str">
        <f aca="false">IF(Y130&gt;0,(CA130*(1-thr_gm_go)*(1-R130)-DL130)/(1+DI130)*I130/((1+AH130)*J130),"")</f>
        <v/>
      </c>
      <c r="DP130" s="86" t="n">
        <f aca="false">IF(Z130&gt;0,(CB130*(1-thr_gm_go)*(1-R130)-DM130)/(1+DJ130)*I130/((1+AH130)*J130),"")</f>
        <v>-1.95376632937176</v>
      </c>
      <c r="DQ130" s="86" t="str">
        <f aca="false">IF(AA130&gt;0,(CC130*(1-thr_gm_go)*(1-R130)-DN130)/(1+DK130)*I130/((1+AH130)*J130),"")</f>
        <v/>
      </c>
      <c r="DR130" s="92" t="n">
        <f aca="false">IF(AND(AY130*INDEX(in_cus_mpf_rate,1,C130)&gt;INDEX(in_cus_mpf_min,1,C130),AY130*INDEX(in_cus_mpf_rate,1,C130)&lt;INDEX(in_cus_mpf_max,1,C130)),INDEX(in_cus_mpf_rate,1,C130),0)</f>
        <v>0.003464</v>
      </c>
      <c r="DS130" s="88" t="n">
        <f aca="false">IF(AZ130&gt;INDEX(in_oce_ins_min,1,C130),INDEX(in_oce_ins_rate,1,C130)*(1+INDEX(in_oce_ins_uplift,1,C130))*AL130,0)</f>
        <v>0</v>
      </c>
      <c r="DT130" s="88" t="n">
        <f aca="false">(AL130+AN130)*(1+BA130+INDEX(in_cus_hmf,1,C130)+DR130)+DS130</f>
        <v>12846.0791270478</v>
      </c>
      <c r="DU130" s="86" t="n">
        <f aca="false">IF(DT130&gt;0,(CD130*(1-thr_gm_go)-(BM130-DT130))/DT130,0)</f>
        <v>-0.263545643215516</v>
      </c>
      <c r="DV130" s="86" t="n">
        <f aca="false">IF(DT130&gt;0,(CD130-(BM130-DT130))/DT130,0)</f>
        <v>-0.0190212269376991</v>
      </c>
      <c r="DW130" s="87" t="n">
        <f aca="false">(1+AH130)*J130*DU130-1</f>
        <v>-1.28990020753707</v>
      </c>
      <c r="DX130" s="87" t="n">
        <f aca="false">(1+AH130)*J130*DV130-1</f>
        <v>-1.02092334963147</v>
      </c>
      <c r="DY130" s="85" t="n">
        <f aca="false">IF(G130&gt;0,(CD130*(1-thr_gm_go)-(BM130-AT130))/G130,"")</f>
        <v>-11231.607313383</v>
      </c>
      <c r="DZ130" s="90" t="n">
        <f aca="false">IF(AB130&gt;0,(AL130+AN130+BB130+BC130+BD130)/AB130,0)</f>
        <v>0.233091472308214</v>
      </c>
      <c r="EA130" s="88" t="n">
        <f aca="false">BM130-DZ130*AB130</f>
        <v>12741.8797475079</v>
      </c>
      <c r="EB130" s="90" t="n">
        <f aca="false">IF(AB130&gt;0,CD130/AB130,0)</f>
        <v>0.2268</v>
      </c>
      <c r="EC130" s="85" t="str">
        <f aca="false">IF(EB130*(1-thr_gm_go)-DZ130&gt;0,EA130/(EB130*(1-thr_gm_go)-DZ130),"n/a")</f>
        <v>n/a</v>
      </c>
      <c r="ED130" s="85" t="str">
        <f aca="false">IF(EB130-DZ130&gt;0,EA130/(EB130-DZ130),"n/a")</f>
        <v>n/a</v>
      </c>
      <c r="EE130" s="93" t="b">
        <f aca="false">INDEX(cfg_fits,D130,C130)</f>
        <v>1</v>
      </c>
      <c r="EF130" s="87" t="n">
        <f aca="false">IF(F130=4,"",INDEX(cfg_lenutil,D130,C130))</f>
        <v>0.958927074601844</v>
      </c>
      <c r="EG130" s="31" t="str">
        <f aca="false">IF(O130&gt;1,"Check fit (units scaled up)","")</f>
        <v/>
      </c>
    </row>
    <row r="131" customFormat="false" ht="15" hidden="false" customHeight="false" outlineLevel="0" collapsed="false">
      <c r="A131" s="78" t="n">
        <v>3062</v>
      </c>
      <c r="B131" s="9" t="s">
        <v>3279</v>
      </c>
      <c r="C131" s="78" t="n">
        <v>3</v>
      </c>
      <c r="D131" s="78" t="n">
        <v>6</v>
      </c>
      <c r="E131" s="78" t="n">
        <v>2</v>
      </c>
      <c r="F131" s="79" t="n">
        <f aca="false">INDEX(cfg_ct,D131)</f>
        <v>3</v>
      </c>
      <c r="G131" s="79" t="n">
        <f aca="false">INDEX(cfg_n,D131)</f>
        <v>1</v>
      </c>
      <c r="H131" s="79" t="n">
        <f aca="false">INDEX(dest_port,E131)</f>
        <v>1</v>
      </c>
      <c r="I131" s="80" t="n">
        <f aca="false">INDEX(in_fx_cbe,1,C131)*(1-INDEX(in_fx_spread,1,C131))</f>
        <v>48.265</v>
      </c>
      <c r="J131" s="81" t="n">
        <f aca="false">1</f>
        <v>1</v>
      </c>
      <c r="K131" s="82" t="n">
        <f aca="false">INDEX(in_sup_vat_mode,1,C131)</f>
        <v>3</v>
      </c>
      <c r="L131" s="83" t="n">
        <f aca="false">INDEX(in_cus_s301,1,C131)</f>
        <v>0.125</v>
      </c>
      <c r="M131" s="84" t="n">
        <f aca="false">1</f>
        <v>1</v>
      </c>
      <c r="N131" s="81" t="n">
        <f aca="false">1</f>
        <v>1</v>
      </c>
      <c r="O131" s="81" t="n">
        <f aca="false">1</f>
        <v>1</v>
      </c>
      <c r="P131" s="81" t="n">
        <f aca="false">1</f>
        <v>1</v>
      </c>
      <c r="Q131" s="81" t="n">
        <f aca="false">1</f>
        <v>1</v>
      </c>
      <c r="R131" s="83" t="n">
        <f aca="false">INDEX(in_sel_damage,1,C131)</f>
        <v>0.04</v>
      </c>
      <c r="S131" s="83" t="n">
        <f aca="false">INDEX(in_mkt_dist_margin,1,C131)</f>
        <v>0.3</v>
      </c>
      <c r="T131" s="83" t="n">
        <f aca="false">INDEX(in_mkt_eflute_disc,1,C131)</f>
        <v>0.25</v>
      </c>
      <c r="U131" s="82" t="n">
        <f aca="false">INDEX(in_sel_credit_days,1,C131)</f>
        <v>60</v>
      </c>
      <c r="V131" s="81" t="n">
        <f aca="false">1</f>
        <v>1</v>
      </c>
      <c r="W131" s="83" t="n">
        <f aca="false">INDEX(in_sel_commission,1,C131)</f>
        <v>0.07</v>
      </c>
      <c r="X131" s="82" t="n">
        <f aca="false">1</f>
        <v>1</v>
      </c>
      <c r="Y131" s="85" t="n">
        <f aca="false">INDEX(cfg_u_3464,D131,C131)*O131</f>
        <v>0</v>
      </c>
      <c r="Z131" s="85" t="n">
        <f aca="false">INDEX(cfg_u_3463,D131,C131)*O131</f>
        <v>55400</v>
      </c>
      <c r="AA131" s="85" t="n">
        <f aca="false">INDEX(cfg_u_3460,D131,C131)*O131</f>
        <v>0</v>
      </c>
      <c r="AB131" s="85" t="n">
        <f aca="false">Y131+Z131+AA131</f>
        <v>55400</v>
      </c>
      <c r="AC131" s="86" t="n">
        <f aca="false">Y131*INDEX(lg_vpu_3464,C131)</f>
        <v>0</v>
      </c>
      <c r="AD131" s="86" t="n">
        <f aca="false">Z131*INDEX(lg_vpu_3463,C131)</f>
        <v>54.2397024</v>
      </c>
      <c r="AE131" s="86" t="n">
        <f aca="false">AA131*INDEX(lg_vpu_3460,C131)</f>
        <v>0</v>
      </c>
      <c r="AF131" s="86" t="n">
        <f aca="false">AC131+AD131+AE131</f>
        <v>54.2397024</v>
      </c>
      <c r="AG131" s="85" t="n">
        <f aca="false">Y131*INDEX(lg_kpu_3464,C131)+Z131*INDEX(lg_kpu_3463,C131)+AA131*INDEX(lg_kpu_3460,C131)</f>
        <v>13227.0274432</v>
      </c>
      <c r="AH131" s="87" t="n">
        <f aca="false">INDEX(in_sup_requote,1,C131)</f>
        <v>0.1</v>
      </c>
      <c r="AI131" s="88" t="n">
        <f aca="false">Y131*q_price_3464*(1+AH131)*J131/I131</f>
        <v>0</v>
      </c>
      <c r="AJ131" s="88" t="n">
        <f aca="false">Z131*q_price_3463*(1+AH131)*J131/I131</f>
        <v>9974.64000828758</v>
      </c>
      <c r="AK131" s="88" t="n">
        <f aca="false">AA131*q_price_3460*(1+AH131)*J131/I131</f>
        <v>0</v>
      </c>
      <c r="AL131" s="88" t="n">
        <f aca="false">AI131+AJ131+AK131</f>
        <v>9974.64000828758</v>
      </c>
      <c r="AM131" s="88" t="n">
        <f aca="false">IF(OR(K131=2,K131=3),AL131*INDEX(in_sup_vat_rate,1,C131),0)</f>
        <v>1396.44960116026</v>
      </c>
      <c r="AN131" s="88" t="n">
        <f aca="false">IF(K131=3,AM131,0)</f>
        <v>1396.44960116026</v>
      </c>
      <c r="AO131" s="88" t="n">
        <f aca="false">INDEX(in_sup_tooling_egp,1,C131)/I131</f>
        <v>517.973686936704</v>
      </c>
      <c r="AP131" s="88" t="n">
        <f aca="false">IF(F131=4,INDEX(in_ori_lcl_truck,1,C131)*V131/I131+INDEX(in_ori_lcl_cfs_o,1,C131),G131*(IF(F131=1,INDEX(in_ori_truck_20,1,C131),INDEX(in_ori_truck_40,1,C131))*V131/I131+INDEX(in_ori_terminal,1,C131)+IF(F131=1,INDEX(in_ori_othc_20,1,C131),INDEX(in_ori_othc_40,1,C131))*(1-INDEX(in_ori_othc_in_freight,1,C131))+INDEX(in_ori_seal,1,C131)+INDEX(in_ori_inspection,1,C131)+INDEX(in_ori_dd_days,1,C131)*IF(F131=1,INDEX(in_ori_dd_20,1,C131),INDEX(in_ori_dd_40,1,C131))+INDEX(in_ori_loading_egp,1,C131)/I131))</f>
        <v>882.378949549363</v>
      </c>
      <c r="AQ131" s="88" t="n">
        <f aca="false">(INDEX(in_ori_clearance,1,C131)+INDEX(in_ori_coo,1,C131))/I131+INDEX(in_ori_bl_fee,1,C131)+INDEX(in_ori_fwd_fee,1,C131)+INDEX(in_ori_qc,1,C131)+INDEX(in_ori_wires,1,C131)*INDEX(in_ori_wire_fee,1,C131)</f>
        <v>1167.90842225215</v>
      </c>
      <c r="AR131" s="88" t="n">
        <f aca="false">AP131+AQ131</f>
        <v>2050.28737180151</v>
      </c>
      <c r="AS131" s="85" t="n">
        <f aca="false">INDEX(tbl_port_diff,H131,C131)</f>
        <v>0</v>
      </c>
      <c r="AT131" s="88" t="n">
        <f aca="false">IF(F131=4,MAX(AF131*INDEX(in_oce_lcl_factor,1,C131),AG131/1000,1)*INDEX(in_oce_lcl_rate,1,C131)*M131,G131*(INDEX(tbl_ocean_rate,MIN(F131,3),C131)+AS131)*M131)</f>
        <v>5000</v>
      </c>
      <c r="AU131" s="88" t="n">
        <f aca="false">AT131+INDEX(in_oce_ams,1,C131)</f>
        <v>5045</v>
      </c>
      <c r="AV131" s="88" t="n">
        <f aca="false">AI131*(1+IF(K131=3,INDEX(in_sup_vat_rate,1,C131),0))+AO131*Y131/AB131</f>
        <v>0</v>
      </c>
      <c r="AW131" s="88" t="n">
        <f aca="false">AJ131*(1+IF(K131=3,INDEX(in_sup_vat_rate,1,C131),0))+AO131*Z131/AB131</f>
        <v>11889.0632963845</v>
      </c>
      <c r="AX131" s="88" t="n">
        <f aca="false">AK131*(1+IF(K131=3,INDEX(in_sup_vat_rate,1,C131),0))+AO131*AA131/AB131</f>
        <v>0</v>
      </c>
      <c r="AY131" s="88" t="n">
        <f aca="false">AV131+AW131+AX131</f>
        <v>11889.0632963845</v>
      </c>
      <c r="AZ131" s="88" t="n">
        <f aca="false">MAX(INDEX(in_oce_ins_min,1,C131),INDEX(in_oce_ins_rate,1,C131)*(1+INDEX(in_oce_ins_uplift,1,C131))*(AL131+AO131+AR131+AU131))*(1-INDEX(in_oce_ins_in_other,1,C131))</f>
        <v>100</v>
      </c>
      <c r="BA131" s="87" t="n">
        <f aca="false">INDEX(in_cus_mfn,1,C131)+L131</f>
        <v>0.125</v>
      </c>
      <c r="BB131" s="88" t="n">
        <f aca="false">AY131*BA131</f>
        <v>1486.13291204807</v>
      </c>
      <c r="BC131" s="88" t="n">
        <f aca="false">MIN(MAX(AY131*INDEX(in_cus_mpf_rate,1,C131),INDEX(in_cus_mpf_min,1,C131)),INDEX(in_cus_mpf_max,1,C131))</f>
        <v>41.1837152586761</v>
      </c>
      <c r="BD131" s="88" t="n">
        <f aca="false">AY131*INDEX(in_cus_hmf,1,C131)</f>
        <v>14.8613291204807</v>
      </c>
      <c r="BE131" s="88" t="n">
        <f aca="false">MAX(INDEX(in_cus_stb_min,1,C131),INDEX(in_cus_stb_rate,1,C131)/1000*(AY131+BB131+BC131+BD131))</f>
        <v>94.0186887696824</v>
      </c>
      <c r="BF131" s="88" t="n">
        <f aca="false">INDEX(in_cus_broker,1,C131)+INDEX(in_cus_isf,1,C131)+INDEX(in_cus_do_fee,1,C131)+BE131+INDEX(in_cus_isf_bond,1,C131)</f>
        <v>719.018688769682</v>
      </c>
      <c r="BG131" s="88" t="n">
        <f aca="false">IF(H131=1,INDEX(in_cus_cfc,1,C131)*INDEX(ct_teu,F131)*G131*(1-INDEX(in_cus_cfc_in_freight,1,C131)),0)</f>
        <v>29.6</v>
      </c>
      <c r="BH131" s="88" t="n">
        <f aca="false">IF(F131=4,1,G131)*(INDEX(in_cus_exam,1,C131)+INDEX(in_cus_exam_dray,1,C131))</f>
        <v>600</v>
      </c>
      <c r="BI131" s="88" t="n">
        <f aca="false">IF(F131=4,1,G131)*INDEX(in_cus_dem_days,1,C131)*INDEX(in_cus_dem_rate,1,C131)</f>
        <v>750</v>
      </c>
      <c r="BJ131" s="88" t="n">
        <f aca="false">BG131+BH131+BI131</f>
        <v>1379.6</v>
      </c>
      <c r="BK131" s="88" t="n">
        <f aca="false">IF(F131=4,(INDEX(in_dra_lcl_cfs_d,1,C131)+INDEX(in_dra_lcl_deliv,1,C131))*P131,G131*(INDEX(tbl_dest_line,E131,C131)*P131*(1+INDEX(in_dra_fsc,1,C131))+INDEX(tbl_dest_tolls,E131,C131)+INDEX(in_dra_chassis_days,1,C131)*INDEX(tbl_dest_chassis,E131,C131)*(1-INDEX(in_dra_chassis_in_dray,1,C131))+INDEX(in_dra_wait_hours,1,C131)*INDEX(in_dra_wait_rate,1,C131)+INDEX(in_dra_split,1,C131)+INDEX(in_dra_prepull,1,C131)+INDEX(in_dra_dryrun,1,C131)))</f>
        <v>2660</v>
      </c>
      <c r="BL131" s="88" t="n">
        <f aca="false">IF(F131=4,0,G131*IF(F131=1,INDEX(in_dra_unload_20,1,C131),INDEX(in_dra_unload_40,1,C131))*Q131*(1-INDEX(in_dra_unload_in_dray,1,C131)))</f>
        <v>650</v>
      </c>
      <c r="BM131" s="88" t="n">
        <f aca="false">AL131+AN131+AO131+AR131+AU131+AZ131+BB131+BC131+BD131+BF131+BJ131+BK131+BL131</f>
        <v>26035.147313383</v>
      </c>
      <c r="BN131" s="88" t="n">
        <f aca="false">AP131+AU131+BJ131+BK131+BL131</f>
        <v>10616.9789495494</v>
      </c>
      <c r="BO131" s="88" t="n">
        <f aca="false">AQ131+BF131</f>
        <v>1886.92711102183</v>
      </c>
      <c r="BP131" s="88" t="n">
        <f aca="false">AI131*(1+IF(K131=3,INDEX(in_sup_vat_rate,1,C131),0))+AO131*Y131/AB131+AV131*BA131+(BC131+BD131)*AV131/AY131+AZ131*AI131/AL131+BN131*AC131/AF131+BO131*Y131/AB131</f>
        <v>0</v>
      </c>
      <c r="BQ131" s="88" t="n">
        <f aca="false">AJ131*(1+IF(K131=3,INDEX(in_sup_vat_rate,1,C131),0))+AO131*Z131/AB131+AW131*BA131+(BC131+BD131)*AW131/AY131+AZ131*AJ131/AL131+BN131*AD131/AF131+BO131*Z131/AB131</f>
        <v>26035.147313383</v>
      </c>
      <c r="BR131" s="88" t="n">
        <f aca="false">AK131*(1+IF(K131=3,INDEX(in_sup_vat_rate,1,C131),0))+AO131*AA131/AB131+AX131*BA131+(BC131+BD131)*AX131/AY131+AZ131*AK131/AL131+BN131*AE131/AF131+BO131*AA131/AB131</f>
        <v>0</v>
      </c>
      <c r="BS131" s="89" t="n">
        <f aca="false">BP131+BQ131+BR131-BM131</f>
        <v>0</v>
      </c>
      <c r="BT131" s="85" t="n">
        <f aca="false">Y131*(1-R131)</f>
        <v>0</v>
      </c>
      <c r="BU131" s="85" t="n">
        <f aca="false">Z131*(1-R131)</f>
        <v>53184</v>
      </c>
      <c r="BV131" s="85" t="n">
        <f aca="false">AA131*(1-R131)</f>
        <v>0</v>
      </c>
      <c r="BW131" s="85" t="n">
        <f aca="false">BT131+BU131+BV131</f>
        <v>53184</v>
      </c>
      <c r="BX131" s="90" t="n">
        <f aca="false">IF(BT131&gt;0,BP131/BT131,0)</f>
        <v>0</v>
      </c>
      <c r="BY131" s="90" t="n">
        <f aca="false">IF(BU131&gt;0,BQ131/BU131,0)</f>
        <v>0.489529695272694</v>
      </c>
      <c r="BZ131" s="90" t="n">
        <f aca="false">IF(BV131&gt;0,BR131/BV131,0)</f>
        <v>0</v>
      </c>
      <c r="CA131" s="90" t="n">
        <f aca="false">INDEX(in_mkt_listing_3464,1,C131)*(1-IF(sku_flute_3464="B",T131,0))*(1-S131)*N131</f>
        <v>0.1995</v>
      </c>
      <c r="CB131" s="90" t="n">
        <f aca="false">INDEX(in_mkt_listing_3463,1,C131)*(1-IF(sku_flute_3463="B",T131,0))*(1-S131)*N131</f>
        <v>0.23625</v>
      </c>
      <c r="CC131" s="90" t="n">
        <f aca="false">INDEX(in_mkt_listing_3460,1,C131)*(1-IF(sku_flute_3460="B",T131,0))*(1-S131)*N131</f>
        <v>0.21</v>
      </c>
      <c r="CD131" s="88" t="n">
        <f aca="false">BT131*CA131+BU131*CB131+BV131*CC131</f>
        <v>12564.72</v>
      </c>
      <c r="CE131" s="88" t="n">
        <f aca="false">CD131-BM131</f>
        <v>-13470.427313383</v>
      </c>
      <c r="CF131" s="87" t="n">
        <f aca="false">IF(CD131&gt;0,CE131/CD131,0)</f>
        <v>-1.07208336623363</v>
      </c>
      <c r="CG131" s="87" t="n">
        <f aca="false">W131+INDEX(in_sel_processing,1,C131)+INDEX(in_sel_bad_debt,1,C131)</f>
        <v>0.095</v>
      </c>
      <c r="CH131" s="88" t="n">
        <f aca="false">CD131*CG131</f>
        <v>1193.6484</v>
      </c>
      <c r="CI131" s="88" t="n">
        <f aca="false">INDEX(in_sel_testing,1,C131)*X131+INDEX(in_sel_admin,1,C131)</f>
        <v>4750</v>
      </c>
      <c r="CJ131" s="79" t="n">
        <f aca="false">INDEX(in_sup_lead_days,1,C131)</f>
        <v>35</v>
      </c>
      <c r="CK131" s="79" t="n">
        <f aca="false">CJ131+INDEX(in_oce_transit,1,C131)+IF(F131=4,INDEX(in_oce_lcl_extra_days,1,C131),0)</f>
        <v>73</v>
      </c>
      <c r="CL131" s="79" t="n">
        <f aca="false">CK131+2+INDEX(in_cus_dem_days,1,C131)</f>
        <v>78</v>
      </c>
      <c r="CM131" s="79" t="n">
        <f aca="false">CL131+U131</f>
        <v>138</v>
      </c>
      <c r="CN131" s="79" t="n">
        <f aca="false">CJ131+INDEX(in_sup_vat_lag,1,C131)</f>
        <v>215</v>
      </c>
      <c r="CO131" s="91" t="n">
        <f aca="false">INDEX(in_sup_advance,1,C131)</f>
        <v>0.5</v>
      </c>
      <c r="CP131" s="88" t="n">
        <f aca="false">CO131*(AL131+AM131)+AO131+INDEX(in_sel_testing,1,C131)*X131</f>
        <v>10203.5184916606</v>
      </c>
      <c r="CQ131" s="88" t="n">
        <f aca="false">(1-CO131)*(AL131+AM131)+AR131+AU131+AZ131</f>
        <v>12880.8321765254</v>
      </c>
      <c r="CR131" s="88" t="n">
        <f aca="false">BB131+BC131+BD131+BF131+BJ131</f>
        <v>3640.79664519691</v>
      </c>
      <c r="CS131" s="88" t="n">
        <f aca="false">BK131+BL131</f>
        <v>3310</v>
      </c>
      <c r="CT131" s="88" t="n">
        <f aca="false">IF(K131=2,AM131,0)</f>
        <v>0</v>
      </c>
      <c r="CU131" s="85" t="n">
        <f aca="false">IF(K131=2,CO131*AM131*(CN131-0)+(1-CO131)*AM131*(CN131-CJ131),0)</f>
        <v>0</v>
      </c>
      <c r="CV131" s="85" t="n">
        <f aca="false">(CP131-CO131*CT131)*(CM131-0)+(CQ131-(1-CO131)*CT131)*(CM131-CJ131)+CR131*(CM131-CK131)+CS131*(CM131-CL131)</f>
        <v>3170063.04796908</v>
      </c>
      <c r="CW131" s="88" t="n">
        <f aca="false">INDEX(in_sel_fin_rate,1,C131)/365*(CU131+CV131)</f>
        <v>1215.91459374157</v>
      </c>
      <c r="CX131" s="85" t="n">
        <f aca="false">CP131-IF(CN131&lt;=0,CT131,0)</f>
        <v>10203.5184916606</v>
      </c>
      <c r="CY131" s="85" t="n">
        <f aca="false">CP131+CQ131-IF(CN131&lt;=CJ131,CT131,0)</f>
        <v>23084.3506681861</v>
      </c>
      <c r="CZ131" s="85" t="n">
        <f aca="false">CP131+CQ131+CR131-IF(CN131&lt;=CK131,CT131,0)</f>
        <v>26725.147313383</v>
      </c>
      <c r="DA131" s="85" t="n">
        <f aca="false">CP131+CQ131+CR131+CS131-IF(CN131&lt;=CL131,CT131,0)</f>
        <v>30035.147313383</v>
      </c>
      <c r="DB131" s="88" t="n">
        <f aca="false">MAX(CX131,CY131,CZ131,DA131)</f>
        <v>30035.147313383</v>
      </c>
      <c r="DC131" s="88" t="n">
        <f aca="false">CP131+CQ131+CR131+CS131</f>
        <v>30035.147313383</v>
      </c>
      <c r="DD131" s="88" t="n">
        <f aca="false">CE131-CH131-CI131-CW131</f>
        <v>-20629.9903071245</v>
      </c>
      <c r="DE131" s="87" t="n">
        <f aca="false">IF(CD131&gt;0,DD131/CD131,0)</f>
        <v>-1.64189813279759</v>
      </c>
      <c r="DF131" s="86" t="n">
        <f aca="false">IF(CD131&gt;0,(BM131+CI131+CW131)/(CD131*(1-CG131)),0)</f>
        <v>2.81425208043933</v>
      </c>
      <c r="DG131" s="90" t="n">
        <f aca="false">IF(BW131&gt;0,BM131/BW131,0)</f>
        <v>0.489529695272694</v>
      </c>
      <c r="DH131" s="90" t="n">
        <f aca="false">IF(BW131&gt;0,CD131/BW131,0)</f>
        <v>0.23625</v>
      </c>
      <c r="DI131" s="90" t="n">
        <f aca="false">IF(AI131&gt;0,(AI131*IF(K131=3,INDEX(in_sup_vat_rate,1,C131),0)+AV131*BA131+(BC131+BD131)*AV131/AY131+AZ131*AI131/AL131)/AI131,0)</f>
        <v>0</v>
      </c>
      <c r="DJ131" s="90" t="n">
        <f aca="false">IF(AJ131&gt;0,(AJ131*IF(K131=3,INDEX(in_sup_vat_rate,1,C131),0)+AW131*BA131+(BC131+BD131)*AW131/AY131+AZ131*AJ131/AL131)/AJ131,0)</f>
        <v>0.304635310654099</v>
      </c>
      <c r="DK131" s="90" t="n">
        <f aca="false">IF(AK131&gt;0,(AK131*IF(K131=3,INDEX(in_sup_vat_rate,1,C131),0)+AX131*BA131+(BC131+BD131)*AX131/AY131+AZ131*AK131/AL131)/AK131,0)</f>
        <v>0</v>
      </c>
      <c r="DL131" s="90" t="n">
        <f aca="false">IF(Y131&gt;0,(BP131-AI131*(1+DI131))/Y131,0)</f>
        <v>0</v>
      </c>
      <c r="DM131" s="90" t="n">
        <f aca="false">IF(Z131&gt;0,(BQ131-AJ131*(1+DJ131))/Z131,0)</f>
        <v>0.235051981001948</v>
      </c>
      <c r="DN131" s="90" t="n">
        <f aca="false">IF(AA131&gt;0,(BR131-AK131*(1+DK131))/AA131,0)</f>
        <v>0</v>
      </c>
      <c r="DO131" s="86" t="str">
        <f aca="false">IF(Y131&gt;0,(CA131*(1-thr_gm_go)*(1-R131)-DL131)/(1+DI131)*I131/((1+AH131)*J131),"")</f>
        <v/>
      </c>
      <c r="DP131" s="86" t="n">
        <f aca="false">IF(Z131&gt;0,(CB131*(1-thr_gm_go)*(1-R131)-DM131)/(1+DJ131)*I131/((1+AH131)*J131),"")</f>
        <v>-2.18445397064276</v>
      </c>
      <c r="DQ131" s="86" t="str">
        <f aca="false">IF(AA131&gt;0,(CC131*(1-thr_gm_go)*(1-R131)-DN131)/(1+DK131)*I131/((1+AH131)*J131),"")</f>
        <v/>
      </c>
      <c r="DR131" s="92" t="n">
        <f aca="false">IF(AND(AY131*INDEX(in_cus_mpf_rate,1,C131)&gt;INDEX(in_cus_mpf_min,1,C131),AY131*INDEX(in_cus_mpf_rate,1,C131)&lt;INDEX(in_cus_mpf_max,1,C131)),INDEX(in_cus_mpf_rate,1,C131),0)</f>
        <v>0.003464</v>
      </c>
      <c r="DS131" s="88" t="n">
        <f aca="false">IF(AZ131&gt;INDEX(in_oce_ins_min,1,C131),INDEX(in_oce_ins_rate,1,C131)*(1+INDEX(in_oce_ins_uplift,1,C131))*AL131,0)</f>
        <v>0</v>
      </c>
      <c r="DT131" s="88" t="n">
        <f aca="false">(AL131+AN131)*(1+BA131+INDEX(in_cus_hmf,1,C131)+DR131)+DS131</f>
        <v>12846.0791270478</v>
      </c>
      <c r="DU131" s="86" t="n">
        <f aca="false">IF(DT131&gt;0,(CD131*(1-thr_gm_go)-(BM131-DT131))/DT131,0)</f>
        <v>-0.293126653595555</v>
      </c>
      <c r="DV131" s="86" t="n">
        <f aca="false">IF(DT131&gt;0,(CD131-(BM131-DT131))/DT131,0)</f>
        <v>-0.048602237317738</v>
      </c>
      <c r="DW131" s="87" t="n">
        <f aca="false">(1+AH131)*J131*DU131-1</f>
        <v>-1.32243931895511</v>
      </c>
      <c r="DX131" s="87" t="n">
        <f aca="false">(1+AH131)*J131*DV131-1</f>
        <v>-1.05346246104951</v>
      </c>
      <c r="DY131" s="85" t="n">
        <f aca="false">IF(G131&gt;0,(CD131*(1-thr_gm_go)-(BM131-AT131))/G131,"")</f>
        <v>-11611.607313383</v>
      </c>
      <c r="DZ131" s="90" t="n">
        <f aca="false">IF(AB131&gt;0,(AL131+AN131+BB131+BC131+BD131)/AB131,0)</f>
        <v>0.233091472308214</v>
      </c>
      <c r="EA131" s="88" t="n">
        <f aca="false">BM131-DZ131*AB131</f>
        <v>13121.8797475079</v>
      </c>
      <c r="EB131" s="90" t="n">
        <f aca="false">IF(AB131&gt;0,CD131/AB131,0)</f>
        <v>0.2268</v>
      </c>
      <c r="EC131" s="85" t="str">
        <f aca="false">IF(EB131*(1-thr_gm_go)-DZ131&gt;0,EA131/(EB131*(1-thr_gm_go)-DZ131),"n/a")</f>
        <v>n/a</v>
      </c>
      <c r="ED131" s="85" t="str">
        <f aca="false">IF(EB131-DZ131&gt;0,EA131/(EB131-DZ131),"n/a")</f>
        <v>n/a</v>
      </c>
      <c r="EE131" s="93" t="b">
        <f aca="false">INDEX(cfg_fits,D131,C131)</f>
        <v>1</v>
      </c>
      <c r="EF131" s="87" t="n">
        <f aca="false">IF(F131=4,"",INDEX(cfg_lenutil,D131,C131))</f>
        <v>0.958927074601844</v>
      </c>
      <c r="EG131" s="31" t="str">
        <f aca="false">IF(O131&gt;1,"Check fit (units scaled up)","")</f>
        <v/>
      </c>
    </row>
    <row r="132" customFormat="false" ht="15" hidden="false" customHeight="false" outlineLevel="0" collapsed="false">
      <c r="A132" s="78" t="n">
        <v>3063</v>
      </c>
      <c r="B132" s="9" t="s">
        <v>3280</v>
      </c>
      <c r="C132" s="78" t="n">
        <v>3</v>
      </c>
      <c r="D132" s="78" t="n">
        <v>6</v>
      </c>
      <c r="E132" s="78" t="n">
        <v>3</v>
      </c>
      <c r="F132" s="79" t="n">
        <f aca="false">INDEX(cfg_ct,D132)</f>
        <v>3</v>
      </c>
      <c r="G132" s="79" t="n">
        <f aca="false">INDEX(cfg_n,D132)</f>
        <v>1</v>
      </c>
      <c r="H132" s="79" t="n">
        <f aca="false">INDEX(dest_port,E132)</f>
        <v>2</v>
      </c>
      <c r="I132" s="80" t="n">
        <f aca="false">INDEX(in_fx_cbe,1,C132)*(1-INDEX(in_fx_spread,1,C132))</f>
        <v>48.265</v>
      </c>
      <c r="J132" s="81" t="n">
        <f aca="false">1</f>
        <v>1</v>
      </c>
      <c r="K132" s="82" t="n">
        <f aca="false">INDEX(in_sup_vat_mode,1,C132)</f>
        <v>3</v>
      </c>
      <c r="L132" s="83" t="n">
        <f aca="false">INDEX(in_cus_s301,1,C132)</f>
        <v>0.125</v>
      </c>
      <c r="M132" s="84" t="n">
        <f aca="false">1</f>
        <v>1</v>
      </c>
      <c r="N132" s="81" t="n">
        <f aca="false">1</f>
        <v>1</v>
      </c>
      <c r="O132" s="81" t="n">
        <f aca="false">1</f>
        <v>1</v>
      </c>
      <c r="P132" s="81" t="n">
        <f aca="false">1</f>
        <v>1</v>
      </c>
      <c r="Q132" s="81" t="n">
        <f aca="false">1</f>
        <v>1</v>
      </c>
      <c r="R132" s="83" t="n">
        <f aca="false">INDEX(in_sel_damage,1,C132)</f>
        <v>0.04</v>
      </c>
      <c r="S132" s="83" t="n">
        <f aca="false">INDEX(in_mkt_dist_margin,1,C132)</f>
        <v>0.3</v>
      </c>
      <c r="T132" s="83" t="n">
        <f aca="false">INDEX(in_mkt_eflute_disc,1,C132)</f>
        <v>0.25</v>
      </c>
      <c r="U132" s="82" t="n">
        <f aca="false">INDEX(in_sel_credit_days,1,C132)</f>
        <v>60</v>
      </c>
      <c r="V132" s="81" t="n">
        <f aca="false">1</f>
        <v>1</v>
      </c>
      <c r="W132" s="83" t="n">
        <f aca="false">INDEX(in_sel_commission,1,C132)</f>
        <v>0.07</v>
      </c>
      <c r="X132" s="82" t="n">
        <f aca="false">1</f>
        <v>1</v>
      </c>
      <c r="Y132" s="85" t="n">
        <f aca="false">INDEX(cfg_u_3464,D132,C132)*O132</f>
        <v>0</v>
      </c>
      <c r="Z132" s="85" t="n">
        <f aca="false">INDEX(cfg_u_3463,D132,C132)*O132</f>
        <v>55400</v>
      </c>
      <c r="AA132" s="85" t="n">
        <f aca="false">INDEX(cfg_u_3460,D132,C132)*O132</f>
        <v>0</v>
      </c>
      <c r="AB132" s="85" t="n">
        <f aca="false">Y132+Z132+AA132</f>
        <v>55400</v>
      </c>
      <c r="AC132" s="86" t="n">
        <f aca="false">Y132*INDEX(lg_vpu_3464,C132)</f>
        <v>0</v>
      </c>
      <c r="AD132" s="86" t="n">
        <f aca="false">Z132*INDEX(lg_vpu_3463,C132)</f>
        <v>54.2397024</v>
      </c>
      <c r="AE132" s="86" t="n">
        <f aca="false">AA132*INDEX(lg_vpu_3460,C132)</f>
        <v>0</v>
      </c>
      <c r="AF132" s="86" t="n">
        <f aca="false">AC132+AD132+AE132</f>
        <v>54.2397024</v>
      </c>
      <c r="AG132" s="85" t="n">
        <f aca="false">Y132*INDEX(lg_kpu_3464,C132)+Z132*INDEX(lg_kpu_3463,C132)+AA132*INDEX(lg_kpu_3460,C132)</f>
        <v>13227.0274432</v>
      </c>
      <c r="AH132" s="87" t="n">
        <f aca="false">INDEX(in_sup_requote,1,C132)</f>
        <v>0.1</v>
      </c>
      <c r="AI132" s="88" t="n">
        <f aca="false">Y132*q_price_3464*(1+AH132)*J132/I132</f>
        <v>0</v>
      </c>
      <c r="AJ132" s="88" t="n">
        <f aca="false">Z132*q_price_3463*(1+AH132)*J132/I132</f>
        <v>9974.64000828758</v>
      </c>
      <c r="AK132" s="88" t="n">
        <f aca="false">AA132*q_price_3460*(1+AH132)*J132/I132</f>
        <v>0</v>
      </c>
      <c r="AL132" s="88" t="n">
        <f aca="false">AI132+AJ132+AK132</f>
        <v>9974.64000828758</v>
      </c>
      <c r="AM132" s="88" t="n">
        <f aca="false">IF(OR(K132=2,K132=3),AL132*INDEX(in_sup_vat_rate,1,C132),0)</f>
        <v>1396.44960116026</v>
      </c>
      <c r="AN132" s="88" t="n">
        <f aca="false">IF(K132=3,AM132,0)</f>
        <v>1396.44960116026</v>
      </c>
      <c r="AO132" s="88" t="n">
        <f aca="false">INDEX(in_sup_tooling_egp,1,C132)/I132</f>
        <v>517.973686936704</v>
      </c>
      <c r="AP132" s="88" t="n">
        <f aca="false">IF(F132=4,INDEX(in_ori_lcl_truck,1,C132)*V132/I132+INDEX(in_ori_lcl_cfs_o,1,C132),G132*(IF(F132=1,INDEX(in_ori_truck_20,1,C132),INDEX(in_ori_truck_40,1,C132))*V132/I132+INDEX(in_ori_terminal,1,C132)+IF(F132=1,INDEX(in_ori_othc_20,1,C132),INDEX(in_ori_othc_40,1,C132))*(1-INDEX(in_ori_othc_in_freight,1,C132))+INDEX(in_ori_seal,1,C132)+INDEX(in_ori_inspection,1,C132)+INDEX(in_ori_dd_days,1,C132)*IF(F132=1,INDEX(in_ori_dd_20,1,C132),INDEX(in_ori_dd_40,1,C132))+INDEX(in_ori_loading_egp,1,C132)/I132))</f>
        <v>882.378949549363</v>
      </c>
      <c r="AQ132" s="88" t="n">
        <f aca="false">(INDEX(in_ori_clearance,1,C132)+INDEX(in_ori_coo,1,C132))/I132+INDEX(in_ori_bl_fee,1,C132)+INDEX(in_ori_fwd_fee,1,C132)+INDEX(in_ori_qc,1,C132)+INDEX(in_ori_wires,1,C132)*INDEX(in_ori_wire_fee,1,C132)</f>
        <v>1167.90842225215</v>
      </c>
      <c r="AR132" s="88" t="n">
        <f aca="false">AP132+AQ132</f>
        <v>2050.28737180151</v>
      </c>
      <c r="AS132" s="85" t="n">
        <f aca="false">INDEX(tbl_port_diff,H132,C132)</f>
        <v>300</v>
      </c>
      <c r="AT132" s="88" t="n">
        <f aca="false">IF(F132=4,MAX(AF132*INDEX(in_oce_lcl_factor,1,C132),AG132/1000,1)*INDEX(in_oce_lcl_rate,1,C132)*M132,G132*(INDEX(tbl_ocean_rate,MIN(F132,3),C132)+AS132)*M132)</f>
        <v>5300</v>
      </c>
      <c r="AU132" s="88" t="n">
        <f aca="false">AT132+INDEX(in_oce_ams,1,C132)</f>
        <v>5345</v>
      </c>
      <c r="AV132" s="88" t="n">
        <f aca="false">AI132*(1+IF(K132=3,INDEX(in_sup_vat_rate,1,C132),0))+AO132*Y132/AB132</f>
        <v>0</v>
      </c>
      <c r="AW132" s="88" t="n">
        <f aca="false">AJ132*(1+IF(K132=3,INDEX(in_sup_vat_rate,1,C132),0))+AO132*Z132/AB132</f>
        <v>11889.0632963845</v>
      </c>
      <c r="AX132" s="88" t="n">
        <f aca="false">AK132*(1+IF(K132=3,INDEX(in_sup_vat_rate,1,C132),0))+AO132*AA132/AB132</f>
        <v>0</v>
      </c>
      <c r="AY132" s="88" t="n">
        <f aca="false">AV132+AW132+AX132</f>
        <v>11889.0632963845</v>
      </c>
      <c r="AZ132" s="88" t="n">
        <f aca="false">MAX(INDEX(in_oce_ins_min,1,C132),INDEX(in_oce_ins_rate,1,C132)*(1+INDEX(in_oce_ins_uplift,1,C132))*(AL132+AO132+AR132+AU132))*(1-INDEX(in_oce_ins_in_other,1,C132))</f>
        <v>100</v>
      </c>
      <c r="BA132" s="87" t="n">
        <f aca="false">INDEX(in_cus_mfn,1,C132)+L132</f>
        <v>0.125</v>
      </c>
      <c r="BB132" s="88" t="n">
        <f aca="false">AY132*BA132</f>
        <v>1486.13291204807</v>
      </c>
      <c r="BC132" s="88" t="n">
        <f aca="false">MIN(MAX(AY132*INDEX(in_cus_mpf_rate,1,C132),INDEX(in_cus_mpf_min,1,C132)),INDEX(in_cus_mpf_max,1,C132))</f>
        <v>41.1837152586761</v>
      </c>
      <c r="BD132" s="88" t="n">
        <f aca="false">AY132*INDEX(in_cus_hmf,1,C132)</f>
        <v>14.8613291204807</v>
      </c>
      <c r="BE132" s="88" t="n">
        <f aca="false">MAX(INDEX(in_cus_stb_min,1,C132),INDEX(in_cus_stb_rate,1,C132)/1000*(AY132+BB132+BC132+BD132))</f>
        <v>94.0186887696824</v>
      </c>
      <c r="BF132" s="88" t="n">
        <f aca="false">INDEX(in_cus_broker,1,C132)+INDEX(in_cus_isf,1,C132)+INDEX(in_cus_do_fee,1,C132)+BE132+INDEX(in_cus_isf_bond,1,C132)</f>
        <v>719.018688769682</v>
      </c>
      <c r="BG132" s="88" t="n">
        <f aca="false">IF(H132=1,INDEX(in_cus_cfc,1,C132)*INDEX(ct_teu,F132)*G132*(1-INDEX(in_cus_cfc_in_freight,1,C132)),0)</f>
        <v>0</v>
      </c>
      <c r="BH132" s="88" t="n">
        <f aca="false">IF(F132=4,1,G132)*(INDEX(in_cus_exam,1,C132)+INDEX(in_cus_exam_dray,1,C132))</f>
        <v>600</v>
      </c>
      <c r="BI132" s="88" t="n">
        <f aca="false">IF(F132=4,1,G132)*INDEX(in_cus_dem_days,1,C132)*INDEX(in_cus_dem_rate,1,C132)</f>
        <v>750</v>
      </c>
      <c r="BJ132" s="88" t="n">
        <f aca="false">BG132+BH132+BI132</f>
        <v>1350</v>
      </c>
      <c r="BK132" s="88" t="n">
        <f aca="false">IF(F132=4,(INDEX(in_dra_lcl_cfs_d,1,C132)+INDEX(in_dra_lcl_deliv,1,C132))*P132,G132*(INDEX(tbl_dest_line,E132,C132)*P132*(1+INDEX(in_dra_fsc,1,C132))+INDEX(tbl_dest_tolls,E132,C132)+INDEX(in_dra_chassis_days,1,C132)*INDEX(tbl_dest_chassis,E132,C132)*(1-INDEX(in_dra_chassis_in_dray,1,C132))+INDEX(in_dra_wait_hours,1,C132)*INDEX(in_dra_wait_rate,1,C132)+INDEX(in_dra_split,1,C132)+INDEX(in_dra_prepull,1,C132)+INDEX(in_dra_dryrun,1,C132)))</f>
        <v>2100</v>
      </c>
      <c r="BL132" s="88" t="n">
        <f aca="false">IF(F132=4,0,G132*IF(F132=1,INDEX(in_dra_unload_20,1,C132),INDEX(in_dra_unload_40,1,C132))*Q132*(1-INDEX(in_dra_unload_in_dray,1,C132)))</f>
        <v>650</v>
      </c>
      <c r="BM132" s="88" t="n">
        <f aca="false">AL132+AN132+AO132+AR132+AU132+AZ132+BB132+BC132+BD132+BF132+BJ132+BK132+BL132</f>
        <v>25745.547313383</v>
      </c>
      <c r="BN132" s="88" t="n">
        <f aca="false">AP132+AU132+BJ132+BK132+BL132</f>
        <v>10327.3789495494</v>
      </c>
      <c r="BO132" s="88" t="n">
        <f aca="false">AQ132+BF132</f>
        <v>1886.92711102183</v>
      </c>
      <c r="BP132" s="88" t="n">
        <f aca="false">AI132*(1+IF(K132=3,INDEX(in_sup_vat_rate,1,C132),0))+AO132*Y132/AB132+AV132*BA132+(BC132+BD132)*AV132/AY132+AZ132*AI132/AL132+BN132*AC132/AF132+BO132*Y132/AB132</f>
        <v>0</v>
      </c>
      <c r="BQ132" s="88" t="n">
        <f aca="false">AJ132*(1+IF(K132=3,INDEX(in_sup_vat_rate,1,C132),0))+AO132*Z132/AB132+AW132*BA132+(BC132+BD132)*AW132/AY132+AZ132*AJ132/AL132+BN132*AD132/AF132+BO132*Z132/AB132</f>
        <v>25745.547313383</v>
      </c>
      <c r="BR132" s="88" t="n">
        <f aca="false">AK132*(1+IF(K132=3,INDEX(in_sup_vat_rate,1,C132),0))+AO132*AA132/AB132+AX132*BA132+(BC132+BD132)*AX132/AY132+AZ132*AK132/AL132+BN132*AE132/AF132+BO132*AA132/AB132</f>
        <v>0</v>
      </c>
      <c r="BS132" s="89" t="n">
        <f aca="false">BP132+BQ132+BR132-BM132</f>
        <v>0</v>
      </c>
      <c r="BT132" s="85" t="n">
        <f aca="false">Y132*(1-R132)</f>
        <v>0</v>
      </c>
      <c r="BU132" s="85" t="n">
        <f aca="false">Z132*(1-R132)</f>
        <v>53184</v>
      </c>
      <c r="BV132" s="85" t="n">
        <f aca="false">AA132*(1-R132)</f>
        <v>0</v>
      </c>
      <c r="BW132" s="85" t="n">
        <f aca="false">BT132+BU132+BV132</f>
        <v>53184</v>
      </c>
      <c r="BX132" s="90" t="n">
        <f aca="false">IF(BT132&gt;0,BP132/BT132,0)</f>
        <v>0</v>
      </c>
      <c r="BY132" s="90" t="n">
        <f aca="false">IF(BU132&gt;0,BQ132/BU132,0)</f>
        <v>0.48408444858196</v>
      </c>
      <c r="BZ132" s="90" t="n">
        <f aca="false">IF(BV132&gt;0,BR132/BV132,0)</f>
        <v>0</v>
      </c>
      <c r="CA132" s="90" t="n">
        <f aca="false">INDEX(in_mkt_listing_3464,1,C132)*(1-IF(sku_flute_3464="B",T132,0))*(1-S132)*N132</f>
        <v>0.1995</v>
      </c>
      <c r="CB132" s="90" t="n">
        <f aca="false">INDEX(in_mkt_listing_3463,1,C132)*(1-IF(sku_flute_3463="B",T132,0))*(1-S132)*N132</f>
        <v>0.23625</v>
      </c>
      <c r="CC132" s="90" t="n">
        <f aca="false">INDEX(in_mkt_listing_3460,1,C132)*(1-IF(sku_flute_3460="B",T132,0))*(1-S132)*N132</f>
        <v>0.21</v>
      </c>
      <c r="CD132" s="88" t="n">
        <f aca="false">BT132*CA132+BU132*CB132+BV132*CC132</f>
        <v>12564.72</v>
      </c>
      <c r="CE132" s="88" t="n">
        <f aca="false">CD132-BM132</f>
        <v>-13180.827313383</v>
      </c>
      <c r="CF132" s="87" t="n">
        <f aca="false">IF(CD132&gt;0,CE132/CD132,0)</f>
        <v>-1.04903470299242</v>
      </c>
      <c r="CG132" s="87" t="n">
        <f aca="false">W132+INDEX(in_sel_processing,1,C132)+INDEX(in_sel_bad_debt,1,C132)</f>
        <v>0.095</v>
      </c>
      <c r="CH132" s="88" t="n">
        <f aca="false">CD132*CG132</f>
        <v>1193.6484</v>
      </c>
      <c r="CI132" s="88" t="n">
        <f aca="false">INDEX(in_sel_testing,1,C132)*X132+INDEX(in_sel_admin,1,C132)</f>
        <v>4750</v>
      </c>
      <c r="CJ132" s="79" t="n">
        <f aca="false">INDEX(in_sup_lead_days,1,C132)</f>
        <v>35</v>
      </c>
      <c r="CK132" s="79" t="n">
        <f aca="false">CJ132+INDEX(in_oce_transit,1,C132)+IF(F132=4,INDEX(in_oce_lcl_extra_days,1,C132),0)</f>
        <v>73</v>
      </c>
      <c r="CL132" s="79" t="n">
        <f aca="false">CK132+2+INDEX(in_cus_dem_days,1,C132)</f>
        <v>78</v>
      </c>
      <c r="CM132" s="79" t="n">
        <f aca="false">CL132+U132</f>
        <v>138</v>
      </c>
      <c r="CN132" s="79" t="n">
        <f aca="false">CJ132+INDEX(in_sup_vat_lag,1,C132)</f>
        <v>215</v>
      </c>
      <c r="CO132" s="91" t="n">
        <f aca="false">INDEX(in_sup_advance,1,C132)</f>
        <v>0.5</v>
      </c>
      <c r="CP132" s="88" t="n">
        <f aca="false">CO132*(AL132+AM132)+AO132+INDEX(in_sel_testing,1,C132)*X132</f>
        <v>10203.5184916606</v>
      </c>
      <c r="CQ132" s="88" t="n">
        <f aca="false">(1-CO132)*(AL132+AM132)+AR132+AU132+AZ132</f>
        <v>13180.8321765254</v>
      </c>
      <c r="CR132" s="88" t="n">
        <f aca="false">BB132+BC132+BD132+BF132+BJ132</f>
        <v>3611.19664519691</v>
      </c>
      <c r="CS132" s="88" t="n">
        <f aca="false">BK132+BL132</f>
        <v>2750</v>
      </c>
      <c r="CT132" s="88" t="n">
        <f aca="false">IF(K132=2,AM132,0)</f>
        <v>0</v>
      </c>
      <c r="CU132" s="85" t="n">
        <f aca="false">IF(K132=2,CO132*AM132*(CN132-0)+(1-CO132)*AM132*(CN132-CJ132),0)</f>
        <v>0</v>
      </c>
      <c r="CV132" s="85" t="n">
        <f aca="false">(CP132-CO132*CT132)*(CM132-0)+(CQ132-(1-CO132)*CT132)*(CM132-CJ132)+CR132*(CM132-CK132)+CS132*(CM132-CL132)</f>
        <v>3165439.04796908</v>
      </c>
      <c r="CW132" s="88" t="n">
        <f aca="false">INDEX(in_sel_fin_rate,1,C132)/365*(CU132+CV132)</f>
        <v>1214.14100470047</v>
      </c>
      <c r="CX132" s="85" t="n">
        <f aca="false">CP132-IF(CN132&lt;=0,CT132,0)</f>
        <v>10203.5184916606</v>
      </c>
      <c r="CY132" s="85" t="n">
        <f aca="false">CP132+CQ132-IF(CN132&lt;=CJ132,CT132,0)</f>
        <v>23384.3506681861</v>
      </c>
      <c r="CZ132" s="85" t="n">
        <f aca="false">CP132+CQ132+CR132-IF(CN132&lt;=CK132,CT132,0)</f>
        <v>26995.547313383</v>
      </c>
      <c r="DA132" s="85" t="n">
        <f aca="false">CP132+CQ132+CR132+CS132-IF(CN132&lt;=CL132,CT132,0)</f>
        <v>29745.547313383</v>
      </c>
      <c r="DB132" s="88" t="n">
        <f aca="false">MAX(CX132,CY132,CZ132,DA132)</f>
        <v>29745.547313383</v>
      </c>
      <c r="DC132" s="88" t="n">
        <f aca="false">CP132+CQ132+CR132+CS132</f>
        <v>29745.547313383</v>
      </c>
      <c r="DD132" s="88" t="n">
        <f aca="false">CE132-CH132-CI132-CW132</f>
        <v>-20338.6167180834</v>
      </c>
      <c r="DE132" s="87" t="n">
        <f aca="false">IF(CD132&gt;0,DD132/CD132,0)</f>
        <v>-1.61870831328382</v>
      </c>
      <c r="DF132" s="86" t="n">
        <f aca="false">IF(CD132&gt;0,(BM132+CI132+CW132)/(CD132*(1-CG132)),0)</f>
        <v>2.78862797047936</v>
      </c>
      <c r="DG132" s="90" t="n">
        <f aca="false">IF(BW132&gt;0,BM132/BW132,0)</f>
        <v>0.48408444858196</v>
      </c>
      <c r="DH132" s="90" t="n">
        <f aca="false">IF(BW132&gt;0,CD132/BW132,0)</f>
        <v>0.23625</v>
      </c>
      <c r="DI132" s="90" t="n">
        <f aca="false">IF(AI132&gt;0,(AI132*IF(K132=3,INDEX(in_sup_vat_rate,1,C132),0)+AV132*BA132+(BC132+BD132)*AV132/AY132+AZ132*AI132/AL132)/AI132,0)</f>
        <v>0</v>
      </c>
      <c r="DJ132" s="90" t="n">
        <f aca="false">IF(AJ132&gt;0,(AJ132*IF(K132=3,INDEX(in_sup_vat_rate,1,C132),0)+AW132*BA132+(BC132+BD132)*AW132/AY132+AZ132*AJ132/AL132)/AJ132,0)</f>
        <v>0.304635310654099</v>
      </c>
      <c r="DK132" s="90" t="n">
        <f aca="false">IF(AK132&gt;0,(AK132*IF(K132=3,INDEX(in_sup_vat_rate,1,C132),0)+AX132*BA132+(BC132+BD132)*AX132/AY132+AZ132*AK132/AL132)/AK132,0)</f>
        <v>0</v>
      </c>
      <c r="DL132" s="90" t="n">
        <f aca="false">IF(Y132&gt;0,(BP132-AI132*(1+DI132))/Y132,0)</f>
        <v>0</v>
      </c>
      <c r="DM132" s="90" t="n">
        <f aca="false">IF(Z132&gt;0,(BQ132-AJ132*(1+DJ132))/Z132,0)</f>
        <v>0.229824544178843</v>
      </c>
      <c r="DN132" s="90" t="n">
        <f aca="false">IF(AA132&gt;0,(BR132-AK132*(1+DK132))/AA132,0)</f>
        <v>0</v>
      </c>
      <c r="DO132" s="86" t="str">
        <f aca="false">IF(Y132&gt;0,(CA132*(1-thr_gm_go)*(1-R132)-DL132)/(1+DI132)*I132/((1+AH132)*J132),"")</f>
        <v/>
      </c>
      <c r="DP132" s="86" t="n">
        <f aca="false">IF(Z132&gt;0,(CB132*(1-thr_gm_go)*(1-R132)-DM132)/(1+DJ132)*I132/((1+AH132)*J132),"")</f>
        <v>-2.00864570508465</v>
      </c>
      <c r="DQ132" s="86" t="str">
        <f aca="false">IF(AA132&gt;0,(CC132*(1-thr_gm_go)*(1-R132)-DN132)/(1+DK132)*I132/((1+AH132)*J132),"")</f>
        <v/>
      </c>
      <c r="DR132" s="92" t="n">
        <f aca="false">IF(AND(AY132*INDEX(in_cus_mpf_rate,1,C132)&gt;INDEX(in_cus_mpf_min,1,C132),AY132*INDEX(in_cus_mpf_rate,1,C132)&lt;INDEX(in_cus_mpf_max,1,C132)),INDEX(in_cus_mpf_rate,1,C132),0)</f>
        <v>0.003464</v>
      </c>
      <c r="DS132" s="88" t="n">
        <f aca="false">IF(AZ132&gt;INDEX(in_oce_ins_min,1,C132),INDEX(in_oce_ins_rate,1,C132)*(1+INDEX(in_oce_ins_uplift,1,C132))*AL132,0)</f>
        <v>0</v>
      </c>
      <c r="DT132" s="88" t="n">
        <f aca="false">(AL132+AN132)*(1+BA132+INDEX(in_cus_hmf,1,C132)+DR132)+DS132</f>
        <v>12846.0791270478</v>
      </c>
      <c r="DU132" s="86" t="n">
        <f aca="false">IF(DT132&gt;0,(CD132*(1-thr_gm_go)-(BM132-DT132))/DT132,0)</f>
        <v>-0.270582809895399</v>
      </c>
      <c r="DV132" s="86" t="n">
        <f aca="false">IF(DT132&gt;0,(CD132-(BM132-DT132))/DT132,0)</f>
        <v>-0.0260583936175822</v>
      </c>
      <c r="DW132" s="87" t="n">
        <f aca="false">(1+AH132)*J132*DU132-1</f>
        <v>-1.29764109088494</v>
      </c>
      <c r="DX132" s="87" t="n">
        <f aca="false">(1+AH132)*J132*DV132-1</f>
        <v>-1.02866423297934</v>
      </c>
      <c r="DY132" s="85" t="n">
        <f aca="false">IF(G132&gt;0,(CD132*(1-thr_gm_go)-(BM132-AT132))/G132,"")</f>
        <v>-11022.007313383</v>
      </c>
      <c r="DZ132" s="90" t="n">
        <f aca="false">IF(AB132&gt;0,(AL132+AN132+BB132+BC132+BD132)/AB132,0)</f>
        <v>0.233091472308214</v>
      </c>
      <c r="EA132" s="88" t="n">
        <f aca="false">BM132-DZ132*AB132</f>
        <v>12832.2797475079</v>
      </c>
      <c r="EB132" s="90" t="n">
        <f aca="false">IF(AB132&gt;0,CD132/AB132,0)</f>
        <v>0.2268</v>
      </c>
      <c r="EC132" s="85" t="str">
        <f aca="false">IF(EB132*(1-thr_gm_go)-DZ132&gt;0,EA132/(EB132*(1-thr_gm_go)-DZ132),"n/a")</f>
        <v>n/a</v>
      </c>
      <c r="ED132" s="85" t="str">
        <f aca="false">IF(EB132-DZ132&gt;0,EA132/(EB132-DZ132),"n/a")</f>
        <v>n/a</v>
      </c>
      <c r="EE132" s="93" t="b">
        <f aca="false">INDEX(cfg_fits,D132,C132)</f>
        <v>1</v>
      </c>
      <c r="EF132" s="87" t="n">
        <f aca="false">IF(F132=4,"",INDEX(cfg_lenutil,D132,C132))</f>
        <v>0.958927074601844</v>
      </c>
      <c r="EG132" s="31" t="str">
        <f aca="false">IF(O132&gt;1,"Check fit (units scaled up)","")</f>
        <v/>
      </c>
    </row>
    <row r="133" customFormat="false" ht="15" hidden="false" customHeight="false" outlineLevel="0" collapsed="false">
      <c r="A133" s="78" t="n">
        <v>3064</v>
      </c>
      <c r="B133" s="9" t="s">
        <v>3281</v>
      </c>
      <c r="C133" s="78" t="n">
        <v>3</v>
      </c>
      <c r="D133" s="78" t="n">
        <v>6</v>
      </c>
      <c r="E133" s="78" t="n">
        <v>4</v>
      </c>
      <c r="F133" s="79" t="n">
        <f aca="false">INDEX(cfg_ct,D133)</f>
        <v>3</v>
      </c>
      <c r="G133" s="79" t="n">
        <f aca="false">INDEX(cfg_n,D133)</f>
        <v>1</v>
      </c>
      <c r="H133" s="79" t="n">
        <f aca="false">INDEX(dest_port,E133)</f>
        <v>3</v>
      </c>
      <c r="I133" s="80" t="n">
        <f aca="false">INDEX(in_fx_cbe,1,C133)*(1-INDEX(in_fx_spread,1,C133))</f>
        <v>48.265</v>
      </c>
      <c r="J133" s="81" t="n">
        <f aca="false">1</f>
        <v>1</v>
      </c>
      <c r="K133" s="82" t="n">
        <f aca="false">INDEX(in_sup_vat_mode,1,C133)</f>
        <v>3</v>
      </c>
      <c r="L133" s="83" t="n">
        <f aca="false">INDEX(in_cus_s301,1,C133)</f>
        <v>0.125</v>
      </c>
      <c r="M133" s="84" t="n">
        <f aca="false">1</f>
        <v>1</v>
      </c>
      <c r="N133" s="81" t="n">
        <f aca="false">1</f>
        <v>1</v>
      </c>
      <c r="O133" s="81" t="n">
        <f aca="false">1</f>
        <v>1</v>
      </c>
      <c r="P133" s="81" t="n">
        <f aca="false">1</f>
        <v>1</v>
      </c>
      <c r="Q133" s="81" t="n">
        <f aca="false">1</f>
        <v>1</v>
      </c>
      <c r="R133" s="83" t="n">
        <f aca="false">INDEX(in_sel_damage,1,C133)</f>
        <v>0.04</v>
      </c>
      <c r="S133" s="83" t="n">
        <f aca="false">INDEX(in_mkt_dist_margin,1,C133)</f>
        <v>0.3</v>
      </c>
      <c r="T133" s="83" t="n">
        <f aca="false">INDEX(in_mkt_eflute_disc,1,C133)</f>
        <v>0.25</v>
      </c>
      <c r="U133" s="82" t="n">
        <f aca="false">INDEX(in_sel_credit_days,1,C133)</f>
        <v>60</v>
      </c>
      <c r="V133" s="81" t="n">
        <f aca="false">1</f>
        <v>1</v>
      </c>
      <c r="W133" s="83" t="n">
        <f aca="false">INDEX(in_sel_commission,1,C133)</f>
        <v>0.07</v>
      </c>
      <c r="X133" s="82" t="n">
        <f aca="false">1</f>
        <v>1</v>
      </c>
      <c r="Y133" s="85" t="n">
        <f aca="false">INDEX(cfg_u_3464,D133,C133)*O133</f>
        <v>0</v>
      </c>
      <c r="Z133" s="85" t="n">
        <f aca="false">INDEX(cfg_u_3463,D133,C133)*O133</f>
        <v>55400</v>
      </c>
      <c r="AA133" s="85" t="n">
        <f aca="false">INDEX(cfg_u_3460,D133,C133)*O133</f>
        <v>0</v>
      </c>
      <c r="AB133" s="85" t="n">
        <f aca="false">Y133+Z133+AA133</f>
        <v>55400</v>
      </c>
      <c r="AC133" s="86" t="n">
        <f aca="false">Y133*INDEX(lg_vpu_3464,C133)</f>
        <v>0</v>
      </c>
      <c r="AD133" s="86" t="n">
        <f aca="false">Z133*INDEX(lg_vpu_3463,C133)</f>
        <v>54.2397024</v>
      </c>
      <c r="AE133" s="86" t="n">
        <f aca="false">AA133*INDEX(lg_vpu_3460,C133)</f>
        <v>0</v>
      </c>
      <c r="AF133" s="86" t="n">
        <f aca="false">AC133+AD133+AE133</f>
        <v>54.2397024</v>
      </c>
      <c r="AG133" s="85" t="n">
        <f aca="false">Y133*INDEX(lg_kpu_3464,C133)+Z133*INDEX(lg_kpu_3463,C133)+AA133*INDEX(lg_kpu_3460,C133)</f>
        <v>13227.0274432</v>
      </c>
      <c r="AH133" s="87" t="n">
        <f aca="false">INDEX(in_sup_requote,1,C133)</f>
        <v>0.1</v>
      </c>
      <c r="AI133" s="88" t="n">
        <f aca="false">Y133*q_price_3464*(1+AH133)*J133/I133</f>
        <v>0</v>
      </c>
      <c r="AJ133" s="88" t="n">
        <f aca="false">Z133*q_price_3463*(1+AH133)*J133/I133</f>
        <v>9974.64000828758</v>
      </c>
      <c r="AK133" s="88" t="n">
        <f aca="false">AA133*q_price_3460*(1+AH133)*J133/I133</f>
        <v>0</v>
      </c>
      <c r="AL133" s="88" t="n">
        <f aca="false">AI133+AJ133+AK133</f>
        <v>9974.64000828758</v>
      </c>
      <c r="AM133" s="88" t="n">
        <f aca="false">IF(OR(K133=2,K133=3),AL133*INDEX(in_sup_vat_rate,1,C133),0)</f>
        <v>1396.44960116026</v>
      </c>
      <c r="AN133" s="88" t="n">
        <f aca="false">IF(K133=3,AM133,0)</f>
        <v>1396.44960116026</v>
      </c>
      <c r="AO133" s="88" t="n">
        <f aca="false">INDEX(in_sup_tooling_egp,1,C133)/I133</f>
        <v>517.973686936704</v>
      </c>
      <c r="AP133" s="88" t="n">
        <f aca="false">IF(F133=4,INDEX(in_ori_lcl_truck,1,C133)*V133/I133+INDEX(in_ori_lcl_cfs_o,1,C133),G133*(IF(F133=1,INDEX(in_ori_truck_20,1,C133),INDEX(in_ori_truck_40,1,C133))*V133/I133+INDEX(in_ori_terminal,1,C133)+IF(F133=1,INDEX(in_ori_othc_20,1,C133),INDEX(in_ori_othc_40,1,C133))*(1-INDEX(in_ori_othc_in_freight,1,C133))+INDEX(in_ori_seal,1,C133)+INDEX(in_ori_inspection,1,C133)+INDEX(in_ori_dd_days,1,C133)*IF(F133=1,INDEX(in_ori_dd_20,1,C133),INDEX(in_ori_dd_40,1,C133))+INDEX(in_ori_loading_egp,1,C133)/I133))</f>
        <v>882.378949549363</v>
      </c>
      <c r="AQ133" s="88" t="n">
        <f aca="false">(INDEX(in_ori_clearance,1,C133)+INDEX(in_ori_coo,1,C133))/I133+INDEX(in_ori_bl_fee,1,C133)+INDEX(in_ori_fwd_fee,1,C133)+INDEX(in_ori_qc,1,C133)+INDEX(in_ori_wires,1,C133)*INDEX(in_ori_wire_fee,1,C133)</f>
        <v>1167.90842225215</v>
      </c>
      <c r="AR133" s="88" t="n">
        <f aca="false">AP133+AQ133</f>
        <v>2050.28737180151</v>
      </c>
      <c r="AS133" s="85" t="n">
        <f aca="false">INDEX(tbl_port_diff,H133,C133)</f>
        <v>100</v>
      </c>
      <c r="AT133" s="88" t="n">
        <f aca="false">IF(F133=4,MAX(AF133*INDEX(in_oce_lcl_factor,1,C133),AG133/1000,1)*INDEX(in_oce_lcl_rate,1,C133)*M133,G133*(INDEX(tbl_ocean_rate,MIN(F133,3),C133)+AS133)*M133)</f>
        <v>5100</v>
      </c>
      <c r="AU133" s="88" t="n">
        <f aca="false">AT133+INDEX(in_oce_ams,1,C133)</f>
        <v>5145</v>
      </c>
      <c r="AV133" s="88" t="n">
        <f aca="false">AI133*(1+IF(K133=3,INDEX(in_sup_vat_rate,1,C133),0))+AO133*Y133/AB133</f>
        <v>0</v>
      </c>
      <c r="AW133" s="88" t="n">
        <f aca="false">AJ133*(1+IF(K133=3,INDEX(in_sup_vat_rate,1,C133),0))+AO133*Z133/AB133</f>
        <v>11889.0632963845</v>
      </c>
      <c r="AX133" s="88" t="n">
        <f aca="false">AK133*(1+IF(K133=3,INDEX(in_sup_vat_rate,1,C133),0))+AO133*AA133/AB133</f>
        <v>0</v>
      </c>
      <c r="AY133" s="88" t="n">
        <f aca="false">AV133+AW133+AX133</f>
        <v>11889.0632963845</v>
      </c>
      <c r="AZ133" s="88" t="n">
        <f aca="false">MAX(INDEX(in_oce_ins_min,1,C133),INDEX(in_oce_ins_rate,1,C133)*(1+INDEX(in_oce_ins_uplift,1,C133))*(AL133+AO133+AR133+AU133))*(1-INDEX(in_oce_ins_in_other,1,C133))</f>
        <v>100</v>
      </c>
      <c r="BA133" s="87" t="n">
        <f aca="false">INDEX(in_cus_mfn,1,C133)+L133</f>
        <v>0.125</v>
      </c>
      <c r="BB133" s="88" t="n">
        <f aca="false">AY133*BA133</f>
        <v>1486.13291204807</v>
      </c>
      <c r="BC133" s="88" t="n">
        <f aca="false">MIN(MAX(AY133*INDEX(in_cus_mpf_rate,1,C133),INDEX(in_cus_mpf_min,1,C133)),INDEX(in_cus_mpf_max,1,C133))</f>
        <v>41.1837152586761</v>
      </c>
      <c r="BD133" s="88" t="n">
        <f aca="false">AY133*INDEX(in_cus_hmf,1,C133)</f>
        <v>14.8613291204807</v>
      </c>
      <c r="BE133" s="88" t="n">
        <f aca="false">MAX(INDEX(in_cus_stb_min,1,C133),INDEX(in_cus_stb_rate,1,C133)/1000*(AY133+BB133+BC133+BD133))</f>
        <v>94.0186887696824</v>
      </c>
      <c r="BF133" s="88" t="n">
        <f aca="false">INDEX(in_cus_broker,1,C133)+INDEX(in_cus_isf,1,C133)+INDEX(in_cus_do_fee,1,C133)+BE133+INDEX(in_cus_isf_bond,1,C133)</f>
        <v>719.018688769682</v>
      </c>
      <c r="BG133" s="88" t="n">
        <f aca="false">IF(H133=1,INDEX(in_cus_cfc,1,C133)*INDEX(ct_teu,F133)*G133*(1-INDEX(in_cus_cfc_in_freight,1,C133)),0)</f>
        <v>0</v>
      </c>
      <c r="BH133" s="88" t="n">
        <f aca="false">IF(F133=4,1,G133)*(INDEX(in_cus_exam,1,C133)+INDEX(in_cus_exam_dray,1,C133))</f>
        <v>600</v>
      </c>
      <c r="BI133" s="88" t="n">
        <f aca="false">IF(F133=4,1,G133)*INDEX(in_cus_dem_days,1,C133)*INDEX(in_cus_dem_rate,1,C133)</f>
        <v>750</v>
      </c>
      <c r="BJ133" s="88" t="n">
        <f aca="false">BG133+BH133+BI133</f>
        <v>1350</v>
      </c>
      <c r="BK133" s="88" t="n">
        <f aca="false">IF(F133=4,(INDEX(in_dra_lcl_cfs_d,1,C133)+INDEX(in_dra_lcl_deliv,1,C133))*P133,G133*(INDEX(tbl_dest_line,E133,C133)*P133*(1+INDEX(in_dra_fsc,1,C133))+INDEX(tbl_dest_tolls,E133,C133)+INDEX(in_dra_chassis_days,1,C133)*INDEX(tbl_dest_chassis,E133,C133)*(1-INDEX(in_dra_chassis_in_dray,1,C133))+INDEX(in_dra_wait_hours,1,C133)*INDEX(in_dra_wait_rate,1,C133)+INDEX(in_dra_split,1,C133)+INDEX(in_dra_prepull,1,C133)+INDEX(in_dra_dryrun,1,C133)))</f>
        <v>2850</v>
      </c>
      <c r="BL133" s="88" t="n">
        <f aca="false">IF(F133=4,0,G133*IF(F133=1,INDEX(in_dra_unload_20,1,C133),INDEX(in_dra_unload_40,1,C133))*Q133*(1-INDEX(in_dra_unload_in_dray,1,C133)))</f>
        <v>650</v>
      </c>
      <c r="BM133" s="88" t="n">
        <f aca="false">AL133+AN133+AO133+AR133+AU133+AZ133+BB133+BC133+BD133+BF133+BJ133+BK133+BL133</f>
        <v>26295.547313383</v>
      </c>
      <c r="BN133" s="88" t="n">
        <f aca="false">AP133+AU133+BJ133+BK133+BL133</f>
        <v>10877.3789495494</v>
      </c>
      <c r="BO133" s="88" t="n">
        <f aca="false">AQ133+BF133</f>
        <v>1886.92711102183</v>
      </c>
      <c r="BP133" s="88" t="n">
        <f aca="false">AI133*(1+IF(K133=3,INDEX(in_sup_vat_rate,1,C133),0))+AO133*Y133/AB133+AV133*BA133+(BC133+BD133)*AV133/AY133+AZ133*AI133/AL133+BN133*AC133/AF133+BO133*Y133/AB133</f>
        <v>0</v>
      </c>
      <c r="BQ133" s="88" t="n">
        <f aca="false">AJ133*(1+IF(K133=3,INDEX(in_sup_vat_rate,1,C133),0))+AO133*Z133/AB133+AW133*BA133+(BC133+BD133)*AW133/AY133+AZ133*AJ133/AL133+BN133*AD133/AF133+BO133*Z133/AB133</f>
        <v>26295.547313383</v>
      </c>
      <c r="BR133" s="88" t="n">
        <f aca="false">AK133*(1+IF(K133=3,INDEX(in_sup_vat_rate,1,C133),0))+AO133*AA133/AB133+AX133*BA133+(BC133+BD133)*AX133/AY133+AZ133*AK133/AL133+BN133*AE133/AF133+BO133*AA133/AB133</f>
        <v>0</v>
      </c>
      <c r="BS133" s="89" t="n">
        <f aca="false">BP133+BQ133+BR133-BM133</f>
        <v>0</v>
      </c>
      <c r="BT133" s="85" t="n">
        <f aca="false">Y133*(1-R133)</f>
        <v>0</v>
      </c>
      <c r="BU133" s="85" t="n">
        <f aca="false">Z133*(1-R133)</f>
        <v>53184</v>
      </c>
      <c r="BV133" s="85" t="n">
        <f aca="false">AA133*(1-R133)</f>
        <v>0</v>
      </c>
      <c r="BW133" s="85" t="n">
        <f aca="false">BT133+BU133+BV133</f>
        <v>53184</v>
      </c>
      <c r="BX133" s="90" t="n">
        <f aca="false">IF(BT133&gt;0,BP133/BT133,0)</f>
        <v>0</v>
      </c>
      <c r="BY133" s="90" t="n">
        <f aca="false">IF(BU133&gt;0,BQ133/BU133,0)</f>
        <v>0.494425904658976</v>
      </c>
      <c r="BZ133" s="90" t="n">
        <f aca="false">IF(BV133&gt;0,BR133/BV133,0)</f>
        <v>0</v>
      </c>
      <c r="CA133" s="90" t="n">
        <f aca="false">INDEX(in_mkt_listing_3464,1,C133)*(1-IF(sku_flute_3464="B",T133,0))*(1-S133)*N133</f>
        <v>0.1995</v>
      </c>
      <c r="CB133" s="90" t="n">
        <f aca="false">INDEX(in_mkt_listing_3463,1,C133)*(1-IF(sku_flute_3463="B",T133,0))*(1-S133)*N133</f>
        <v>0.23625</v>
      </c>
      <c r="CC133" s="90" t="n">
        <f aca="false">INDEX(in_mkt_listing_3460,1,C133)*(1-IF(sku_flute_3460="B",T133,0))*(1-S133)*N133</f>
        <v>0.21</v>
      </c>
      <c r="CD133" s="88" t="n">
        <f aca="false">BT133*CA133+BU133*CB133+BV133*CC133</f>
        <v>12564.72</v>
      </c>
      <c r="CE133" s="88" t="n">
        <f aca="false">CD133-BM133</f>
        <v>-13730.827313383</v>
      </c>
      <c r="CF133" s="87" t="n">
        <f aca="false">IF(CD133&gt;0,CE133/CD133,0)</f>
        <v>-1.09280806204858</v>
      </c>
      <c r="CG133" s="87" t="n">
        <f aca="false">W133+INDEX(in_sel_processing,1,C133)+INDEX(in_sel_bad_debt,1,C133)</f>
        <v>0.095</v>
      </c>
      <c r="CH133" s="88" t="n">
        <f aca="false">CD133*CG133</f>
        <v>1193.6484</v>
      </c>
      <c r="CI133" s="88" t="n">
        <f aca="false">INDEX(in_sel_testing,1,C133)*X133+INDEX(in_sel_admin,1,C133)</f>
        <v>4750</v>
      </c>
      <c r="CJ133" s="79" t="n">
        <f aca="false">INDEX(in_sup_lead_days,1,C133)</f>
        <v>35</v>
      </c>
      <c r="CK133" s="79" t="n">
        <f aca="false">CJ133+INDEX(in_oce_transit,1,C133)+IF(F133=4,INDEX(in_oce_lcl_extra_days,1,C133),0)</f>
        <v>73</v>
      </c>
      <c r="CL133" s="79" t="n">
        <f aca="false">CK133+2+INDEX(in_cus_dem_days,1,C133)</f>
        <v>78</v>
      </c>
      <c r="CM133" s="79" t="n">
        <f aca="false">CL133+U133</f>
        <v>138</v>
      </c>
      <c r="CN133" s="79" t="n">
        <f aca="false">CJ133+INDEX(in_sup_vat_lag,1,C133)</f>
        <v>215</v>
      </c>
      <c r="CO133" s="91" t="n">
        <f aca="false">INDEX(in_sup_advance,1,C133)</f>
        <v>0.5</v>
      </c>
      <c r="CP133" s="88" t="n">
        <f aca="false">CO133*(AL133+AM133)+AO133+INDEX(in_sel_testing,1,C133)*X133</f>
        <v>10203.5184916606</v>
      </c>
      <c r="CQ133" s="88" t="n">
        <f aca="false">(1-CO133)*(AL133+AM133)+AR133+AU133+AZ133</f>
        <v>12980.8321765254</v>
      </c>
      <c r="CR133" s="88" t="n">
        <f aca="false">BB133+BC133+BD133+BF133+BJ133</f>
        <v>3611.19664519691</v>
      </c>
      <c r="CS133" s="88" t="n">
        <f aca="false">BK133+BL133</f>
        <v>3500</v>
      </c>
      <c r="CT133" s="88" t="n">
        <f aca="false">IF(K133=2,AM133,0)</f>
        <v>0</v>
      </c>
      <c r="CU133" s="85" t="n">
        <f aca="false">IF(K133=2,CO133*AM133*(CN133-0)+(1-CO133)*AM133*(CN133-CJ133),0)</f>
        <v>0</v>
      </c>
      <c r="CV133" s="85" t="n">
        <f aca="false">(CP133-CO133*CT133)*(CM133-0)+(CQ133-(1-CO133)*CT133)*(CM133-CJ133)+CR133*(CM133-CK133)+CS133*(CM133-CL133)</f>
        <v>3189839.04796908</v>
      </c>
      <c r="CW133" s="88" t="n">
        <f aca="false">INDEX(in_sel_fin_rate,1,C133)/365*(CU133+CV133)</f>
        <v>1223.49990881006</v>
      </c>
      <c r="CX133" s="85" t="n">
        <f aca="false">CP133-IF(CN133&lt;=0,CT133,0)</f>
        <v>10203.5184916606</v>
      </c>
      <c r="CY133" s="85" t="n">
        <f aca="false">CP133+CQ133-IF(CN133&lt;=CJ133,CT133,0)</f>
        <v>23184.3506681861</v>
      </c>
      <c r="CZ133" s="85" t="n">
        <f aca="false">CP133+CQ133+CR133-IF(CN133&lt;=CK133,CT133,0)</f>
        <v>26795.547313383</v>
      </c>
      <c r="DA133" s="85" t="n">
        <f aca="false">CP133+CQ133+CR133+CS133-IF(CN133&lt;=CL133,CT133,0)</f>
        <v>30295.547313383</v>
      </c>
      <c r="DB133" s="88" t="n">
        <f aca="false">MAX(CX133,CY133,CZ133,DA133)</f>
        <v>30295.547313383</v>
      </c>
      <c r="DC133" s="88" t="n">
        <f aca="false">CP133+CQ133+CR133+CS133</f>
        <v>30295.547313383</v>
      </c>
      <c r="DD133" s="88" t="n">
        <f aca="false">CE133-CH133-CI133-CW133</f>
        <v>-20897.975622193</v>
      </c>
      <c r="DE133" s="87" t="n">
        <f aca="false">IF(CD133&gt;0,DD133/CD133,0)</f>
        <v>-1.66322652810353</v>
      </c>
      <c r="DF133" s="86" t="n">
        <f aca="false">IF(CD133&gt;0,(BM133+CI133+CW133)/(CD133*(1-CG133)),0)</f>
        <v>2.8378193680702</v>
      </c>
      <c r="DG133" s="90" t="n">
        <f aca="false">IF(BW133&gt;0,BM133/BW133,0)</f>
        <v>0.494425904658976</v>
      </c>
      <c r="DH133" s="90" t="n">
        <f aca="false">IF(BW133&gt;0,CD133/BW133,0)</f>
        <v>0.23625</v>
      </c>
      <c r="DI133" s="90" t="n">
        <f aca="false">IF(AI133&gt;0,(AI133*IF(K133=3,INDEX(in_sup_vat_rate,1,C133),0)+AV133*BA133+(BC133+BD133)*AV133/AY133+AZ133*AI133/AL133)/AI133,0)</f>
        <v>0</v>
      </c>
      <c r="DJ133" s="90" t="n">
        <f aca="false">IF(AJ133&gt;0,(AJ133*IF(K133=3,INDEX(in_sup_vat_rate,1,C133),0)+AW133*BA133+(BC133+BD133)*AW133/AY133+AZ133*AJ133/AL133)/AJ133,0)</f>
        <v>0.304635310654099</v>
      </c>
      <c r="DK133" s="90" t="n">
        <f aca="false">IF(AK133&gt;0,(AK133*IF(K133=3,INDEX(in_sup_vat_rate,1,C133),0)+AX133*BA133+(BC133+BD133)*AX133/AY133+AZ133*AK133/AL133)/AK133,0)</f>
        <v>0</v>
      </c>
      <c r="DL133" s="90" t="n">
        <f aca="false">IF(Y133&gt;0,(BP133-AI133*(1+DI133))/Y133,0)</f>
        <v>0</v>
      </c>
      <c r="DM133" s="90" t="n">
        <f aca="false">IF(Z133&gt;0,(BQ133-AJ133*(1+DJ133))/Z133,0)</f>
        <v>0.239752342012778</v>
      </c>
      <c r="DN133" s="90" t="n">
        <f aca="false">IF(AA133&gt;0,(BR133-AK133*(1+DK133))/AA133,0)</f>
        <v>0</v>
      </c>
      <c r="DO133" s="86" t="str">
        <f aca="false">IF(Y133&gt;0,(CA133*(1-thr_gm_go)*(1-R133)-DL133)/(1+DI133)*I133/((1+AH133)*J133),"")</f>
        <v/>
      </c>
      <c r="DP133" s="86" t="n">
        <f aca="false">IF(Z133&gt;0,(CB133*(1-thr_gm_go)*(1-R133)-DM133)/(1+DJ133)*I133/((1+AH133)*J133),"")</f>
        <v>-2.3425357121874</v>
      </c>
      <c r="DQ133" s="86" t="str">
        <f aca="false">IF(AA133&gt;0,(CC133*(1-thr_gm_go)*(1-R133)-DN133)/(1+DK133)*I133/((1+AH133)*J133),"")</f>
        <v/>
      </c>
      <c r="DR133" s="92" t="n">
        <f aca="false">IF(AND(AY133*INDEX(in_cus_mpf_rate,1,C133)&gt;INDEX(in_cus_mpf_min,1,C133),AY133*INDEX(in_cus_mpf_rate,1,C133)&lt;INDEX(in_cus_mpf_max,1,C133)),INDEX(in_cus_mpf_rate,1,C133),0)</f>
        <v>0.003464</v>
      </c>
      <c r="DS133" s="88" t="n">
        <f aca="false">IF(AZ133&gt;INDEX(in_oce_ins_min,1,C133),INDEX(in_oce_ins_rate,1,C133)*(1+INDEX(in_oce_ins_uplift,1,C133))*AL133,0)</f>
        <v>0</v>
      </c>
      <c r="DT133" s="88" t="n">
        <f aca="false">(AL133+AN133)*(1+BA133+INDEX(in_cus_hmf,1,C133)+DR133)+DS133</f>
        <v>12846.0791270478</v>
      </c>
      <c r="DU133" s="86" t="n">
        <f aca="false">IF(DT133&gt;0,(CD133*(1-thr_gm_go)-(BM133-DT133))/DT133,0)</f>
        <v>-0.313397430182297</v>
      </c>
      <c r="DV133" s="86" t="n">
        <f aca="false">IF(DT133&gt;0,(CD133-(BM133-DT133))/DT133,0)</f>
        <v>-0.0688730139044805</v>
      </c>
      <c r="DW133" s="87" t="n">
        <f aca="false">(1+AH133)*J133*DU133-1</f>
        <v>-1.34473717320053</v>
      </c>
      <c r="DX133" s="87" t="n">
        <f aca="false">(1+AH133)*J133*DV133-1</f>
        <v>-1.07576031529493</v>
      </c>
      <c r="DY133" s="85" t="n">
        <f aca="false">IF(G133&gt;0,(CD133*(1-thr_gm_go)-(BM133-AT133))/G133,"")</f>
        <v>-11772.007313383</v>
      </c>
      <c r="DZ133" s="90" t="n">
        <f aca="false">IF(AB133&gt;0,(AL133+AN133+BB133+BC133+BD133)/AB133,0)</f>
        <v>0.233091472308214</v>
      </c>
      <c r="EA133" s="88" t="n">
        <f aca="false">BM133-DZ133*AB133</f>
        <v>13382.2797475079</v>
      </c>
      <c r="EB133" s="90" t="n">
        <f aca="false">IF(AB133&gt;0,CD133/AB133,0)</f>
        <v>0.2268</v>
      </c>
      <c r="EC133" s="85" t="str">
        <f aca="false">IF(EB133*(1-thr_gm_go)-DZ133&gt;0,EA133/(EB133*(1-thr_gm_go)-DZ133),"n/a")</f>
        <v>n/a</v>
      </c>
      <c r="ED133" s="85" t="str">
        <f aca="false">IF(EB133-DZ133&gt;0,EA133/(EB133-DZ133),"n/a")</f>
        <v>n/a</v>
      </c>
      <c r="EE133" s="93" t="b">
        <f aca="false">INDEX(cfg_fits,D133,C133)</f>
        <v>1</v>
      </c>
      <c r="EF133" s="87" t="n">
        <f aca="false">IF(F133=4,"",INDEX(cfg_lenutil,D133,C133))</f>
        <v>0.958927074601844</v>
      </c>
      <c r="EG133" s="31" t="str">
        <f aca="false">IF(O133&gt;1,"Check fit (units scaled up)","")</f>
        <v/>
      </c>
    </row>
    <row r="134" customFormat="false" ht="15" hidden="false" customHeight="false" outlineLevel="0" collapsed="false">
      <c r="A134" s="78" t="n">
        <v>3065</v>
      </c>
      <c r="B134" s="9" t="s">
        <v>3282</v>
      </c>
      <c r="C134" s="78" t="n">
        <v>3</v>
      </c>
      <c r="D134" s="78" t="n">
        <v>6</v>
      </c>
      <c r="E134" s="78" t="n">
        <v>5</v>
      </c>
      <c r="F134" s="79" t="n">
        <f aca="false">INDEX(cfg_ct,D134)</f>
        <v>3</v>
      </c>
      <c r="G134" s="79" t="n">
        <f aca="false">INDEX(cfg_n,D134)</f>
        <v>1</v>
      </c>
      <c r="H134" s="79" t="n">
        <f aca="false">INDEX(dest_port,E134)</f>
        <v>4</v>
      </c>
      <c r="I134" s="80" t="n">
        <f aca="false">INDEX(in_fx_cbe,1,C134)*(1-INDEX(in_fx_spread,1,C134))</f>
        <v>48.265</v>
      </c>
      <c r="J134" s="81" t="n">
        <f aca="false">1</f>
        <v>1</v>
      </c>
      <c r="K134" s="82" t="n">
        <f aca="false">INDEX(in_sup_vat_mode,1,C134)</f>
        <v>3</v>
      </c>
      <c r="L134" s="83" t="n">
        <f aca="false">INDEX(in_cus_s301,1,C134)</f>
        <v>0.125</v>
      </c>
      <c r="M134" s="84" t="n">
        <f aca="false">1</f>
        <v>1</v>
      </c>
      <c r="N134" s="81" t="n">
        <f aca="false">1</f>
        <v>1</v>
      </c>
      <c r="O134" s="81" t="n">
        <f aca="false">1</f>
        <v>1</v>
      </c>
      <c r="P134" s="81" t="n">
        <f aca="false">1</f>
        <v>1</v>
      </c>
      <c r="Q134" s="81" t="n">
        <f aca="false">1</f>
        <v>1</v>
      </c>
      <c r="R134" s="83" t="n">
        <f aca="false">INDEX(in_sel_damage,1,C134)</f>
        <v>0.04</v>
      </c>
      <c r="S134" s="83" t="n">
        <f aca="false">INDEX(in_mkt_dist_margin,1,C134)</f>
        <v>0.3</v>
      </c>
      <c r="T134" s="83" t="n">
        <f aca="false">INDEX(in_mkt_eflute_disc,1,C134)</f>
        <v>0.25</v>
      </c>
      <c r="U134" s="82" t="n">
        <f aca="false">INDEX(in_sel_credit_days,1,C134)</f>
        <v>60</v>
      </c>
      <c r="V134" s="81" t="n">
        <f aca="false">1</f>
        <v>1</v>
      </c>
      <c r="W134" s="83" t="n">
        <f aca="false">INDEX(in_sel_commission,1,C134)</f>
        <v>0.07</v>
      </c>
      <c r="X134" s="82" t="n">
        <f aca="false">1</f>
        <v>1</v>
      </c>
      <c r="Y134" s="85" t="n">
        <f aca="false">INDEX(cfg_u_3464,D134,C134)*O134</f>
        <v>0</v>
      </c>
      <c r="Z134" s="85" t="n">
        <f aca="false">INDEX(cfg_u_3463,D134,C134)*O134</f>
        <v>55400</v>
      </c>
      <c r="AA134" s="85" t="n">
        <f aca="false">INDEX(cfg_u_3460,D134,C134)*O134</f>
        <v>0</v>
      </c>
      <c r="AB134" s="85" t="n">
        <f aca="false">Y134+Z134+AA134</f>
        <v>55400</v>
      </c>
      <c r="AC134" s="86" t="n">
        <f aca="false">Y134*INDEX(lg_vpu_3464,C134)</f>
        <v>0</v>
      </c>
      <c r="AD134" s="86" t="n">
        <f aca="false">Z134*INDEX(lg_vpu_3463,C134)</f>
        <v>54.2397024</v>
      </c>
      <c r="AE134" s="86" t="n">
        <f aca="false">AA134*INDEX(lg_vpu_3460,C134)</f>
        <v>0</v>
      </c>
      <c r="AF134" s="86" t="n">
        <f aca="false">AC134+AD134+AE134</f>
        <v>54.2397024</v>
      </c>
      <c r="AG134" s="85" t="n">
        <f aca="false">Y134*INDEX(lg_kpu_3464,C134)+Z134*INDEX(lg_kpu_3463,C134)+AA134*INDEX(lg_kpu_3460,C134)</f>
        <v>13227.0274432</v>
      </c>
      <c r="AH134" s="87" t="n">
        <f aca="false">INDEX(in_sup_requote,1,C134)</f>
        <v>0.1</v>
      </c>
      <c r="AI134" s="88" t="n">
        <f aca="false">Y134*q_price_3464*(1+AH134)*J134/I134</f>
        <v>0</v>
      </c>
      <c r="AJ134" s="88" t="n">
        <f aca="false">Z134*q_price_3463*(1+AH134)*J134/I134</f>
        <v>9974.64000828758</v>
      </c>
      <c r="AK134" s="88" t="n">
        <f aca="false">AA134*q_price_3460*(1+AH134)*J134/I134</f>
        <v>0</v>
      </c>
      <c r="AL134" s="88" t="n">
        <f aca="false">AI134+AJ134+AK134</f>
        <v>9974.64000828758</v>
      </c>
      <c r="AM134" s="88" t="n">
        <f aca="false">IF(OR(K134=2,K134=3),AL134*INDEX(in_sup_vat_rate,1,C134),0)</f>
        <v>1396.44960116026</v>
      </c>
      <c r="AN134" s="88" t="n">
        <f aca="false">IF(K134=3,AM134,0)</f>
        <v>1396.44960116026</v>
      </c>
      <c r="AO134" s="88" t="n">
        <f aca="false">INDEX(in_sup_tooling_egp,1,C134)/I134</f>
        <v>517.973686936704</v>
      </c>
      <c r="AP134" s="88" t="n">
        <f aca="false">IF(F134=4,INDEX(in_ori_lcl_truck,1,C134)*V134/I134+INDEX(in_ori_lcl_cfs_o,1,C134),G134*(IF(F134=1,INDEX(in_ori_truck_20,1,C134),INDEX(in_ori_truck_40,1,C134))*V134/I134+INDEX(in_ori_terminal,1,C134)+IF(F134=1,INDEX(in_ori_othc_20,1,C134),INDEX(in_ori_othc_40,1,C134))*(1-INDEX(in_ori_othc_in_freight,1,C134))+INDEX(in_ori_seal,1,C134)+INDEX(in_ori_inspection,1,C134)+INDEX(in_ori_dd_days,1,C134)*IF(F134=1,INDEX(in_ori_dd_20,1,C134),INDEX(in_ori_dd_40,1,C134))+INDEX(in_ori_loading_egp,1,C134)/I134))</f>
        <v>882.378949549363</v>
      </c>
      <c r="AQ134" s="88" t="n">
        <f aca="false">(INDEX(in_ori_clearance,1,C134)+INDEX(in_ori_coo,1,C134))/I134+INDEX(in_ori_bl_fee,1,C134)+INDEX(in_ori_fwd_fee,1,C134)+INDEX(in_ori_qc,1,C134)+INDEX(in_ori_wires,1,C134)*INDEX(in_ori_wire_fee,1,C134)</f>
        <v>1167.90842225215</v>
      </c>
      <c r="AR134" s="88" t="n">
        <f aca="false">AP134+AQ134</f>
        <v>2050.28737180151</v>
      </c>
      <c r="AS134" s="85" t="n">
        <f aca="false">INDEX(tbl_port_diff,H134,C134)</f>
        <v>200</v>
      </c>
      <c r="AT134" s="88" t="n">
        <f aca="false">IF(F134=4,MAX(AF134*INDEX(in_oce_lcl_factor,1,C134),AG134/1000,1)*INDEX(in_oce_lcl_rate,1,C134)*M134,G134*(INDEX(tbl_ocean_rate,MIN(F134,3),C134)+AS134)*M134)</f>
        <v>5200</v>
      </c>
      <c r="AU134" s="88" t="n">
        <f aca="false">AT134+INDEX(in_oce_ams,1,C134)</f>
        <v>5245</v>
      </c>
      <c r="AV134" s="88" t="n">
        <f aca="false">AI134*(1+IF(K134=3,INDEX(in_sup_vat_rate,1,C134),0))+AO134*Y134/AB134</f>
        <v>0</v>
      </c>
      <c r="AW134" s="88" t="n">
        <f aca="false">AJ134*(1+IF(K134=3,INDEX(in_sup_vat_rate,1,C134),0))+AO134*Z134/AB134</f>
        <v>11889.0632963845</v>
      </c>
      <c r="AX134" s="88" t="n">
        <f aca="false">AK134*(1+IF(K134=3,INDEX(in_sup_vat_rate,1,C134),0))+AO134*AA134/AB134</f>
        <v>0</v>
      </c>
      <c r="AY134" s="88" t="n">
        <f aca="false">AV134+AW134+AX134</f>
        <v>11889.0632963845</v>
      </c>
      <c r="AZ134" s="88" t="n">
        <f aca="false">MAX(INDEX(in_oce_ins_min,1,C134),INDEX(in_oce_ins_rate,1,C134)*(1+INDEX(in_oce_ins_uplift,1,C134))*(AL134+AO134+AR134+AU134))*(1-INDEX(in_oce_ins_in_other,1,C134))</f>
        <v>100</v>
      </c>
      <c r="BA134" s="87" t="n">
        <f aca="false">INDEX(in_cus_mfn,1,C134)+L134</f>
        <v>0.125</v>
      </c>
      <c r="BB134" s="88" t="n">
        <f aca="false">AY134*BA134</f>
        <v>1486.13291204807</v>
      </c>
      <c r="BC134" s="88" t="n">
        <f aca="false">MIN(MAX(AY134*INDEX(in_cus_mpf_rate,1,C134),INDEX(in_cus_mpf_min,1,C134)),INDEX(in_cus_mpf_max,1,C134))</f>
        <v>41.1837152586761</v>
      </c>
      <c r="BD134" s="88" t="n">
        <f aca="false">AY134*INDEX(in_cus_hmf,1,C134)</f>
        <v>14.8613291204807</v>
      </c>
      <c r="BE134" s="88" t="n">
        <f aca="false">MAX(INDEX(in_cus_stb_min,1,C134),INDEX(in_cus_stb_rate,1,C134)/1000*(AY134+BB134+BC134+BD134))</f>
        <v>94.0186887696824</v>
      </c>
      <c r="BF134" s="88" t="n">
        <f aca="false">INDEX(in_cus_broker,1,C134)+INDEX(in_cus_isf,1,C134)+INDEX(in_cus_do_fee,1,C134)+BE134+INDEX(in_cus_isf_bond,1,C134)</f>
        <v>719.018688769682</v>
      </c>
      <c r="BG134" s="88" t="n">
        <f aca="false">IF(H134=1,INDEX(in_cus_cfc,1,C134)*INDEX(ct_teu,F134)*G134*(1-INDEX(in_cus_cfc_in_freight,1,C134)),0)</f>
        <v>0</v>
      </c>
      <c r="BH134" s="88" t="n">
        <f aca="false">IF(F134=4,1,G134)*(INDEX(in_cus_exam,1,C134)+INDEX(in_cus_exam_dray,1,C134))</f>
        <v>600</v>
      </c>
      <c r="BI134" s="88" t="n">
        <f aca="false">IF(F134=4,1,G134)*INDEX(in_cus_dem_days,1,C134)*INDEX(in_cus_dem_rate,1,C134)</f>
        <v>750</v>
      </c>
      <c r="BJ134" s="88" t="n">
        <f aca="false">BG134+BH134+BI134</f>
        <v>1350</v>
      </c>
      <c r="BK134" s="88" t="n">
        <f aca="false">IF(F134=4,(INDEX(in_dra_lcl_cfs_d,1,C134)+INDEX(in_dra_lcl_deliv,1,C134))*P134,G134*(INDEX(tbl_dest_line,E134,C134)*P134*(1+INDEX(in_dra_fsc,1,C134))+INDEX(tbl_dest_tolls,E134,C134)+INDEX(in_dra_chassis_days,1,C134)*INDEX(tbl_dest_chassis,E134,C134)*(1-INDEX(in_dra_chassis_in_dray,1,C134))+INDEX(in_dra_wait_hours,1,C134)*INDEX(in_dra_wait_rate,1,C134)+INDEX(in_dra_split,1,C134)+INDEX(in_dra_prepull,1,C134)+INDEX(in_dra_dryrun,1,C134)))</f>
        <v>3465</v>
      </c>
      <c r="BL134" s="88" t="n">
        <f aca="false">IF(F134=4,0,G134*IF(F134=1,INDEX(in_dra_unload_20,1,C134),INDEX(in_dra_unload_40,1,C134))*Q134*(1-INDEX(in_dra_unload_in_dray,1,C134)))</f>
        <v>650</v>
      </c>
      <c r="BM134" s="88" t="n">
        <f aca="false">AL134+AN134+AO134+AR134+AU134+AZ134+BB134+BC134+BD134+BF134+BJ134+BK134+BL134</f>
        <v>27010.547313383</v>
      </c>
      <c r="BN134" s="88" t="n">
        <f aca="false">AP134+AU134+BJ134+BK134+BL134</f>
        <v>11592.3789495494</v>
      </c>
      <c r="BO134" s="88" t="n">
        <f aca="false">AQ134+BF134</f>
        <v>1886.92711102183</v>
      </c>
      <c r="BP134" s="88" t="n">
        <f aca="false">AI134*(1+IF(K134=3,INDEX(in_sup_vat_rate,1,C134),0))+AO134*Y134/AB134+AV134*BA134+(BC134+BD134)*AV134/AY134+AZ134*AI134/AL134+BN134*AC134/AF134+BO134*Y134/AB134</f>
        <v>0</v>
      </c>
      <c r="BQ134" s="88" t="n">
        <f aca="false">AJ134*(1+IF(K134=3,INDEX(in_sup_vat_rate,1,C134),0))+AO134*Z134/AB134+AW134*BA134+(BC134+BD134)*AW134/AY134+AZ134*AJ134/AL134+BN134*AD134/AF134+BO134*Z134/AB134</f>
        <v>27010.547313383</v>
      </c>
      <c r="BR134" s="88" t="n">
        <f aca="false">AK134*(1+IF(K134=3,INDEX(in_sup_vat_rate,1,C134),0))+AO134*AA134/AB134+AX134*BA134+(BC134+BD134)*AX134/AY134+AZ134*AK134/AL134+BN134*AE134/AF134+BO134*AA134/AB134</f>
        <v>0</v>
      </c>
      <c r="BS134" s="89" t="n">
        <f aca="false">BP134+BQ134+BR134-BM134</f>
        <v>0</v>
      </c>
      <c r="BT134" s="85" t="n">
        <f aca="false">Y134*(1-R134)</f>
        <v>0</v>
      </c>
      <c r="BU134" s="85" t="n">
        <f aca="false">Z134*(1-R134)</f>
        <v>53184</v>
      </c>
      <c r="BV134" s="85" t="n">
        <f aca="false">AA134*(1-R134)</f>
        <v>0</v>
      </c>
      <c r="BW134" s="85" t="n">
        <f aca="false">BT134+BU134+BV134</f>
        <v>53184</v>
      </c>
      <c r="BX134" s="90" t="n">
        <f aca="false">IF(BT134&gt;0,BP134/BT134,0)</f>
        <v>0</v>
      </c>
      <c r="BY134" s="90" t="n">
        <f aca="false">IF(BU134&gt;0,BQ134/BU134,0)</f>
        <v>0.507869797559096</v>
      </c>
      <c r="BZ134" s="90" t="n">
        <f aca="false">IF(BV134&gt;0,BR134/BV134,0)</f>
        <v>0</v>
      </c>
      <c r="CA134" s="90" t="n">
        <f aca="false">INDEX(in_mkt_listing_3464,1,C134)*(1-IF(sku_flute_3464="B",T134,0))*(1-S134)*N134</f>
        <v>0.1995</v>
      </c>
      <c r="CB134" s="90" t="n">
        <f aca="false">INDEX(in_mkt_listing_3463,1,C134)*(1-IF(sku_flute_3463="B",T134,0))*(1-S134)*N134</f>
        <v>0.23625</v>
      </c>
      <c r="CC134" s="90" t="n">
        <f aca="false">INDEX(in_mkt_listing_3460,1,C134)*(1-IF(sku_flute_3460="B",T134,0))*(1-S134)*N134</f>
        <v>0.21</v>
      </c>
      <c r="CD134" s="88" t="n">
        <f aca="false">BT134*CA134+BU134*CB134+BV134*CC134</f>
        <v>12564.72</v>
      </c>
      <c r="CE134" s="88" t="n">
        <f aca="false">CD134-BM134</f>
        <v>-14445.827313383</v>
      </c>
      <c r="CF134" s="87" t="n">
        <f aca="false">IF(CD134&gt;0,CE134/CD134,0)</f>
        <v>-1.14971342882157</v>
      </c>
      <c r="CG134" s="87" t="n">
        <f aca="false">W134+INDEX(in_sel_processing,1,C134)+INDEX(in_sel_bad_debt,1,C134)</f>
        <v>0.095</v>
      </c>
      <c r="CH134" s="88" t="n">
        <f aca="false">CD134*CG134</f>
        <v>1193.6484</v>
      </c>
      <c r="CI134" s="88" t="n">
        <f aca="false">INDEX(in_sel_testing,1,C134)*X134+INDEX(in_sel_admin,1,C134)</f>
        <v>4750</v>
      </c>
      <c r="CJ134" s="79" t="n">
        <f aca="false">INDEX(in_sup_lead_days,1,C134)</f>
        <v>35</v>
      </c>
      <c r="CK134" s="79" t="n">
        <f aca="false">CJ134+INDEX(in_oce_transit,1,C134)+IF(F134=4,INDEX(in_oce_lcl_extra_days,1,C134),0)</f>
        <v>73</v>
      </c>
      <c r="CL134" s="79" t="n">
        <f aca="false">CK134+2+INDEX(in_cus_dem_days,1,C134)</f>
        <v>78</v>
      </c>
      <c r="CM134" s="79" t="n">
        <f aca="false">CL134+U134</f>
        <v>138</v>
      </c>
      <c r="CN134" s="79" t="n">
        <f aca="false">CJ134+INDEX(in_sup_vat_lag,1,C134)</f>
        <v>215</v>
      </c>
      <c r="CO134" s="91" t="n">
        <f aca="false">INDEX(in_sup_advance,1,C134)</f>
        <v>0.5</v>
      </c>
      <c r="CP134" s="88" t="n">
        <f aca="false">CO134*(AL134+AM134)+AO134+INDEX(in_sel_testing,1,C134)*X134</f>
        <v>10203.5184916606</v>
      </c>
      <c r="CQ134" s="88" t="n">
        <f aca="false">(1-CO134)*(AL134+AM134)+AR134+AU134+AZ134</f>
        <v>13080.8321765254</v>
      </c>
      <c r="CR134" s="88" t="n">
        <f aca="false">BB134+BC134+BD134+BF134+BJ134</f>
        <v>3611.19664519691</v>
      </c>
      <c r="CS134" s="88" t="n">
        <f aca="false">BK134+BL134</f>
        <v>4115</v>
      </c>
      <c r="CT134" s="88" t="n">
        <f aca="false">IF(K134=2,AM134,0)</f>
        <v>0</v>
      </c>
      <c r="CU134" s="85" t="n">
        <f aca="false">IF(K134=2,CO134*AM134*(CN134-0)+(1-CO134)*AM134*(CN134-CJ134),0)</f>
        <v>0</v>
      </c>
      <c r="CV134" s="85" t="n">
        <f aca="false">(CP134-CO134*CT134)*(CM134-0)+(CQ134-(1-CO134)*CT134)*(CM134-CJ134)+CR134*(CM134-CK134)+CS134*(CM134-CL134)</f>
        <v>3237039.04796908</v>
      </c>
      <c r="CW134" s="88" t="n">
        <f aca="false">INDEX(in_sel_fin_rate,1,C134)/365*(CU134+CV134)</f>
        <v>1241.6040183991</v>
      </c>
      <c r="CX134" s="85" t="n">
        <f aca="false">CP134-IF(CN134&lt;=0,CT134,0)</f>
        <v>10203.5184916606</v>
      </c>
      <c r="CY134" s="85" t="n">
        <f aca="false">CP134+CQ134-IF(CN134&lt;=CJ134,CT134,0)</f>
        <v>23284.3506681861</v>
      </c>
      <c r="CZ134" s="85" t="n">
        <f aca="false">CP134+CQ134+CR134-IF(CN134&lt;=CK134,CT134,0)</f>
        <v>26895.547313383</v>
      </c>
      <c r="DA134" s="85" t="n">
        <f aca="false">CP134+CQ134+CR134+CS134-IF(CN134&lt;=CL134,CT134,0)</f>
        <v>31010.547313383</v>
      </c>
      <c r="DB134" s="88" t="n">
        <f aca="false">MAX(CX134,CY134,CZ134,DA134)</f>
        <v>31010.547313383</v>
      </c>
      <c r="DC134" s="88" t="n">
        <f aca="false">CP134+CQ134+CR134+CS134</f>
        <v>31010.547313383</v>
      </c>
      <c r="DD134" s="88" t="n">
        <f aca="false">CE134-CH134-CI134-CW134</f>
        <v>-21631.0797317821</v>
      </c>
      <c r="DE134" s="87" t="n">
        <f aca="false">IF(CD134&gt;0,DD134/CD134,0)</f>
        <v>-1.72157276340277</v>
      </c>
      <c r="DF134" s="86" t="n">
        <f aca="false">IF(CD134&gt;0,(BM134+CI134+CW134)/(CD134*(1-CG134)),0)</f>
        <v>2.90229034630141</v>
      </c>
      <c r="DG134" s="90" t="n">
        <f aca="false">IF(BW134&gt;0,BM134/BW134,0)</f>
        <v>0.507869797559096</v>
      </c>
      <c r="DH134" s="90" t="n">
        <f aca="false">IF(BW134&gt;0,CD134/BW134,0)</f>
        <v>0.23625</v>
      </c>
      <c r="DI134" s="90" t="n">
        <f aca="false">IF(AI134&gt;0,(AI134*IF(K134=3,INDEX(in_sup_vat_rate,1,C134),0)+AV134*BA134+(BC134+BD134)*AV134/AY134+AZ134*AI134/AL134)/AI134,0)</f>
        <v>0</v>
      </c>
      <c r="DJ134" s="90" t="n">
        <f aca="false">IF(AJ134&gt;0,(AJ134*IF(K134=3,INDEX(in_sup_vat_rate,1,C134),0)+AW134*BA134+(BC134+BD134)*AW134/AY134+AZ134*AJ134/AL134)/AJ134,0)</f>
        <v>0.304635310654099</v>
      </c>
      <c r="DK134" s="90" t="n">
        <f aca="false">IF(AK134&gt;0,(AK134*IF(K134=3,INDEX(in_sup_vat_rate,1,C134),0)+AX134*BA134+(BC134+BD134)*AX134/AY134+AZ134*AK134/AL134)/AK134,0)</f>
        <v>0</v>
      </c>
      <c r="DL134" s="90" t="n">
        <f aca="false">IF(Y134&gt;0,(BP134-AI134*(1+DI134))/Y134,0)</f>
        <v>0</v>
      </c>
      <c r="DM134" s="90" t="n">
        <f aca="false">IF(Z134&gt;0,(BQ134-AJ134*(1+DJ134))/Z134,0)</f>
        <v>0.252658479196893</v>
      </c>
      <c r="DN134" s="90" t="n">
        <f aca="false">IF(AA134&gt;0,(BR134-AK134*(1+DK134))/AA134,0)</f>
        <v>0</v>
      </c>
      <c r="DO134" s="86" t="str">
        <f aca="false">IF(Y134&gt;0,(CA134*(1-thr_gm_go)*(1-R134)-DL134)/(1+DI134)*I134/((1+AH134)*J134),"")</f>
        <v/>
      </c>
      <c r="DP134" s="86" t="n">
        <f aca="false">IF(Z134&gt;0,(CB134*(1-thr_gm_go)*(1-R134)-DM134)/(1+DJ134)*I134/((1+AH134)*J134),"")</f>
        <v>-2.77659272142098</v>
      </c>
      <c r="DQ134" s="86" t="str">
        <f aca="false">IF(AA134&gt;0,(CC134*(1-thr_gm_go)*(1-R134)-DN134)/(1+DK134)*I134/((1+AH134)*J134),"")</f>
        <v/>
      </c>
      <c r="DR134" s="92" t="n">
        <f aca="false">IF(AND(AY134*INDEX(in_cus_mpf_rate,1,C134)&gt;INDEX(in_cus_mpf_min,1,C134),AY134*INDEX(in_cus_mpf_rate,1,C134)&lt;INDEX(in_cus_mpf_max,1,C134)),INDEX(in_cus_mpf_rate,1,C134),0)</f>
        <v>0.003464</v>
      </c>
      <c r="DS134" s="88" t="n">
        <f aca="false">IF(AZ134&gt;INDEX(in_oce_ins_min,1,C134),INDEX(in_oce_ins_rate,1,C134)*(1+INDEX(in_oce_ins_uplift,1,C134))*AL134,0)</f>
        <v>0</v>
      </c>
      <c r="DT134" s="88" t="n">
        <f aca="false">(AL134+AN134)*(1+BA134+INDEX(in_cus_hmf,1,C134)+DR134)+DS134</f>
        <v>12846.0791270478</v>
      </c>
      <c r="DU134" s="86" t="n">
        <f aca="false">IF(DT134&gt;0,(CD134*(1-thr_gm_go)-(BM134-DT134))/DT134,0)</f>
        <v>-0.369056436555265</v>
      </c>
      <c r="DV134" s="86" t="n">
        <f aca="false">IF(DT134&gt;0,(CD134-(BM134-DT134))/DT134,0)</f>
        <v>-0.124532020277448</v>
      </c>
      <c r="DW134" s="87" t="n">
        <f aca="false">(1+AH134)*J134*DU134-1</f>
        <v>-1.40596208021079</v>
      </c>
      <c r="DX134" s="87" t="n">
        <f aca="false">(1+AH134)*J134*DV134-1</f>
        <v>-1.13698522230519</v>
      </c>
      <c r="DY134" s="85" t="n">
        <f aca="false">IF(G134&gt;0,(CD134*(1-thr_gm_go)-(BM134-AT134))/G134,"")</f>
        <v>-12387.007313383</v>
      </c>
      <c r="DZ134" s="90" t="n">
        <f aca="false">IF(AB134&gt;0,(AL134+AN134+BB134+BC134+BD134)/AB134,0)</f>
        <v>0.233091472308214</v>
      </c>
      <c r="EA134" s="88" t="n">
        <f aca="false">BM134-DZ134*AB134</f>
        <v>14097.2797475079</v>
      </c>
      <c r="EB134" s="90" t="n">
        <f aca="false">IF(AB134&gt;0,CD134/AB134,0)</f>
        <v>0.2268</v>
      </c>
      <c r="EC134" s="85" t="str">
        <f aca="false">IF(EB134*(1-thr_gm_go)-DZ134&gt;0,EA134/(EB134*(1-thr_gm_go)-DZ134),"n/a")</f>
        <v>n/a</v>
      </c>
      <c r="ED134" s="85" t="str">
        <f aca="false">IF(EB134-DZ134&gt;0,EA134/(EB134-DZ134),"n/a")</f>
        <v>n/a</v>
      </c>
      <c r="EE134" s="93" t="b">
        <f aca="false">INDEX(cfg_fits,D134,C134)</f>
        <v>1</v>
      </c>
      <c r="EF134" s="87" t="n">
        <f aca="false">IF(F134=4,"",INDEX(cfg_lenutil,D134,C134))</f>
        <v>0.958927074601844</v>
      </c>
      <c r="EG134" s="31" t="str">
        <f aca="false">IF(O134&gt;1,"Check fit (units scaled up)","")</f>
        <v/>
      </c>
    </row>
    <row r="135" customFormat="false" ht="15" hidden="false" customHeight="false" outlineLevel="0" collapsed="false">
      <c r="A135" s="78" t="n">
        <v>3071</v>
      </c>
      <c r="B135" s="9" t="s">
        <v>3283</v>
      </c>
      <c r="C135" s="78" t="n">
        <v>3</v>
      </c>
      <c r="D135" s="78" t="n">
        <v>7</v>
      </c>
      <c r="E135" s="78" t="n">
        <v>1</v>
      </c>
      <c r="F135" s="79" t="n">
        <f aca="false">INDEX(cfg_ct,D135)</f>
        <v>3</v>
      </c>
      <c r="G135" s="79" t="n">
        <f aca="false">INDEX(cfg_n,D135)</f>
        <v>1</v>
      </c>
      <c r="H135" s="79" t="n">
        <f aca="false">INDEX(dest_port,E135)</f>
        <v>1</v>
      </c>
      <c r="I135" s="80" t="n">
        <f aca="false">INDEX(in_fx_cbe,1,C135)*(1-INDEX(in_fx_spread,1,C135))</f>
        <v>48.265</v>
      </c>
      <c r="J135" s="81" t="n">
        <f aca="false">1</f>
        <v>1</v>
      </c>
      <c r="K135" s="82" t="n">
        <f aca="false">INDEX(in_sup_vat_mode,1,C135)</f>
        <v>3</v>
      </c>
      <c r="L135" s="83" t="n">
        <f aca="false">INDEX(in_cus_s301,1,C135)</f>
        <v>0.125</v>
      </c>
      <c r="M135" s="84" t="n">
        <f aca="false">1</f>
        <v>1</v>
      </c>
      <c r="N135" s="81" t="n">
        <f aca="false">1</f>
        <v>1</v>
      </c>
      <c r="O135" s="81" t="n">
        <f aca="false">1</f>
        <v>1</v>
      </c>
      <c r="P135" s="81" t="n">
        <f aca="false">1</f>
        <v>1</v>
      </c>
      <c r="Q135" s="81" t="n">
        <f aca="false">1</f>
        <v>1</v>
      </c>
      <c r="R135" s="83" t="n">
        <f aca="false">INDEX(in_sel_damage,1,C135)</f>
        <v>0.04</v>
      </c>
      <c r="S135" s="83" t="n">
        <f aca="false">INDEX(in_mkt_dist_margin,1,C135)</f>
        <v>0.3</v>
      </c>
      <c r="T135" s="83" t="n">
        <f aca="false">INDEX(in_mkt_eflute_disc,1,C135)</f>
        <v>0.25</v>
      </c>
      <c r="U135" s="82" t="n">
        <f aca="false">INDEX(in_sel_credit_days,1,C135)</f>
        <v>60</v>
      </c>
      <c r="V135" s="81" t="n">
        <f aca="false">1</f>
        <v>1</v>
      </c>
      <c r="W135" s="83" t="n">
        <f aca="false">INDEX(in_sel_commission,1,C135)</f>
        <v>0.07</v>
      </c>
      <c r="X135" s="82" t="n">
        <f aca="false">1</f>
        <v>1</v>
      </c>
      <c r="Y135" s="85" t="n">
        <f aca="false">INDEX(cfg_u_3464,D135,C135)*O135</f>
        <v>0</v>
      </c>
      <c r="Z135" s="85" t="n">
        <f aca="false">INDEX(cfg_u_3463,D135,C135)*O135</f>
        <v>0</v>
      </c>
      <c r="AA135" s="85" t="n">
        <f aca="false">INDEX(cfg_u_3460,D135,C135)*O135</f>
        <v>88200</v>
      </c>
      <c r="AB135" s="85" t="n">
        <f aca="false">Y135+Z135+AA135</f>
        <v>88200</v>
      </c>
      <c r="AC135" s="86" t="n">
        <f aca="false">Y135*INDEX(lg_vpu_3464,C135)</f>
        <v>0</v>
      </c>
      <c r="AD135" s="86" t="n">
        <f aca="false">Z135*INDEX(lg_vpu_3463,C135)</f>
        <v>0</v>
      </c>
      <c r="AE135" s="86" t="n">
        <f aca="false">AA135*INDEX(lg_vpu_3460,C135)</f>
        <v>56.4106032</v>
      </c>
      <c r="AF135" s="86" t="n">
        <f aca="false">AC135+AD135+AE135</f>
        <v>56.4106032</v>
      </c>
      <c r="AG135" s="85" t="n">
        <f aca="false">Y135*INDEX(lg_kpu_3464,C135)+Z135*INDEX(lg_kpu_3463,C135)+AA135*INDEX(lg_kpu_3460,C135)</f>
        <v>13770.8113536</v>
      </c>
      <c r="AH135" s="87" t="n">
        <f aca="false">INDEX(in_sup_requote,1,C135)</f>
        <v>0.1</v>
      </c>
      <c r="AI135" s="88" t="n">
        <f aca="false">Y135*q_price_3464*(1+AH135)*J135/I135</f>
        <v>0</v>
      </c>
      <c r="AJ135" s="88" t="n">
        <f aca="false">Z135*q_price_3463*(1+AH135)*J135/I135</f>
        <v>0</v>
      </c>
      <c r="AK135" s="88" t="n">
        <f aca="false">AA135*q_price_3460*(1+AH135)*J135/I135</f>
        <v>13870.0507614213</v>
      </c>
      <c r="AL135" s="88" t="n">
        <f aca="false">AI135+AJ135+AK135</f>
        <v>13870.0507614213</v>
      </c>
      <c r="AM135" s="88" t="n">
        <f aca="false">IF(OR(K135=2,K135=3),AL135*INDEX(in_sup_vat_rate,1,C135),0)</f>
        <v>1941.80710659899</v>
      </c>
      <c r="AN135" s="88" t="n">
        <f aca="false">IF(K135=3,AM135,0)</f>
        <v>1941.80710659899</v>
      </c>
      <c r="AO135" s="88" t="n">
        <f aca="false">INDEX(in_sup_tooling_egp,1,C135)/I135</f>
        <v>517.973686936704</v>
      </c>
      <c r="AP135" s="88" t="n">
        <f aca="false">IF(F135=4,INDEX(in_ori_lcl_truck,1,C135)*V135/I135+INDEX(in_ori_lcl_cfs_o,1,C135),G135*(IF(F135=1,INDEX(in_ori_truck_20,1,C135),INDEX(in_ori_truck_40,1,C135))*V135/I135+INDEX(in_ori_terminal,1,C135)+IF(F135=1,INDEX(in_ori_othc_20,1,C135),INDEX(in_ori_othc_40,1,C135))*(1-INDEX(in_ori_othc_in_freight,1,C135))+INDEX(in_ori_seal,1,C135)+INDEX(in_ori_inspection,1,C135)+INDEX(in_ori_dd_days,1,C135)*IF(F135=1,INDEX(in_ori_dd_20,1,C135),INDEX(in_ori_dd_40,1,C135))+INDEX(in_ori_loading_egp,1,C135)/I135))</f>
        <v>882.378949549363</v>
      </c>
      <c r="AQ135" s="88" t="n">
        <f aca="false">(INDEX(in_ori_clearance,1,C135)+INDEX(in_ori_coo,1,C135))/I135+INDEX(in_ori_bl_fee,1,C135)+INDEX(in_ori_fwd_fee,1,C135)+INDEX(in_ori_qc,1,C135)+INDEX(in_ori_wires,1,C135)*INDEX(in_ori_wire_fee,1,C135)</f>
        <v>1167.90842225215</v>
      </c>
      <c r="AR135" s="88" t="n">
        <f aca="false">AP135+AQ135</f>
        <v>2050.28737180151</v>
      </c>
      <c r="AS135" s="85" t="n">
        <f aca="false">INDEX(tbl_port_diff,H135,C135)</f>
        <v>0</v>
      </c>
      <c r="AT135" s="88" t="n">
        <f aca="false">IF(F135=4,MAX(AF135*INDEX(in_oce_lcl_factor,1,C135),AG135/1000,1)*INDEX(in_oce_lcl_rate,1,C135)*M135,G135*(INDEX(tbl_ocean_rate,MIN(F135,3),C135)+AS135)*M135)</f>
        <v>5000</v>
      </c>
      <c r="AU135" s="88" t="n">
        <f aca="false">AT135+INDEX(in_oce_ams,1,C135)</f>
        <v>5045</v>
      </c>
      <c r="AV135" s="88" t="n">
        <f aca="false">AI135*(1+IF(K135=3,INDEX(in_sup_vat_rate,1,C135),0))+AO135*Y135/AB135</f>
        <v>0</v>
      </c>
      <c r="AW135" s="88" t="n">
        <f aca="false">AJ135*(1+IF(K135=3,INDEX(in_sup_vat_rate,1,C135),0))+AO135*Z135/AB135</f>
        <v>0</v>
      </c>
      <c r="AX135" s="88" t="n">
        <f aca="false">AK135*(1+IF(K135=3,INDEX(in_sup_vat_rate,1,C135),0))+AO135*AA135/AB135</f>
        <v>16329.831554957</v>
      </c>
      <c r="AY135" s="88" t="n">
        <f aca="false">AV135+AW135+AX135</f>
        <v>16329.831554957</v>
      </c>
      <c r="AZ135" s="88" t="n">
        <f aca="false">MAX(INDEX(in_oce_ins_min,1,C135),INDEX(in_oce_ins_rate,1,C135)*(1+INDEX(in_oce_ins_uplift,1,C135))*(AL135+AO135+AR135+AU135))*(1-INDEX(in_oce_ins_in_other,1,C135))</f>
        <v>100</v>
      </c>
      <c r="BA135" s="87" t="n">
        <f aca="false">INDEX(in_cus_mfn,1,C135)+L135</f>
        <v>0.125</v>
      </c>
      <c r="BB135" s="88" t="n">
        <f aca="false">AY135*BA135</f>
        <v>2041.22894436963</v>
      </c>
      <c r="BC135" s="88" t="n">
        <f aca="false">MIN(MAX(AY135*INDEX(in_cus_mpf_rate,1,C135),INDEX(in_cus_mpf_min,1,C135)),INDEX(in_cus_mpf_max,1,C135))</f>
        <v>56.5665365063711</v>
      </c>
      <c r="BD135" s="88" t="n">
        <f aca="false">AY135*INDEX(in_cus_hmf,1,C135)</f>
        <v>20.4122894436963</v>
      </c>
      <c r="BE135" s="88" t="n">
        <f aca="false">MAX(INDEX(in_cus_stb_min,1,C135),INDEX(in_cus_stb_rate,1,C135)/1000*(AY135+BB135+BC135+BD135))</f>
        <v>129.136275276937</v>
      </c>
      <c r="BF135" s="88" t="n">
        <f aca="false">INDEX(in_cus_broker,1,C135)+INDEX(in_cus_isf,1,C135)+INDEX(in_cus_do_fee,1,C135)+BE135+INDEX(in_cus_isf_bond,1,C135)</f>
        <v>754.136275276937</v>
      </c>
      <c r="BG135" s="88" t="n">
        <f aca="false">IF(H135=1,INDEX(in_cus_cfc,1,C135)*INDEX(ct_teu,F135)*G135*(1-INDEX(in_cus_cfc_in_freight,1,C135)),0)</f>
        <v>29.6</v>
      </c>
      <c r="BH135" s="88" t="n">
        <f aca="false">IF(F135=4,1,G135)*(INDEX(in_cus_exam,1,C135)+INDEX(in_cus_exam_dray,1,C135))</f>
        <v>600</v>
      </c>
      <c r="BI135" s="88" t="n">
        <f aca="false">IF(F135=4,1,G135)*INDEX(in_cus_dem_days,1,C135)*INDEX(in_cus_dem_rate,1,C135)</f>
        <v>750</v>
      </c>
      <c r="BJ135" s="88" t="n">
        <f aca="false">BG135+BH135+BI135</f>
        <v>1379.6</v>
      </c>
      <c r="BK135" s="88" t="n">
        <f aca="false">IF(F135=4,(INDEX(in_dra_lcl_cfs_d,1,C135)+INDEX(in_dra_lcl_deliv,1,C135))*P135,G135*(INDEX(tbl_dest_line,E135,C135)*P135*(1+INDEX(in_dra_fsc,1,C135))+INDEX(tbl_dest_tolls,E135,C135)+INDEX(in_dra_chassis_days,1,C135)*INDEX(tbl_dest_chassis,E135,C135)*(1-INDEX(in_dra_chassis_in_dray,1,C135))+INDEX(in_dra_wait_hours,1,C135)*INDEX(in_dra_wait_rate,1,C135)+INDEX(in_dra_split,1,C135)+INDEX(in_dra_prepull,1,C135)+INDEX(in_dra_dryrun,1,C135)))</f>
        <v>2280</v>
      </c>
      <c r="BL135" s="88" t="n">
        <f aca="false">IF(F135=4,0,G135*IF(F135=1,INDEX(in_dra_unload_20,1,C135),INDEX(in_dra_unload_40,1,C135))*Q135*(1-INDEX(in_dra_unload_in_dray,1,C135)))</f>
        <v>650</v>
      </c>
      <c r="BM135" s="88" t="n">
        <f aca="false">AL135+AN135+AO135+AR135+AU135+AZ135+BB135+BC135+BD135+BF135+BJ135+BK135+BL135</f>
        <v>30707.0629723552</v>
      </c>
      <c r="BN135" s="88" t="n">
        <f aca="false">AP135+AU135+BJ135+BK135+BL135</f>
        <v>10236.9789495494</v>
      </c>
      <c r="BO135" s="88" t="n">
        <f aca="false">AQ135+BF135</f>
        <v>1922.04469752909</v>
      </c>
      <c r="BP135" s="88" t="n">
        <f aca="false">AI135*(1+IF(K135=3,INDEX(in_sup_vat_rate,1,C135),0))+AO135*Y135/AB135+AV135*BA135+(BC135+BD135)*AV135/AY135+AZ135*AI135/AL135+BN135*AC135/AF135+BO135*Y135/AB135</f>
        <v>0</v>
      </c>
      <c r="BQ135" s="88" t="n">
        <f aca="false">AJ135*(1+IF(K135=3,INDEX(in_sup_vat_rate,1,C135),0))+AO135*Z135/AB135+AW135*BA135+(BC135+BD135)*AW135/AY135+AZ135*AJ135/AL135+BN135*AD135/AF135+BO135*Z135/AB135</f>
        <v>0</v>
      </c>
      <c r="BR135" s="88" t="n">
        <f aca="false">AK135*(1+IF(K135=3,INDEX(in_sup_vat_rate,1,C135),0))+AO135*AA135/AB135+AX135*BA135+(BC135+BD135)*AX135/AY135+AZ135*AK135/AL135+BN135*AE135/AF135+BO135*AA135/AB135</f>
        <v>30707.0629723552</v>
      </c>
      <c r="BS135" s="89" t="n">
        <f aca="false">BP135+BQ135+BR135-BM135</f>
        <v>0</v>
      </c>
      <c r="BT135" s="85" t="n">
        <f aca="false">Y135*(1-R135)</f>
        <v>0</v>
      </c>
      <c r="BU135" s="85" t="n">
        <f aca="false">Z135*(1-R135)</f>
        <v>0</v>
      </c>
      <c r="BV135" s="85" t="n">
        <f aca="false">AA135*(1-R135)</f>
        <v>84672</v>
      </c>
      <c r="BW135" s="85" t="n">
        <f aca="false">BT135+BU135+BV135</f>
        <v>84672</v>
      </c>
      <c r="BX135" s="90" t="n">
        <f aca="false">IF(BT135&gt;0,BP135/BT135,0)</f>
        <v>0</v>
      </c>
      <c r="BY135" s="90" t="n">
        <f aca="false">IF(BU135&gt;0,BQ135/BU135,0)</f>
        <v>0</v>
      </c>
      <c r="BZ135" s="90" t="n">
        <f aca="false">IF(BV135&gt;0,BR135/BV135,0)</f>
        <v>0.362659001468669</v>
      </c>
      <c r="CA135" s="90" t="n">
        <f aca="false">INDEX(in_mkt_listing_3464,1,C135)*(1-IF(sku_flute_3464="B",T135,0))*(1-S135)*N135</f>
        <v>0.1995</v>
      </c>
      <c r="CB135" s="90" t="n">
        <f aca="false">INDEX(in_mkt_listing_3463,1,C135)*(1-IF(sku_flute_3463="B",T135,0))*(1-S135)*N135</f>
        <v>0.23625</v>
      </c>
      <c r="CC135" s="90" t="n">
        <f aca="false">INDEX(in_mkt_listing_3460,1,C135)*(1-IF(sku_flute_3460="B",T135,0))*(1-S135)*N135</f>
        <v>0.21</v>
      </c>
      <c r="CD135" s="88" t="n">
        <f aca="false">BT135*CA135+BU135*CB135+BV135*CC135</f>
        <v>17781.12</v>
      </c>
      <c r="CE135" s="88" t="n">
        <f aca="false">CD135-BM135</f>
        <v>-12925.9429723552</v>
      </c>
      <c r="CF135" s="87" t="n">
        <f aca="false">IF(CD135&gt;0,CE135/CD135,0)</f>
        <v>-0.726947626041282</v>
      </c>
      <c r="CG135" s="87" t="n">
        <f aca="false">W135+INDEX(in_sel_processing,1,C135)+INDEX(in_sel_bad_debt,1,C135)</f>
        <v>0.095</v>
      </c>
      <c r="CH135" s="88" t="n">
        <f aca="false">CD135*CG135</f>
        <v>1689.2064</v>
      </c>
      <c r="CI135" s="88" t="n">
        <f aca="false">INDEX(in_sel_testing,1,C135)*X135+INDEX(in_sel_admin,1,C135)</f>
        <v>4750</v>
      </c>
      <c r="CJ135" s="79" t="n">
        <f aca="false">INDEX(in_sup_lead_days,1,C135)</f>
        <v>35</v>
      </c>
      <c r="CK135" s="79" t="n">
        <f aca="false">CJ135+INDEX(in_oce_transit,1,C135)+IF(F135=4,INDEX(in_oce_lcl_extra_days,1,C135),0)</f>
        <v>73</v>
      </c>
      <c r="CL135" s="79" t="n">
        <f aca="false">CK135+2+INDEX(in_cus_dem_days,1,C135)</f>
        <v>78</v>
      </c>
      <c r="CM135" s="79" t="n">
        <f aca="false">CL135+U135</f>
        <v>138</v>
      </c>
      <c r="CN135" s="79" t="n">
        <f aca="false">CJ135+INDEX(in_sup_vat_lag,1,C135)</f>
        <v>215</v>
      </c>
      <c r="CO135" s="91" t="n">
        <f aca="false">INDEX(in_sup_advance,1,C135)</f>
        <v>0.5</v>
      </c>
      <c r="CP135" s="88" t="n">
        <f aca="false">CO135*(AL135+AM135)+AO135+INDEX(in_sel_testing,1,C135)*X135</f>
        <v>12423.9026209469</v>
      </c>
      <c r="CQ135" s="88" t="n">
        <f aca="false">(1-CO135)*(AL135+AM135)+AR135+AU135+AZ135</f>
        <v>15101.2163058117</v>
      </c>
      <c r="CR135" s="88" t="n">
        <f aca="false">BB135+BC135+BD135+BF135+BJ135</f>
        <v>4251.94404559663</v>
      </c>
      <c r="CS135" s="88" t="n">
        <f aca="false">BK135+BL135</f>
        <v>2930</v>
      </c>
      <c r="CT135" s="88" t="n">
        <f aca="false">IF(K135=2,AM135,0)</f>
        <v>0</v>
      </c>
      <c r="CU135" s="85" t="n">
        <f aca="false">IF(K135=2,CO135*AM135*(CN135-0)+(1-CO135)*AM135*(CN135-CJ135),0)</f>
        <v>0</v>
      </c>
      <c r="CV135" s="85" t="n">
        <f aca="false">(CP135-CO135*CT135)*(CM135-0)+(CQ135-(1-CO135)*CT135)*(CM135-CJ135)+CR135*(CM135-CK135)+CS135*(CM135-CL135)</f>
        <v>3722100.20415305</v>
      </c>
      <c r="CW135" s="88" t="n">
        <f aca="false">INDEX(in_sel_fin_rate,1,C135)/365*(CU135+CV135)</f>
        <v>1427.65487282583</v>
      </c>
      <c r="CX135" s="85" t="n">
        <f aca="false">CP135-IF(CN135&lt;=0,CT135,0)</f>
        <v>12423.9026209469</v>
      </c>
      <c r="CY135" s="85" t="n">
        <f aca="false">CP135+CQ135-IF(CN135&lt;=CJ135,CT135,0)</f>
        <v>27525.1189267585</v>
      </c>
      <c r="CZ135" s="85" t="n">
        <f aca="false">CP135+CQ135+CR135-IF(CN135&lt;=CK135,CT135,0)</f>
        <v>31777.0629723552</v>
      </c>
      <c r="DA135" s="85" t="n">
        <f aca="false">CP135+CQ135+CR135+CS135-IF(CN135&lt;=CL135,CT135,0)</f>
        <v>34707.0629723552</v>
      </c>
      <c r="DB135" s="88" t="n">
        <f aca="false">MAX(CX135,CY135,CZ135,DA135)</f>
        <v>34707.0629723552</v>
      </c>
      <c r="DC135" s="88" t="n">
        <f aca="false">CP135+CQ135+CR135+CS135</f>
        <v>34707.0629723552</v>
      </c>
      <c r="DD135" s="88" t="n">
        <f aca="false">CE135-CH135-CI135-CW135</f>
        <v>-20792.804245181</v>
      </c>
      <c r="DE135" s="87" t="n">
        <f aca="false">IF(CD135&gt;0,DD135/CD135,0)</f>
        <v>-1.16937539621694</v>
      </c>
      <c r="DF135" s="86" t="n">
        <f aca="false">IF(CD135&gt;0,(BM135+CI135+CW135)/(CD135*(1-CG135)),0)</f>
        <v>2.29212750963198</v>
      </c>
      <c r="DG135" s="90" t="n">
        <f aca="false">IF(BW135&gt;0,BM135/BW135,0)</f>
        <v>0.362659001468669</v>
      </c>
      <c r="DH135" s="90" t="n">
        <f aca="false">IF(BW135&gt;0,CD135/BW135,0)</f>
        <v>0.21</v>
      </c>
      <c r="DI135" s="90" t="n">
        <f aca="false">IF(AI135&gt;0,(AI135*IF(K135=3,INDEX(in_sup_vat_rate,1,C135),0)+AV135*BA135+(BC135+BD135)*AV135/AY135+AZ135*AI135/AL135)/AI135,0)</f>
        <v>0</v>
      </c>
      <c r="DJ135" s="90" t="n">
        <f aca="false">IF(AJ135&gt;0,(AJ135*IF(K135=3,INDEX(in_sup_vat_rate,1,C135),0)+AW135*BA135+(BC135+BD135)*AW135/AY135+AZ135*AJ135/AL135)/AJ135,0)</f>
        <v>0</v>
      </c>
      <c r="DK135" s="90" t="n">
        <f aca="false">IF(AK135&gt;0,(AK135*IF(K135=3,INDEX(in_sup_vat_rate,1,C135),0)+AX135*BA135+(BC135+BD135)*AX135/AY135+AZ135*AK135/AL135)/AK135,0)</f>
        <v>0.299927876867582</v>
      </c>
      <c r="DL135" s="90" t="n">
        <f aca="false">IF(Y135&gt;0,(BP135-AI135*(1+DI135))/Y135,0)</f>
        <v>0</v>
      </c>
      <c r="DM135" s="90" t="n">
        <f aca="false">IF(Z135&gt;0,(BQ135-AJ135*(1+DJ135))/Z135,0)</f>
        <v>0</v>
      </c>
      <c r="DN135" s="90" t="n">
        <f aca="false">IF(AA135&gt;0,(BR135-AK135*(1+DK135))/AA135,0)</f>
        <v>0.143730128503573</v>
      </c>
      <c r="DO135" s="86" t="str">
        <f aca="false">IF(Y135&gt;0,(CA135*(1-thr_gm_go)*(1-R135)-DL135)/(1+DI135)*I135/((1+AH135)*J135),"")</f>
        <v/>
      </c>
      <c r="DP135" s="86" t="str">
        <f aca="false">IF(Z135&gt;0,(CB135*(1-thr_gm_go)*(1-R135)-DM135)/(1+DJ135)*I135/((1+AH135)*J135),"")</f>
        <v/>
      </c>
      <c r="DQ135" s="86" t="n">
        <f aca="false">IF(AA135&gt;0,(CC135*(1-thr_gm_go)*(1-R135)-DN135)/(1+DK135)*I135/((1+AH135)*J135),"")</f>
        <v>0.252135210513518</v>
      </c>
      <c r="DR135" s="92" t="n">
        <f aca="false">IF(AND(AY135*INDEX(in_cus_mpf_rate,1,C135)&gt;INDEX(in_cus_mpf_min,1,C135),AY135*INDEX(in_cus_mpf_rate,1,C135)&lt;INDEX(in_cus_mpf_max,1,C135)),INDEX(in_cus_mpf_rate,1,C135),0)</f>
        <v>0.003464</v>
      </c>
      <c r="DS135" s="88" t="n">
        <f aca="false">IF(AZ135&gt;INDEX(in_oce_ins_min,1,C135),INDEX(in_oce_ins_rate,1,C135)*(1+INDEX(in_oce_ins_uplift,1,C135))*AL135,0)</f>
        <v>0</v>
      </c>
      <c r="DT135" s="88" t="n">
        <f aca="false">(AL135+AN135)*(1+BA135+INDEX(in_cus_hmf,1,C135)+DR135)+DS135</f>
        <v>17862.8771995127</v>
      </c>
      <c r="DU135" s="86" t="n">
        <f aca="false">IF(DT135&gt;0,(CD135*(1-thr_gm_go)-(BM135-DT135))/DT135,0)</f>
        <v>0.0275237981914217</v>
      </c>
      <c r="DV135" s="86" t="n">
        <f aca="false">IF(DT135&gt;0,(CD135-(BM135-DT135))/DT135,0)</f>
        <v>0.276379564838089</v>
      </c>
      <c r="DW135" s="87" t="n">
        <f aca="false">(1+AH135)*J135*DU135-1</f>
        <v>-0.969723821989436</v>
      </c>
      <c r="DX135" s="87" t="n">
        <f aca="false">(1+AH135)*J135*DV135-1</f>
        <v>-0.695982478678102</v>
      </c>
      <c r="DY135" s="85" t="n">
        <f aca="false">IF(G135&gt;0,(CD135*(1-thr_gm_go)-(BM135-AT135))/G135,"")</f>
        <v>-12371.2229723552</v>
      </c>
      <c r="DZ135" s="90" t="n">
        <f aca="false">IF(AB135&gt;0,(AL135+AN135+BB135+BC135+BD135)/AB135,0)</f>
        <v>0.203288726058277</v>
      </c>
      <c r="EA135" s="88" t="n">
        <f aca="false">BM135-DZ135*AB135</f>
        <v>12776.9973340152</v>
      </c>
      <c r="EB135" s="90" t="n">
        <f aca="false">IF(AB135&gt;0,CD135/AB135,0)</f>
        <v>0.2016</v>
      </c>
      <c r="EC135" s="85" t="str">
        <f aca="false">IF(EB135*(1-thr_gm_go)-DZ135&gt;0,EA135/(EB135*(1-thr_gm_go)-DZ135),"n/a")</f>
        <v>n/a</v>
      </c>
      <c r="ED135" s="85" t="str">
        <f aca="false">IF(EB135-DZ135&gt;0,EA135/(EB135-DZ135),"n/a")</f>
        <v>n/a</v>
      </c>
      <c r="EE135" s="93" t="b">
        <f aca="false">INDEX(cfg_fits,D135,C135)</f>
        <v>1</v>
      </c>
      <c r="EF135" s="87" t="n">
        <f aca="false">IF(F135=4,"",INDEX(cfg_lenutil,D135,C135))</f>
        <v>0.985750209555742</v>
      </c>
      <c r="EG135" s="31" t="str">
        <f aca="false">IF(O135&gt;1,"Check fit (units scaled up)","")</f>
        <v/>
      </c>
    </row>
    <row r="136" customFormat="false" ht="15" hidden="false" customHeight="false" outlineLevel="0" collapsed="false">
      <c r="A136" s="78" t="n">
        <v>3072</v>
      </c>
      <c r="B136" s="9" t="s">
        <v>3284</v>
      </c>
      <c r="C136" s="78" t="n">
        <v>3</v>
      </c>
      <c r="D136" s="78" t="n">
        <v>7</v>
      </c>
      <c r="E136" s="78" t="n">
        <v>2</v>
      </c>
      <c r="F136" s="79" t="n">
        <f aca="false">INDEX(cfg_ct,D136)</f>
        <v>3</v>
      </c>
      <c r="G136" s="79" t="n">
        <f aca="false">INDEX(cfg_n,D136)</f>
        <v>1</v>
      </c>
      <c r="H136" s="79" t="n">
        <f aca="false">INDEX(dest_port,E136)</f>
        <v>1</v>
      </c>
      <c r="I136" s="80" t="n">
        <f aca="false">INDEX(in_fx_cbe,1,C136)*(1-INDEX(in_fx_spread,1,C136))</f>
        <v>48.265</v>
      </c>
      <c r="J136" s="81" t="n">
        <f aca="false">1</f>
        <v>1</v>
      </c>
      <c r="K136" s="82" t="n">
        <f aca="false">INDEX(in_sup_vat_mode,1,C136)</f>
        <v>3</v>
      </c>
      <c r="L136" s="83" t="n">
        <f aca="false">INDEX(in_cus_s301,1,C136)</f>
        <v>0.125</v>
      </c>
      <c r="M136" s="84" t="n">
        <f aca="false">1</f>
        <v>1</v>
      </c>
      <c r="N136" s="81" t="n">
        <f aca="false">1</f>
        <v>1</v>
      </c>
      <c r="O136" s="81" t="n">
        <f aca="false">1</f>
        <v>1</v>
      </c>
      <c r="P136" s="81" t="n">
        <f aca="false">1</f>
        <v>1</v>
      </c>
      <c r="Q136" s="81" t="n">
        <f aca="false">1</f>
        <v>1</v>
      </c>
      <c r="R136" s="83" t="n">
        <f aca="false">INDEX(in_sel_damage,1,C136)</f>
        <v>0.04</v>
      </c>
      <c r="S136" s="83" t="n">
        <f aca="false">INDEX(in_mkt_dist_margin,1,C136)</f>
        <v>0.3</v>
      </c>
      <c r="T136" s="83" t="n">
        <f aca="false">INDEX(in_mkt_eflute_disc,1,C136)</f>
        <v>0.25</v>
      </c>
      <c r="U136" s="82" t="n">
        <f aca="false">INDEX(in_sel_credit_days,1,C136)</f>
        <v>60</v>
      </c>
      <c r="V136" s="81" t="n">
        <f aca="false">1</f>
        <v>1</v>
      </c>
      <c r="W136" s="83" t="n">
        <f aca="false">INDEX(in_sel_commission,1,C136)</f>
        <v>0.07</v>
      </c>
      <c r="X136" s="82" t="n">
        <f aca="false">1</f>
        <v>1</v>
      </c>
      <c r="Y136" s="85" t="n">
        <f aca="false">INDEX(cfg_u_3464,D136,C136)*O136</f>
        <v>0</v>
      </c>
      <c r="Z136" s="85" t="n">
        <f aca="false">INDEX(cfg_u_3463,D136,C136)*O136</f>
        <v>0</v>
      </c>
      <c r="AA136" s="85" t="n">
        <f aca="false">INDEX(cfg_u_3460,D136,C136)*O136</f>
        <v>88200</v>
      </c>
      <c r="AB136" s="85" t="n">
        <f aca="false">Y136+Z136+AA136</f>
        <v>88200</v>
      </c>
      <c r="AC136" s="86" t="n">
        <f aca="false">Y136*INDEX(lg_vpu_3464,C136)</f>
        <v>0</v>
      </c>
      <c r="AD136" s="86" t="n">
        <f aca="false">Z136*INDEX(lg_vpu_3463,C136)</f>
        <v>0</v>
      </c>
      <c r="AE136" s="86" t="n">
        <f aca="false">AA136*INDEX(lg_vpu_3460,C136)</f>
        <v>56.4106032</v>
      </c>
      <c r="AF136" s="86" t="n">
        <f aca="false">AC136+AD136+AE136</f>
        <v>56.4106032</v>
      </c>
      <c r="AG136" s="85" t="n">
        <f aca="false">Y136*INDEX(lg_kpu_3464,C136)+Z136*INDEX(lg_kpu_3463,C136)+AA136*INDEX(lg_kpu_3460,C136)</f>
        <v>13770.8113536</v>
      </c>
      <c r="AH136" s="87" t="n">
        <f aca="false">INDEX(in_sup_requote,1,C136)</f>
        <v>0.1</v>
      </c>
      <c r="AI136" s="88" t="n">
        <f aca="false">Y136*q_price_3464*(1+AH136)*J136/I136</f>
        <v>0</v>
      </c>
      <c r="AJ136" s="88" t="n">
        <f aca="false">Z136*q_price_3463*(1+AH136)*J136/I136</f>
        <v>0</v>
      </c>
      <c r="AK136" s="88" t="n">
        <f aca="false">AA136*q_price_3460*(1+AH136)*J136/I136</f>
        <v>13870.0507614213</v>
      </c>
      <c r="AL136" s="88" t="n">
        <f aca="false">AI136+AJ136+AK136</f>
        <v>13870.0507614213</v>
      </c>
      <c r="AM136" s="88" t="n">
        <f aca="false">IF(OR(K136=2,K136=3),AL136*INDEX(in_sup_vat_rate,1,C136),0)</f>
        <v>1941.80710659899</v>
      </c>
      <c r="AN136" s="88" t="n">
        <f aca="false">IF(K136=3,AM136,0)</f>
        <v>1941.80710659899</v>
      </c>
      <c r="AO136" s="88" t="n">
        <f aca="false">INDEX(in_sup_tooling_egp,1,C136)/I136</f>
        <v>517.973686936704</v>
      </c>
      <c r="AP136" s="88" t="n">
        <f aca="false">IF(F136=4,INDEX(in_ori_lcl_truck,1,C136)*V136/I136+INDEX(in_ori_lcl_cfs_o,1,C136),G136*(IF(F136=1,INDEX(in_ori_truck_20,1,C136),INDEX(in_ori_truck_40,1,C136))*V136/I136+INDEX(in_ori_terminal,1,C136)+IF(F136=1,INDEX(in_ori_othc_20,1,C136),INDEX(in_ori_othc_40,1,C136))*(1-INDEX(in_ori_othc_in_freight,1,C136))+INDEX(in_ori_seal,1,C136)+INDEX(in_ori_inspection,1,C136)+INDEX(in_ori_dd_days,1,C136)*IF(F136=1,INDEX(in_ori_dd_20,1,C136),INDEX(in_ori_dd_40,1,C136))+INDEX(in_ori_loading_egp,1,C136)/I136))</f>
        <v>882.378949549363</v>
      </c>
      <c r="AQ136" s="88" t="n">
        <f aca="false">(INDEX(in_ori_clearance,1,C136)+INDEX(in_ori_coo,1,C136))/I136+INDEX(in_ori_bl_fee,1,C136)+INDEX(in_ori_fwd_fee,1,C136)+INDEX(in_ori_qc,1,C136)+INDEX(in_ori_wires,1,C136)*INDEX(in_ori_wire_fee,1,C136)</f>
        <v>1167.90842225215</v>
      </c>
      <c r="AR136" s="88" t="n">
        <f aca="false">AP136+AQ136</f>
        <v>2050.28737180151</v>
      </c>
      <c r="AS136" s="85" t="n">
        <f aca="false">INDEX(tbl_port_diff,H136,C136)</f>
        <v>0</v>
      </c>
      <c r="AT136" s="88" t="n">
        <f aca="false">IF(F136=4,MAX(AF136*INDEX(in_oce_lcl_factor,1,C136),AG136/1000,1)*INDEX(in_oce_lcl_rate,1,C136)*M136,G136*(INDEX(tbl_ocean_rate,MIN(F136,3),C136)+AS136)*M136)</f>
        <v>5000</v>
      </c>
      <c r="AU136" s="88" t="n">
        <f aca="false">AT136+INDEX(in_oce_ams,1,C136)</f>
        <v>5045</v>
      </c>
      <c r="AV136" s="88" t="n">
        <f aca="false">AI136*(1+IF(K136=3,INDEX(in_sup_vat_rate,1,C136),0))+AO136*Y136/AB136</f>
        <v>0</v>
      </c>
      <c r="AW136" s="88" t="n">
        <f aca="false">AJ136*(1+IF(K136=3,INDEX(in_sup_vat_rate,1,C136),0))+AO136*Z136/AB136</f>
        <v>0</v>
      </c>
      <c r="AX136" s="88" t="n">
        <f aca="false">AK136*(1+IF(K136=3,INDEX(in_sup_vat_rate,1,C136),0))+AO136*AA136/AB136</f>
        <v>16329.831554957</v>
      </c>
      <c r="AY136" s="88" t="n">
        <f aca="false">AV136+AW136+AX136</f>
        <v>16329.831554957</v>
      </c>
      <c r="AZ136" s="88" t="n">
        <f aca="false">MAX(INDEX(in_oce_ins_min,1,C136),INDEX(in_oce_ins_rate,1,C136)*(1+INDEX(in_oce_ins_uplift,1,C136))*(AL136+AO136+AR136+AU136))*(1-INDEX(in_oce_ins_in_other,1,C136))</f>
        <v>100</v>
      </c>
      <c r="BA136" s="87" t="n">
        <f aca="false">INDEX(in_cus_mfn,1,C136)+L136</f>
        <v>0.125</v>
      </c>
      <c r="BB136" s="88" t="n">
        <f aca="false">AY136*BA136</f>
        <v>2041.22894436963</v>
      </c>
      <c r="BC136" s="88" t="n">
        <f aca="false">MIN(MAX(AY136*INDEX(in_cus_mpf_rate,1,C136),INDEX(in_cus_mpf_min,1,C136)),INDEX(in_cus_mpf_max,1,C136))</f>
        <v>56.5665365063711</v>
      </c>
      <c r="BD136" s="88" t="n">
        <f aca="false">AY136*INDEX(in_cus_hmf,1,C136)</f>
        <v>20.4122894436963</v>
      </c>
      <c r="BE136" s="88" t="n">
        <f aca="false">MAX(INDEX(in_cus_stb_min,1,C136),INDEX(in_cus_stb_rate,1,C136)/1000*(AY136+BB136+BC136+BD136))</f>
        <v>129.136275276937</v>
      </c>
      <c r="BF136" s="88" t="n">
        <f aca="false">INDEX(in_cus_broker,1,C136)+INDEX(in_cus_isf,1,C136)+INDEX(in_cus_do_fee,1,C136)+BE136+INDEX(in_cus_isf_bond,1,C136)</f>
        <v>754.136275276937</v>
      </c>
      <c r="BG136" s="88" t="n">
        <f aca="false">IF(H136=1,INDEX(in_cus_cfc,1,C136)*INDEX(ct_teu,F136)*G136*(1-INDEX(in_cus_cfc_in_freight,1,C136)),0)</f>
        <v>29.6</v>
      </c>
      <c r="BH136" s="88" t="n">
        <f aca="false">IF(F136=4,1,G136)*(INDEX(in_cus_exam,1,C136)+INDEX(in_cus_exam_dray,1,C136))</f>
        <v>600</v>
      </c>
      <c r="BI136" s="88" t="n">
        <f aca="false">IF(F136=4,1,G136)*INDEX(in_cus_dem_days,1,C136)*INDEX(in_cus_dem_rate,1,C136)</f>
        <v>750</v>
      </c>
      <c r="BJ136" s="88" t="n">
        <f aca="false">BG136+BH136+BI136</f>
        <v>1379.6</v>
      </c>
      <c r="BK136" s="88" t="n">
        <f aca="false">IF(F136=4,(INDEX(in_dra_lcl_cfs_d,1,C136)+INDEX(in_dra_lcl_deliv,1,C136))*P136,G136*(INDEX(tbl_dest_line,E136,C136)*P136*(1+INDEX(in_dra_fsc,1,C136))+INDEX(tbl_dest_tolls,E136,C136)+INDEX(in_dra_chassis_days,1,C136)*INDEX(tbl_dest_chassis,E136,C136)*(1-INDEX(in_dra_chassis_in_dray,1,C136))+INDEX(in_dra_wait_hours,1,C136)*INDEX(in_dra_wait_rate,1,C136)+INDEX(in_dra_split,1,C136)+INDEX(in_dra_prepull,1,C136)+INDEX(in_dra_dryrun,1,C136)))</f>
        <v>2660</v>
      </c>
      <c r="BL136" s="88" t="n">
        <f aca="false">IF(F136=4,0,G136*IF(F136=1,INDEX(in_dra_unload_20,1,C136),INDEX(in_dra_unload_40,1,C136))*Q136*(1-INDEX(in_dra_unload_in_dray,1,C136)))</f>
        <v>650</v>
      </c>
      <c r="BM136" s="88" t="n">
        <f aca="false">AL136+AN136+AO136+AR136+AU136+AZ136+BB136+BC136+BD136+BF136+BJ136+BK136+BL136</f>
        <v>31087.0629723552</v>
      </c>
      <c r="BN136" s="88" t="n">
        <f aca="false">AP136+AU136+BJ136+BK136+BL136</f>
        <v>10616.9789495494</v>
      </c>
      <c r="BO136" s="88" t="n">
        <f aca="false">AQ136+BF136</f>
        <v>1922.04469752909</v>
      </c>
      <c r="BP136" s="88" t="n">
        <f aca="false">AI136*(1+IF(K136=3,INDEX(in_sup_vat_rate,1,C136),0))+AO136*Y136/AB136+AV136*BA136+(BC136+BD136)*AV136/AY136+AZ136*AI136/AL136+BN136*AC136/AF136+BO136*Y136/AB136</f>
        <v>0</v>
      </c>
      <c r="BQ136" s="88" t="n">
        <f aca="false">AJ136*(1+IF(K136=3,INDEX(in_sup_vat_rate,1,C136),0))+AO136*Z136/AB136+AW136*BA136+(BC136+BD136)*AW136/AY136+AZ136*AJ136/AL136+BN136*AD136/AF136+BO136*Z136/AB136</f>
        <v>0</v>
      </c>
      <c r="BR136" s="88" t="n">
        <f aca="false">AK136*(1+IF(K136=3,INDEX(in_sup_vat_rate,1,C136),0))+AO136*AA136/AB136+AX136*BA136+(BC136+BD136)*AX136/AY136+AZ136*AK136/AL136+BN136*AE136/AF136+BO136*AA136/AB136</f>
        <v>31087.0629723552</v>
      </c>
      <c r="BS136" s="89" t="n">
        <f aca="false">BP136+BQ136+BR136-BM136</f>
        <v>0</v>
      </c>
      <c r="BT136" s="85" t="n">
        <f aca="false">Y136*(1-R136)</f>
        <v>0</v>
      </c>
      <c r="BU136" s="85" t="n">
        <f aca="false">Z136*(1-R136)</f>
        <v>0</v>
      </c>
      <c r="BV136" s="85" t="n">
        <f aca="false">AA136*(1-R136)</f>
        <v>84672</v>
      </c>
      <c r="BW136" s="85" t="n">
        <f aca="false">BT136+BU136+BV136</f>
        <v>84672</v>
      </c>
      <c r="BX136" s="90" t="n">
        <f aca="false">IF(BT136&gt;0,BP136/BT136,0)</f>
        <v>0</v>
      </c>
      <c r="BY136" s="90" t="n">
        <f aca="false">IF(BU136&gt;0,BQ136/BU136,0)</f>
        <v>0</v>
      </c>
      <c r="BZ136" s="90" t="n">
        <f aca="false">IF(BV136&gt;0,BR136/BV136,0)</f>
        <v>0.36714690774229</v>
      </c>
      <c r="CA136" s="90" t="n">
        <f aca="false">INDEX(in_mkt_listing_3464,1,C136)*(1-IF(sku_flute_3464="B",T136,0))*(1-S136)*N136</f>
        <v>0.1995</v>
      </c>
      <c r="CB136" s="90" t="n">
        <f aca="false">INDEX(in_mkt_listing_3463,1,C136)*(1-IF(sku_flute_3463="B",T136,0))*(1-S136)*N136</f>
        <v>0.23625</v>
      </c>
      <c r="CC136" s="90" t="n">
        <f aca="false">INDEX(in_mkt_listing_3460,1,C136)*(1-IF(sku_flute_3460="B",T136,0))*(1-S136)*N136</f>
        <v>0.21</v>
      </c>
      <c r="CD136" s="88" t="n">
        <f aca="false">BT136*CA136+BU136*CB136+BV136*CC136</f>
        <v>17781.12</v>
      </c>
      <c r="CE136" s="88" t="n">
        <f aca="false">CD136-BM136</f>
        <v>-13305.9429723552</v>
      </c>
      <c r="CF136" s="87" t="n">
        <f aca="false">IF(CD136&gt;0,CE136/CD136,0)</f>
        <v>-0.748318608296618</v>
      </c>
      <c r="CG136" s="87" t="n">
        <f aca="false">W136+INDEX(in_sel_processing,1,C136)+INDEX(in_sel_bad_debt,1,C136)</f>
        <v>0.095</v>
      </c>
      <c r="CH136" s="88" t="n">
        <f aca="false">CD136*CG136</f>
        <v>1689.2064</v>
      </c>
      <c r="CI136" s="88" t="n">
        <f aca="false">INDEX(in_sel_testing,1,C136)*X136+INDEX(in_sel_admin,1,C136)</f>
        <v>4750</v>
      </c>
      <c r="CJ136" s="79" t="n">
        <f aca="false">INDEX(in_sup_lead_days,1,C136)</f>
        <v>35</v>
      </c>
      <c r="CK136" s="79" t="n">
        <f aca="false">CJ136+INDEX(in_oce_transit,1,C136)+IF(F136=4,INDEX(in_oce_lcl_extra_days,1,C136),0)</f>
        <v>73</v>
      </c>
      <c r="CL136" s="79" t="n">
        <f aca="false">CK136+2+INDEX(in_cus_dem_days,1,C136)</f>
        <v>78</v>
      </c>
      <c r="CM136" s="79" t="n">
        <f aca="false">CL136+U136</f>
        <v>138</v>
      </c>
      <c r="CN136" s="79" t="n">
        <f aca="false">CJ136+INDEX(in_sup_vat_lag,1,C136)</f>
        <v>215</v>
      </c>
      <c r="CO136" s="91" t="n">
        <f aca="false">INDEX(in_sup_advance,1,C136)</f>
        <v>0.5</v>
      </c>
      <c r="CP136" s="88" t="n">
        <f aca="false">CO136*(AL136+AM136)+AO136+INDEX(in_sel_testing,1,C136)*X136</f>
        <v>12423.9026209469</v>
      </c>
      <c r="CQ136" s="88" t="n">
        <f aca="false">(1-CO136)*(AL136+AM136)+AR136+AU136+AZ136</f>
        <v>15101.2163058117</v>
      </c>
      <c r="CR136" s="88" t="n">
        <f aca="false">BB136+BC136+BD136+BF136+BJ136</f>
        <v>4251.94404559663</v>
      </c>
      <c r="CS136" s="88" t="n">
        <f aca="false">BK136+BL136</f>
        <v>3310</v>
      </c>
      <c r="CT136" s="88" t="n">
        <f aca="false">IF(K136=2,AM136,0)</f>
        <v>0</v>
      </c>
      <c r="CU136" s="85" t="n">
        <f aca="false">IF(K136=2,CO136*AM136*(CN136-0)+(1-CO136)*AM136*(CN136-CJ136),0)</f>
        <v>0</v>
      </c>
      <c r="CV136" s="85" t="n">
        <f aca="false">(CP136-CO136*CT136)*(CM136-0)+(CQ136-(1-CO136)*CT136)*(CM136-CJ136)+CR136*(CM136-CK136)+CS136*(CM136-CL136)</f>
        <v>3744900.20415305</v>
      </c>
      <c r="CW136" s="88" t="n">
        <f aca="false">INDEX(in_sel_fin_rate,1,C136)/365*(CU136+CV136)</f>
        <v>1436.40007830528</v>
      </c>
      <c r="CX136" s="85" t="n">
        <f aca="false">CP136-IF(CN136&lt;=0,CT136,0)</f>
        <v>12423.9026209469</v>
      </c>
      <c r="CY136" s="85" t="n">
        <f aca="false">CP136+CQ136-IF(CN136&lt;=CJ136,CT136,0)</f>
        <v>27525.1189267585</v>
      </c>
      <c r="CZ136" s="85" t="n">
        <f aca="false">CP136+CQ136+CR136-IF(CN136&lt;=CK136,CT136,0)</f>
        <v>31777.0629723552</v>
      </c>
      <c r="DA136" s="85" t="n">
        <f aca="false">CP136+CQ136+CR136+CS136-IF(CN136&lt;=CL136,CT136,0)</f>
        <v>35087.0629723552</v>
      </c>
      <c r="DB136" s="88" t="n">
        <f aca="false">MAX(CX136,CY136,CZ136,DA136)</f>
        <v>35087.0629723552</v>
      </c>
      <c r="DC136" s="88" t="n">
        <f aca="false">CP136+CQ136+CR136+CS136</f>
        <v>35087.0629723552</v>
      </c>
      <c r="DD136" s="88" t="n">
        <f aca="false">CE136-CH136-CI136-CW136</f>
        <v>-21181.5494506604</v>
      </c>
      <c r="DE136" s="87" t="n">
        <f aca="false">IF(CD136&gt;0,DD136/CD136,0)</f>
        <v>-1.19123820381733</v>
      </c>
      <c r="DF136" s="86" t="n">
        <f aca="false">IF(CD136&gt;0,(BM136+CI136+CW136)/(CD136*(1-CG136)),0)</f>
        <v>2.31628530808545</v>
      </c>
      <c r="DG136" s="90" t="n">
        <f aca="false">IF(BW136&gt;0,BM136/BW136,0)</f>
        <v>0.36714690774229</v>
      </c>
      <c r="DH136" s="90" t="n">
        <f aca="false">IF(BW136&gt;0,CD136/BW136,0)</f>
        <v>0.21</v>
      </c>
      <c r="DI136" s="90" t="n">
        <f aca="false">IF(AI136&gt;0,(AI136*IF(K136=3,INDEX(in_sup_vat_rate,1,C136),0)+AV136*BA136+(BC136+BD136)*AV136/AY136+AZ136*AI136/AL136)/AI136,0)</f>
        <v>0</v>
      </c>
      <c r="DJ136" s="90" t="n">
        <f aca="false">IF(AJ136&gt;0,(AJ136*IF(K136=3,INDEX(in_sup_vat_rate,1,C136),0)+AW136*BA136+(BC136+BD136)*AW136/AY136+AZ136*AJ136/AL136)/AJ136,0)</f>
        <v>0</v>
      </c>
      <c r="DK136" s="90" t="n">
        <f aca="false">IF(AK136&gt;0,(AK136*IF(K136=3,INDEX(in_sup_vat_rate,1,C136),0)+AX136*BA136+(BC136+BD136)*AX136/AY136+AZ136*AK136/AL136)/AK136,0)</f>
        <v>0.299927876867582</v>
      </c>
      <c r="DL136" s="90" t="n">
        <f aca="false">IF(Y136&gt;0,(BP136-AI136*(1+DI136))/Y136,0)</f>
        <v>0</v>
      </c>
      <c r="DM136" s="90" t="n">
        <f aca="false">IF(Z136&gt;0,(BQ136-AJ136*(1+DJ136))/Z136,0)</f>
        <v>0</v>
      </c>
      <c r="DN136" s="90" t="n">
        <f aca="false">IF(AA136&gt;0,(BR136-AK136*(1+DK136))/AA136,0)</f>
        <v>0.148038518526249</v>
      </c>
      <c r="DO136" s="86" t="str">
        <f aca="false">IF(Y136&gt;0,(CA136*(1-thr_gm_go)*(1-R136)-DL136)/(1+DI136)*I136/((1+AH136)*J136),"")</f>
        <v/>
      </c>
      <c r="DP136" s="86" t="str">
        <f aca="false">IF(Z136&gt;0,(CB136*(1-thr_gm_go)*(1-R136)-DM136)/(1+DJ136)*I136/((1+AH136)*J136),"")</f>
        <v/>
      </c>
      <c r="DQ136" s="86" t="n">
        <f aca="false">IF(AA136&gt;0,(CC136*(1-thr_gm_go)*(1-R136)-DN136)/(1+DK136)*I136/((1+AH136)*J136),"")</f>
        <v>0.106711447084479</v>
      </c>
      <c r="DR136" s="92" t="n">
        <f aca="false">IF(AND(AY136*INDEX(in_cus_mpf_rate,1,C136)&gt;INDEX(in_cus_mpf_min,1,C136),AY136*INDEX(in_cus_mpf_rate,1,C136)&lt;INDEX(in_cus_mpf_max,1,C136)),INDEX(in_cus_mpf_rate,1,C136),0)</f>
        <v>0.003464</v>
      </c>
      <c r="DS136" s="88" t="n">
        <f aca="false">IF(AZ136&gt;INDEX(in_oce_ins_min,1,C136),INDEX(in_oce_ins_rate,1,C136)*(1+INDEX(in_oce_ins_uplift,1,C136))*AL136,0)</f>
        <v>0</v>
      </c>
      <c r="DT136" s="88" t="n">
        <f aca="false">(AL136+AN136)*(1+BA136+INDEX(in_cus_hmf,1,C136)+DR136)+DS136</f>
        <v>17862.8771995127</v>
      </c>
      <c r="DU136" s="86" t="n">
        <f aca="false">IF(DT136&gt;0,(CD136*(1-thr_gm_go)-(BM136-DT136))/DT136,0)</f>
        <v>0.00625062949884582</v>
      </c>
      <c r="DV136" s="86" t="n">
        <f aca="false">IF(DT136&gt;0,(CD136-(BM136-DT136))/DT136,0)</f>
        <v>0.255106396145513</v>
      </c>
      <c r="DW136" s="87" t="n">
        <f aca="false">(1+AH136)*J136*DU136-1</f>
        <v>-0.99312430755127</v>
      </c>
      <c r="DX136" s="87" t="n">
        <f aca="false">(1+AH136)*J136*DV136-1</f>
        <v>-0.719382964239936</v>
      </c>
      <c r="DY136" s="85" t="n">
        <f aca="false">IF(G136&gt;0,(CD136*(1-thr_gm_go)-(BM136-AT136))/G136,"")</f>
        <v>-12751.2229723552</v>
      </c>
      <c r="DZ136" s="90" t="n">
        <f aca="false">IF(AB136&gt;0,(AL136+AN136+BB136+BC136+BD136)/AB136,0)</f>
        <v>0.203288726058277</v>
      </c>
      <c r="EA136" s="88" t="n">
        <f aca="false">BM136-DZ136*AB136</f>
        <v>13156.9973340152</v>
      </c>
      <c r="EB136" s="90" t="n">
        <f aca="false">IF(AB136&gt;0,CD136/AB136,0)</f>
        <v>0.2016</v>
      </c>
      <c r="EC136" s="85" t="str">
        <f aca="false">IF(EB136*(1-thr_gm_go)-DZ136&gt;0,EA136/(EB136*(1-thr_gm_go)-DZ136),"n/a")</f>
        <v>n/a</v>
      </c>
      <c r="ED136" s="85" t="str">
        <f aca="false">IF(EB136-DZ136&gt;0,EA136/(EB136-DZ136),"n/a")</f>
        <v>n/a</v>
      </c>
      <c r="EE136" s="93" t="b">
        <f aca="false">INDEX(cfg_fits,D136,C136)</f>
        <v>1</v>
      </c>
      <c r="EF136" s="87" t="n">
        <f aca="false">IF(F136=4,"",INDEX(cfg_lenutil,D136,C136))</f>
        <v>0.985750209555742</v>
      </c>
      <c r="EG136" s="31" t="str">
        <f aca="false">IF(O136&gt;1,"Check fit (units scaled up)","")</f>
        <v/>
      </c>
    </row>
    <row r="137" customFormat="false" ht="15" hidden="false" customHeight="false" outlineLevel="0" collapsed="false">
      <c r="A137" s="78" t="n">
        <v>3073</v>
      </c>
      <c r="B137" s="9" t="s">
        <v>3285</v>
      </c>
      <c r="C137" s="78" t="n">
        <v>3</v>
      </c>
      <c r="D137" s="78" t="n">
        <v>7</v>
      </c>
      <c r="E137" s="78" t="n">
        <v>3</v>
      </c>
      <c r="F137" s="79" t="n">
        <f aca="false">INDEX(cfg_ct,D137)</f>
        <v>3</v>
      </c>
      <c r="G137" s="79" t="n">
        <f aca="false">INDEX(cfg_n,D137)</f>
        <v>1</v>
      </c>
      <c r="H137" s="79" t="n">
        <f aca="false">INDEX(dest_port,E137)</f>
        <v>2</v>
      </c>
      <c r="I137" s="80" t="n">
        <f aca="false">INDEX(in_fx_cbe,1,C137)*(1-INDEX(in_fx_spread,1,C137))</f>
        <v>48.265</v>
      </c>
      <c r="J137" s="81" t="n">
        <f aca="false">1</f>
        <v>1</v>
      </c>
      <c r="K137" s="82" t="n">
        <f aca="false">INDEX(in_sup_vat_mode,1,C137)</f>
        <v>3</v>
      </c>
      <c r="L137" s="83" t="n">
        <f aca="false">INDEX(in_cus_s301,1,C137)</f>
        <v>0.125</v>
      </c>
      <c r="M137" s="84" t="n">
        <f aca="false">1</f>
        <v>1</v>
      </c>
      <c r="N137" s="81" t="n">
        <f aca="false">1</f>
        <v>1</v>
      </c>
      <c r="O137" s="81" t="n">
        <f aca="false">1</f>
        <v>1</v>
      </c>
      <c r="P137" s="81" t="n">
        <f aca="false">1</f>
        <v>1</v>
      </c>
      <c r="Q137" s="81" t="n">
        <f aca="false">1</f>
        <v>1</v>
      </c>
      <c r="R137" s="83" t="n">
        <f aca="false">INDEX(in_sel_damage,1,C137)</f>
        <v>0.04</v>
      </c>
      <c r="S137" s="83" t="n">
        <f aca="false">INDEX(in_mkt_dist_margin,1,C137)</f>
        <v>0.3</v>
      </c>
      <c r="T137" s="83" t="n">
        <f aca="false">INDEX(in_mkt_eflute_disc,1,C137)</f>
        <v>0.25</v>
      </c>
      <c r="U137" s="82" t="n">
        <f aca="false">INDEX(in_sel_credit_days,1,C137)</f>
        <v>60</v>
      </c>
      <c r="V137" s="81" t="n">
        <f aca="false">1</f>
        <v>1</v>
      </c>
      <c r="W137" s="83" t="n">
        <f aca="false">INDEX(in_sel_commission,1,C137)</f>
        <v>0.07</v>
      </c>
      <c r="X137" s="82" t="n">
        <f aca="false">1</f>
        <v>1</v>
      </c>
      <c r="Y137" s="85" t="n">
        <f aca="false">INDEX(cfg_u_3464,D137,C137)*O137</f>
        <v>0</v>
      </c>
      <c r="Z137" s="85" t="n">
        <f aca="false">INDEX(cfg_u_3463,D137,C137)*O137</f>
        <v>0</v>
      </c>
      <c r="AA137" s="85" t="n">
        <f aca="false">INDEX(cfg_u_3460,D137,C137)*O137</f>
        <v>88200</v>
      </c>
      <c r="AB137" s="85" t="n">
        <f aca="false">Y137+Z137+AA137</f>
        <v>88200</v>
      </c>
      <c r="AC137" s="86" t="n">
        <f aca="false">Y137*INDEX(lg_vpu_3464,C137)</f>
        <v>0</v>
      </c>
      <c r="AD137" s="86" t="n">
        <f aca="false">Z137*INDEX(lg_vpu_3463,C137)</f>
        <v>0</v>
      </c>
      <c r="AE137" s="86" t="n">
        <f aca="false">AA137*INDEX(lg_vpu_3460,C137)</f>
        <v>56.4106032</v>
      </c>
      <c r="AF137" s="86" t="n">
        <f aca="false">AC137+AD137+AE137</f>
        <v>56.4106032</v>
      </c>
      <c r="AG137" s="85" t="n">
        <f aca="false">Y137*INDEX(lg_kpu_3464,C137)+Z137*INDEX(lg_kpu_3463,C137)+AA137*INDEX(lg_kpu_3460,C137)</f>
        <v>13770.8113536</v>
      </c>
      <c r="AH137" s="87" t="n">
        <f aca="false">INDEX(in_sup_requote,1,C137)</f>
        <v>0.1</v>
      </c>
      <c r="AI137" s="88" t="n">
        <f aca="false">Y137*q_price_3464*(1+AH137)*J137/I137</f>
        <v>0</v>
      </c>
      <c r="AJ137" s="88" t="n">
        <f aca="false">Z137*q_price_3463*(1+AH137)*J137/I137</f>
        <v>0</v>
      </c>
      <c r="AK137" s="88" t="n">
        <f aca="false">AA137*q_price_3460*(1+AH137)*J137/I137</f>
        <v>13870.0507614213</v>
      </c>
      <c r="AL137" s="88" t="n">
        <f aca="false">AI137+AJ137+AK137</f>
        <v>13870.0507614213</v>
      </c>
      <c r="AM137" s="88" t="n">
        <f aca="false">IF(OR(K137=2,K137=3),AL137*INDEX(in_sup_vat_rate,1,C137),0)</f>
        <v>1941.80710659899</v>
      </c>
      <c r="AN137" s="88" t="n">
        <f aca="false">IF(K137=3,AM137,0)</f>
        <v>1941.80710659899</v>
      </c>
      <c r="AO137" s="88" t="n">
        <f aca="false">INDEX(in_sup_tooling_egp,1,C137)/I137</f>
        <v>517.973686936704</v>
      </c>
      <c r="AP137" s="88" t="n">
        <f aca="false">IF(F137=4,INDEX(in_ori_lcl_truck,1,C137)*V137/I137+INDEX(in_ori_lcl_cfs_o,1,C137),G137*(IF(F137=1,INDEX(in_ori_truck_20,1,C137),INDEX(in_ori_truck_40,1,C137))*V137/I137+INDEX(in_ori_terminal,1,C137)+IF(F137=1,INDEX(in_ori_othc_20,1,C137),INDEX(in_ori_othc_40,1,C137))*(1-INDEX(in_ori_othc_in_freight,1,C137))+INDEX(in_ori_seal,1,C137)+INDEX(in_ori_inspection,1,C137)+INDEX(in_ori_dd_days,1,C137)*IF(F137=1,INDEX(in_ori_dd_20,1,C137),INDEX(in_ori_dd_40,1,C137))+INDEX(in_ori_loading_egp,1,C137)/I137))</f>
        <v>882.378949549363</v>
      </c>
      <c r="AQ137" s="88" t="n">
        <f aca="false">(INDEX(in_ori_clearance,1,C137)+INDEX(in_ori_coo,1,C137))/I137+INDEX(in_ori_bl_fee,1,C137)+INDEX(in_ori_fwd_fee,1,C137)+INDEX(in_ori_qc,1,C137)+INDEX(in_ori_wires,1,C137)*INDEX(in_ori_wire_fee,1,C137)</f>
        <v>1167.90842225215</v>
      </c>
      <c r="AR137" s="88" t="n">
        <f aca="false">AP137+AQ137</f>
        <v>2050.28737180151</v>
      </c>
      <c r="AS137" s="85" t="n">
        <f aca="false">INDEX(tbl_port_diff,H137,C137)</f>
        <v>300</v>
      </c>
      <c r="AT137" s="88" t="n">
        <f aca="false">IF(F137=4,MAX(AF137*INDEX(in_oce_lcl_factor,1,C137),AG137/1000,1)*INDEX(in_oce_lcl_rate,1,C137)*M137,G137*(INDEX(tbl_ocean_rate,MIN(F137,3),C137)+AS137)*M137)</f>
        <v>5300</v>
      </c>
      <c r="AU137" s="88" t="n">
        <f aca="false">AT137+INDEX(in_oce_ams,1,C137)</f>
        <v>5345</v>
      </c>
      <c r="AV137" s="88" t="n">
        <f aca="false">AI137*(1+IF(K137=3,INDEX(in_sup_vat_rate,1,C137),0))+AO137*Y137/AB137</f>
        <v>0</v>
      </c>
      <c r="AW137" s="88" t="n">
        <f aca="false">AJ137*(1+IF(K137=3,INDEX(in_sup_vat_rate,1,C137),0))+AO137*Z137/AB137</f>
        <v>0</v>
      </c>
      <c r="AX137" s="88" t="n">
        <f aca="false">AK137*(1+IF(K137=3,INDEX(in_sup_vat_rate,1,C137),0))+AO137*AA137/AB137</f>
        <v>16329.831554957</v>
      </c>
      <c r="AY137" s="88" t="n">
        <f aca="false">AV137+AW137+AX137</f>
        <v>16329.831554957</v>
      </c>
      <c r="AZ137" s="88" t="n">
        <f aca="false">MAX(INDEX(in_oce_ins_min,1,C137),INDEX(in_oce_ins_rate,1,C137)*(1+INDEX(in_oce_ins_uplift,1,C137))*(AL137+AO137+AR137+AU137))*(1-INDEX(in_oce_ins_in_other,1,C137))</f>
        <v>100</v>
      </c>
      <c r="BA137" s="87" t="n">
        <f aca="false">INDEX(in_cus_mfn,1,C137)+L137</f>
        <v>0.125</v>
      </c>
      <c r="BB137" s="88" t="n">
        <f aca="false">AY137*BA137</f>
        <v>2041.22894436963</v>
      </c>
      <c r="BC137" s="88" t="n">
        <f aca="false">MIN(MAX(AY137*INDEX(in_cus_mpf_rate,1,C137),INDEX(in_cus_mpf_min,1,C137)),INDEX(in_cus_mpf_max,1,C137))</f>
        <v>56.5665365063711</v>
      </c>
      <c r="BD137" s="88" t="n">
        <f aca="false">AY137*INDEX(in_cus_hmf,1,C137)</f>
        <v>20.4122894436963</v>
      </c>
      <c r="BE137" s="88" t="n">
        <f aca="false">MAX(INDEX(in_cus_stb_min,1,C137),INDEX(in_cus_stb_rate,1,C137)/1000*(AY137+BB137+BC137+BD137))</f>
        <v>129.136275276937</v>
      </c>
      <c r="BF137" s="88" t="n">
        <f aca="false">INDEX(in_cus_broker,1,C137)+INDEX(in_cus_isf,1,C137)+INDEX(in_cus_do_fee,1,C137)+BE137+INDEX(in_cus_isf_bond,1,C137)</f>
        <v>754.136275276937</v>
      </c>
      <c r="BG137" s="88" t="n">
        <f aca="false">IF(H137=1,INDEX(in_cus_cfc,1,C137)*INDEX(ct_teu,F137)*G137*(1-INDEX(in_cus_cfc_in_freight,1,C137)),0)</f>
        <v>0</v>
      </c>
      <c r="BH137" s="88" t="n">
        <f aca="false">IF(F137=4,1,G137)*(INDEX(in_cus_exam,1,C137)+INDEX(in_cus_exam_dray,1,C137))</f>
        <v>600</v>
      </c>
      <c r="BI137" s="88" t="n">
        <f aca="false">IF(F137=4,1,G137)*INDEX(in_cus_dem_days,1,C137)*INDEX(in_cus_dem_rate,1,C137)</f>
        <v>750</v>
      </c>
      <c r="BJ137" s="88" t="n">
        <f aca="false">BG137+BH137+BI137</f>
        <v>1350</v>
      </c>
      <c r="BK137" s="88" t="n">
        <f aca="false">IF(F137=4,(INDEX(in_dra_lcl_cfs_d,1,C137)+INDEX(in_dra_lcl_deliv,1,C137))*P137,G137*(INDEX(tbl_dest_line,E137,C137)*P137*(1+INDEX(in_dra_fsc,1,C137))+INDEX(tbl_dest_tolls,E137,C137)+INDEX(in_dra_chassis_days,1,C137)*INDEX(tbl_dest_chassis,E137,C137)*(1-INDEX(in_dra_chassis_in_dray,1,C137))+INDEX(in_dra_wait_hours,1,C137)*INDEX(in_dra_wait_rate,1,C137)+INDEX(in_dra_split,1,C137)+INDEX(in_dra_prepull,1,C137)+INDEX(in_dra_dryrun,1,C137)))</f>
        <v>2100</v>
      </c>
      <c r="BL137" s="88" t="n">
        <f aca="false">IF(F137=4,0,G137*IF(F137=1,INDEX(in_dra_unload_20,1,C137),INDEX(in_dra_unload_40,1,C137))*Q137*(1-INDEX(in_dra_unload_in_dray,1,C137)))</f>
        <v>650</v>
      </c>
      <c r="BM137" s="88" t="n">
        <f aca="false">AL137+AN137+AO137+AR137+AU137+AZ137+BB137+BC137+BD137+BF137+BJ137+BK137+BL137</f>
        <v>30797.4629723552</v>
      </c>
      <c r="BN137" s="88" t="n">
        <f aca="false">AP137+AU137+BJ137+BK137+BL137</f>
        <v>10327.3789495494</v>
      </c>
      <c r="BO137" s="88" t="n">
        <f aca="false">AQ137+BF137</f>
        <v>1922.04469752909</v>
      </c>
      <c r="BP137" s="88" t="n">
        <f aca="false">AI137*(1+IF(K137=3,INDEX(in_sup_vat_rate,1,C137),0))+AO137*Y137/AB137+AV137*BA137+(BC137+BD137)*AV137/AY137+AZ137*AI137/AL137+BN137*AC137/AF137+BO137*Y137/AB137</f>
        <v>0</v>
      </c>
      <c r="BQ137" s="88" t="n">
        <f aca="false">AJ137*(1+IF(K137=3,INDEX(in_sup_vat_rate,1,C137),0))+AO137*Z137/AB137+AW137*BA137+(BC137+BD137)*AW137/AY137+AZ137*AJ137/AL137+BN137*AD137/AF137+BO137*Z137/AB137</f>
        <v>0</v>
      </c>
      <c r="BR137" s="88" t="n">
        <f aca="false">AK137*(1+IF(K137=3,INDEX(in_sup_vat_rate,1,C137),0))+AO137*AA137/AB137+AX137*BA137+(BC137+BD137)*AX137/AY137+AZ137*AK137/AL137+BN137*AE137/AF137+BO137*AA137/AB137</f>
        <v>30797.4629723552</v>
      </c>
      <c r="BS137" s="89" t="n">
        <f aca="false">BP137+BQ137+BR137-BM137</f>
        <v>0</v>
      </c>
      <c r="BT137" s="85" t="n">
        <f aca="false">Y137*(1-R137)</f>
        <v>0</v>
      </c>
      <c r="BU137" s="85" t="n">
        <f aca="false">Z137*(1-R137)</f>
        <v>0</v>
      </c>
      <c r="BV137" s="85" t="n">
        <f aca="false">AA137*(1-R137)</f>
        <v>84672</v>
      </c>
      <c r="BW137" s="85" t="n">
        <f aca="false">BT137+BU137+BV137</f>
        <v>84672</v>
      </c>
      <c r="BX137" s="90" t="n">
        <f aca="false">IF(BT137&gt;0,BP137/BT137,0)</f>
        <v>0</v>
      </c>
      <c r="BY137" s="90" t="n">
        <f aca="false">IF(BU137&gt;0,BQ137/BU137,0)</f>
        <v>0</v>
      </c>
      <c r="BZ137" s="90" t="n">
        <f aca="false">IF(BV137&gt;0,BR137/BV137,0)</f>
        <v>0.363726650750604</v>
      </c>
      <c r="CA137" s="90" t="n">
        <f aca="false">INDEX(in_mkt_listing_3464,1,C137)*(1-IF(sku_flute_3464="B",T137,0))*(1-S137)*N137</f>
        <v>0.1995</v>
      </c>
      <c r="CB137" s="90" t="n">
        <f aca="false">INDEX(in_mkt_listing_3463,1,C137)*(1-IF(sku_flute_3463="B",T137,0))*(1-S137)*N137</f>
        <v>0.23625</v>
      </c>
      <c r="CC137" s="90" t="n">
        <f aca="false">INDEX(in_mkt_listing_3460,1,C137)*(1-IF(sku_flute_3460="B",T137,0))*(1-S137)*N137</f>
        <v>0.21</v>
      </c>
      <c r="CD137" s="88" t="n">
        <f aca="false">BT137*CA137+BU137*CB137+BV137*CC137</f>
        <v>17781.12</v>
      </c>
      <c r="CE137" s="88" t="n">
        <f aca="false">CD137-BM137</f>
        <v>-13016.3429723552</v>
      </c>
      <c r="CF137" s="87" t="n">
        <f aca="false">IF(CD137&gt;0,CE137/CD137,0)</f>
        <v>-0.732031670240972</v>
      </c>
      <c r="CG137" s="87" t="n">
        <f aca="false">W137+INDEX(in_sel_processing,1,C137)+INDEX(in_sel_bad_debt,1,C137)</f>
        <v>0.095</v>
      </c>
      <c r="CH137" s="88" t="n">
        <f aca="false">CD137*CG137</f>
        <v>1689.2064</v>
      </c>
      <c r="CI137" s="88" t="n">
        <f aca="false">INDEX(in_sel_testing,1,C137)*X137+INDEX(in_sel_admin,1,C137)</f>
        <v>4750</v>
      </c>
      <c r="CJ137" s="79" t="n">
        <f aca="false">INDEX(in_sup_lead_days,1,C137)</f>
        <v>35</v>
      </c>
      <c r="CK137" s="79" t="n">
        <f aca="false">CJ137+INDEX(in_oce_transit,1,C137)+IF(F137=4,INDEX(in_oce_lcl_extra_days,1,C137),0)</f>
        <v>73</v>
      </c>
      <c r="CL137" s="79" t="n">
        <f aca="false">CK137+2+INDEX(in_cus_dem_days,1,C137)</f>
        <v>78</v>
      </c>
      <c r="CM137" s="79" t="n">
        <f aca="false">CL137+U137</f>
        <v>138</v>
      </c>
      <c r="CN137" s="79" t="n">
        <f aca="false">CJ137+INDEX(in_sup_vat_lag,1,C137)</f>
        <v>215</v>
      </c>
      <c r="CO137" s="91" t="n">
        <f aca="false">INDEX(in_sup_advance,1,C137)</f>
        <v>0.5</v>
      </c>
      <c r="CP137" s="88" t="n">
        <f aca="false">CO137*(AL137+AM137)+AO137+INDEX(in_sel_testing,1,C137)*X137</f>
        <v>12423.9026209469</v>
      </c>
      <c r="CQ137" s="88" t="n">
        <f aca="false">(1-CO137)*(AL137+AM137)+AR137+AU137+AZ137</f>
        <v>15401.2163058117</v>
      </c>
      <c r="CR137" s="88" t="n">
        <f aca="false">BB137+BC137+BD137+BF137+BJ137</f>
        <v>4222.34404559663</v>
      </c>
      <c r="CS137" s="88" t="n">
        <f aca="false">BK137+BL137</f>
        <v>2750</v>
      </c>
      <c r="CT137" s="88" t="n">
        <f aca="false">IF(K137=2,AM137,0)</f>
        <v>0</v>
      </c>
      <c r="CU137" s="85" t="n">
        <f aca="false">IF(K137=2,CO137*AM137*(CN137-0)+(1-CO137)*AM137*(CN137-CJ137),0)</f>
        <v>0</v>
      </c>
      <c r="CV137" s="85" t="n">
        <f aca="false">(CP137-CO137*CT137)*(CM137-0)+(CQ137-(1-CO137)*CT137)*(CM137-CJ137)+CR137*(CM137-CK137)+CS137*(CM137-CL137)</f>
        <v>3740276.20415305</v>
      </c>
      <c r="CW137" s="88" t="n">
        <f aca="false">INDEX(in_sel_fin_rate,1,C137)/365*(CU137+CV137)</f>
        <v>1434.62648926418</v>
      </c>
      <c r="CX137" s="85" t="n">
        <f aca="false">CP137-IF(CN137&lt;=0,CT137,0)</f>
        <v>12423.9026209469</v>
      </c>
      <c r="CY137" s="85" t="n">
        <f aca="false">CP137+CQ137-IF(CN137&lt;=CJ137,CT137,0)</f>
        <v>27825.1189267585</v>
      </c>
      <c r="CZ137" s="85" t="n">
        <f aca="false">CP137+CQ137+CR137-IF(CN137&lt;=CK137,CT137,0)</f>
        <v>32047.4629723552</v>
      </c>
      <c r="DA137" s="85" t="n">
        <f aca="false">CP137+CQ137+CR137+CS137-IF(CN137&lt;=CL137,CT137,0)</f>
        <v>34797.4629723552</v>
      </c>
      <c r="DB137" s="88" t="n">
        <f aca="false">MAX(CX137,CY137,CZ137,DA137)</f>
        <v>34797.4629723552</v>
      </c>
      <c r="DC137" s="88" t="n">
        <f aca="false">CP137+CQ137+CR137+CS137</f>
        <v>34797.4629723552</v>
      </c>
      <c r="DD137" s="88" t="n">
        <f aca="false">CE137-CH137-CI137-CW137</f>
        <v>-20890.1758616193</v>
      </c>
      <c r="DE137" s="87" t="n">
        <f aca="false">IF(CD137&gt;0,DD137/CD137,0)</f>
        <v>-1.1748515201303</v>
      </c>
      <c r="DF137" s="86" t="n">
        <f aca="false">IF(CD137&gt;0,(BM137+CI137+CW137)/(CD137*(1-CG137)),0)</f>
        <v>2.2981784752821</v>
      </c>
      <c r="DG137" s="90" t="n">
        <f aca="false">IF(BW137&gt;0,BM137/BW137,0)</f>
        <v>0.363726650750604</v>
      </c>
      <c r="DH137" s="90" t="n">
        <f aca="false">IF(BW137&gt;0,CD137/BW137,0)</f>
        <v>0.21</v>
      </c>
      <c r="DI137" s="90" t="n">
        <f aca="false">IF(AI137&gt;0,(AI137*IF(K137=3,INDEX(in_sup_vat_rate,1,C137),0)+AV137*BA137+(BC137+BD137)*AV137/AY137+AZ137*AI137/AL137)/AI137,0)</f>
        <v>0</v>
      </c>
      <c r="DJ137" s="90" t="n">
        <f aca="false">IF(AJ137&gt;0,(AJ137*IF(K137=3,INDEX(in_sup_vat_rate,1,C137),0)+AW137*BA137+(BC137+BD137)*AW137/AY137+AZ137*AJ137/AL137)/AJ137,0)</f>
        <v>0</v>
      </c>
      <c r="DK137" s="90" t="n">
        <f aca="false">IF(AK137&gt;0,(AK137*IF(K137=3,INDEX(in_sup_vat_rate,1,C137),0)+AX137*BA137+(BC137+BD137)*AX137/AY137+AZ137*AK137/AL137)/AK137,0)</f>
        <v>0.299927876867582</v>
      </c>
      <c r="DL137" s="90" t="n">
        <f aca="false">IF(Y137&gt;0,(BP137-AI137*(1+DI137))/Y137,0)</f>
        <v>0</v>
      </c>
      <c r="DM137" s="90" t="n">
        <f aca="false">IF(Z137&gt;0,(BQ137-AJ137*(1+DJ137))/Z137,0)</f>
        <v>0</v>
      </c>
      <c r="DN137" s="90" t="n">
        <f aca="false">IF(AA137&gt;0,(BR137-AK137*(1+DK137))/AA137,0)</f>
        <v>0.144755071814231</v>
      </c>
      <c r="DO137" s="86" t="str">
        <f aca="false">IF(Y137&gt;0,(CA137*(1-thr_gm_go)*(1-R137)-DL137)/(1+DI137)*I137/((1+AH137)*J137),"")</f>
        <v/>
      </c>
      <c r="DP137" s="86" t="str">
        <f aca="false">IF(Z137&gt;0,(CB137*(1-thr_gm_go)*(1-R137)-DM137)/(1+DJ137)*I137/((1+AH137)*J137),"")</f>
        <v/>
      </c>
      <c r="DQ137" s="86" t="n">
        <f aca="false">IF(AA137&gt;0,(CC137*(1-thr_gm_go)*(1-R137)-DN137)/(1+DK137)*I137/((1+AH137)*J137),"")</f>
        <v>0.217539662581979</v>
      </c>
      <c r="DR137" s="92" t="n">
        <f aca="false">IF(AND(AY137*INDEX(in_cus_mpf_rate,1,C137)&gt;INDEX(in_cus_mpf_min,1,C137),AY137*INDEX(in_cus_mpf_rate,1,C137)&lt;INDEX(in_cus_mpf_max,1,C137)),INDEX(in_cus_mpf_rate,1,C137),0)</f>
        <v>0.003464</v>
      </c>
      <c r="DS137" s="88" t="n">
        <f aca="false">IF(AZ137&gt;INDEX(in_oce_ins_min,1,C137),INDEX(in_oce_ins_rate,1,C137)*(1+INDEX(in_oce_ins_uplift,1,C137))*AL137,0)</f>
        <v>0</v>
      </c>
      <c r="DT137" s="88" t="n">
        <f aca="false">(AL137+AN137)*(1+BA137+INDEX(in_cus_hmf,1,C137)+DR137)+DS137</f>
        <v>17862.8771995127</v>
      </c>
      <c r="DU137" s="86" t="n">
        <f aca="false">IF(DT137&gt;0,(CD137*(1-thr_gm_go)-(BM137-DT137))/DT137,0)</f>
        <v>0.0224630233235035</v>
      </c>
      <c r="DV137" s="86" t="n">
        <f aca="false">IF(DT137&gt;0,(CD137-(BM137-DT137))/DT137,0)</f>
        <v>0.271318789970171</v>
      </c>
      <c r="DW137" s="87" t="n">
        <f aca="false">(1+AH137)*J137*DU137-1</f>
        <v>-0.975290674344146</v>
      </c>
      <c r="DX137" s="87" t="n">
        <f aca="false">(1+AH137)*J137*DV137-1</f>
        <v>-0.701549331032812</v>
      </c>
      <c r="DY137" s="85" t="n">
        <f aca="false">IF(G137&gt;0,(CD137*(1-thr_gm_go)-(BM137-AT137))/G137,"")</f>
        <v>-12161.6229723552</v>
      </c>
      <c r="DZ137" s="90" t="n">
        <f aca="false">IF(AB137&gt;0,(AL137+AN137+BB137+BC137+BD137)/AB137,0)</f>
        <v>0.203288726058277</v>
      </c>
      <c r="EA137" s="88" t="n">
        <f aca="false">BM137-DZ137*AB137</f>
        <v>12867.3973340152</v>
      </c>
      <c r="EB137" s="90" t="n">
        <f aca="false">IF(AB137&gt;0,CD137/AB137,0)</f>
        <v>0.2016</v>
      </c>
      <c r="EC137" s="85" t="str">
        <f aca="false">IF(EB137*(1-thr_gm_go)-DZ137&gt;0,EA137/(EB137*(1-thr_gm_go)-DZ137),"n/a")</f>
        <v>n/a</v>
      </c>
      <c r="ED137" s="85" t="str">
        <f aca="false">IF(EB137-DZ137&gt;0,EA137/(EB137-DZ137),"n/a")</f>
        <v>n/a</v>
      </c>
      <c r="EE137" s="93" t="b">
        <f aca="false">INDEX(cfg_fits,D137,C137)</f>
        <v>1</v>
      </c>
      <c r="EF137" s="87" t="n">
        <f aca="false">IF(F137=4,"",INDEX(cfg_lenutil,D137,C137))</f>
        <v>0.985750209555742</v>
      </c>
      <c r="EG137" s="31" t="str">
        <f aca="false">IF(O137&gt;1,"Check fit (units scaled up)","")</f>
        <v/>
      </c>
    </row>
    <row r="138" customFormat="false" ht="15" hidden="false" customHeight="false" outlineLevel="0" collapsed="false">
      <c r="A138" s="78" t="n">
        <v>3074</v>
      </c>
      <c r="B138" s="9" t="s">
        <v>3286</v>
      </c>
      <c r="C138" s="78" t="n">
        <v>3</v>
      </c>
      <c r="D138" s="78" t="n">
        <v>7</v>
      </c>
      <c r="E138" s="78" t="n">
        <v>4</v>
      </c>
      <c r="F138" s="79" t="n">
        <f aca="false">INDEX(cfg_ct,D138)</f>
        <v>3</v>
      </c>
      <c r="G138" s="79" t="n">
        <f aca="false">INDEX(cfg_n,D138)</f>
        <v>1</v>
      </c>
      <c r="H138" s="79" t="n">
        <f aca="false">INDEX(dest_port,E138)</f>
        <v>3</v>
      </c>
      <c r="I138" s="80" t="n">
        <f aca="false">INDEX(in_fx_cbe,1,C138)*(1-INDEX(in_fx_spread,1,C138))</f>
        <v>48.265</v>
      </c>
      <c r="J138" s="81" t="n">
        <f aca="false">1</f>
        <v>1</v>
      </c>
      <c r="K138" s="82" t="n">
        <f aca="false">INDEX(in_sup_vat_mode,1,C138)</f>
        <v>3</v>
      </c>
      <c r="L138" s="83" t="n">
        <f aca="false">INDEX(in_cus_s301,1,C138)</f>
        <v>0.125</v>
      </c>
      <c r="M138" s="84" t="n">
        <f aca="false">1</f>
        <v>1</v>
      </c>
      <c r="N138" s="81" t="n">
        <f aca="false">1</f>
        <v>1</v>
      </c>
      <c r="O138" s="81" t="n">
        <f aca="false">1</f>
        <v>1</v>
      </c>
      <c r="P138" s="81" t="n">
        <f aca="false">1</f>
        <v>1</v>
      </c>
      <c r="Q138" s="81" t="n">
        <f aca="false">1</f>
        <v>1</v>
      </c>
      <c r="R138" s="83" t="n">
        <f aca="false">INDEX(in_sel_damage,1,C138)</f>
        <v>0.04</v>
      </c>
      <c r="S138" s="83" t="n">
        <f aca="false">INDEX(in_mkt_dist_margin,1,C138)</f>
        <v>0.3</v>
      </c>
      <c r="T138" s="83" t="n">
        <f aca="false">INDEX(in_mkt_eflute_disc,1,C138)</f>
        <v>0.25</v>
      </c>
      <c r="U138" s="82" t="n">
        <f aca="false">INDEX(in_sel_credit_days,1,C138)</f>
        <v>60</v>
      </c>
      <c r="V138" s="81" t="n">
        <f aca="false">1</f>
        <v>1</v>
      </c>
      <c r="W138" s="83" t="n">
        <f aca="false">INDEX(in_sel_commission,1,C138)</f>
        <v>0.07</v>
      </c>
      <c r="X138" s="82" t="n">
        <f aca="false">1</f>
        <v>1</v>
      </c>
      <c r="Y138" s="85" t="n">
        <f aca="false">INDEX(cfg_u_3464,D138,C138)*O138</f>
        <v>0</v>
      </c>
      <c r="Z138" s="85" t="n">
        <f aca="false">INDEX(cfg_u_3463,D138,C138)*O138</f>
        <v>0</v>
      </c>
      <c r="AA138" s="85" t="n">
        <f aca="false">INDEX(cfg_u_3460,D138,C138)*O138</f>
        <v>88200</v>
      </c>
      <c r="AB138" s="85" t="n">
        <f aca="false">Y138+Z138+AA138</f>
        <v>88200</v>
      </c>
      <c r="AC138" s="86" t="n">
        <f aca="false">Y138*INDEX(lg_vpu_3464,C138)</f>
        <v>0</v>
      </c>
      <c r="AD138" s="86" t="n">
        <f aca="false">Z138*INDEX(lg_vpu_3463,C138)</f>
        <v>0</v>
      </c>
      <c r="AE138" s="86" t="n">
        <f aca="false">AA138*INDEX(lg_vpu_3460,C138)</f>
        <v>56.4106032</v>
      </c>
      <c r="AF138" s="86" t="n">
        <f aca="false">AC138+AD138+AE138</f>
        <v>56.4106032</v>
      </c>
      <c r="AG138" s="85" t="n">
        <f aca="false">Y138*INDEX(lg_kpu_3464,C138)+Z138*INDEX(lg_kpu_3463,C138)+AA138*INDEX(lg_kpu_3460,C138)</f>
        <v>13770.8113536</v>
      </c>
      <c r="AH138" s="87" t="n">
        <f aca="false">INDEX(in_sup_requote,1,C138)</f>
        <v>0.1</v>
      </c>
      <c r="AI138" s="88" t="n">
        <f aca="false">Y138*q_price_3464*(1+AH138)*J138/I138</f>
        <v>0</v>
      </c>
      <c r="AJ138" s="88" t="n">
        <f aca="false">Z138*q_price_3463*(1+AH138)*J138/I138</f>
        <v>0</v>
      </c>
      <c r="AK138" s="88" t="n">
        <f aca="false">AA138*q_price_3460*(1+AH138)*J138/I138</f>
        <v>13870.0507614213</v>
      </c>
      <c r="AL138" s="88" t="n">
        <f aca="false">AI138+AJ138+AK138</f>
        <v>13870.0507614213</v>
      </c>
      <c r="AM138" s="88" t="n">
        <f aca="false">IF(OR(K138=2,K138=3),AL138*INDEX(in_sup_vat_rate,1,C138),0)</f>
        <v>1941.80710659899</v>
      </c>
      <c r="AN138" s="88" t="n">
        <f aca="false">IF(K138=3,AM138,0)</f>
        <v>1941.80710659899</v>
      </c>
      <c r="AO138" s="88" t="n">
        <f aca="false">INDEX(in_sup_tooling_egp,1,C138)/I138</f>
        <v>517.973686936704</v>
      </c>
      <c r="AP138" s="88" t="n">
        <f aca="false">IF(F138=4,INDEX(in_ori_lcl_truck,1,C138)*V138/I138+INDEX(in_ori_lcl_cfs_o,1,C138),G138*(IF(F138=1,INDEX(in_ori_truck_20,1,C138),INDEX(in_ori_truck_40,1,C138))*V138/I138+INDEX(in_ori_terminal,1,C138)+IF(F138=1,INDEX(in_ori_othc_20,1,C138),INDEX(in_ori_othc_40,1,C138))*(1-INDEX(in_ori_othc_in_freight,1,C138))+INDEX(in_ori_seal,1,C138)+INDEX(in_ori_inspection,1,C138)+INDEX(in_ori_dd_days,1,C138)*IF(F138=1,INDEX(in_ori_dd_20,1,C138),INDEX(in_ori_dd_40,1,C138))+INDEX(in_ori_loading_egp,1,C138)/I138))</f>
        <v>882.378949549363</v>
      </c>
      <c r="AQ138" s="88" t="n">
        <f aca="false">(INDEX(in_ori_clearance,1,C138)+INDEX(in_ori_coo,1,C138))/I138+INDEX(in_ori_bl_fee,1,C138)+INDEX(in_ori_fwd_fee,1,C138)+INDEX(in_ori_qc,1,C138)+INDEX(in_ori_wires,1,C138)*INDEX(in_ori_wire_fee,1,C138)</f>
        <v>1167.90842225215</v>
      </c>
      <c r="AR138" s="88" t="n">
        <f aca="false">AP138+AQ138</f>
        <v>2050.28737180151</v>
      </c>
      <c r="AS138" s="85" t="n">
        <f aca="false">INDEX(tbl_port_diff,H138,C138)</f>
        <v>100</v>
      </c>
      <c r="AT138" s="88" t="n">
        <f aca="false">IF(F138=4,MAX(AF138*INDEX(in_oce_lcl_factor,1,C138),AG138/1000,1)*INDEX(in_oce_lcl_rate,1,C138)*M138,G138*(INDEX(tbl_ocean_rate,MIN(F138,3),C138)+AS138)*M138)</f>
        <v>5100</v>
      </c>
      <c r="AU138" s="88" t="n">
        <f aca="false">AT138+INDEX(in_oce_ams,1,C138)</f>
        <v>5145</v>
      </c>
      <c r="AV138" s="88" t="n">
        <f aca="false">AI138*(1+IF(K138=3,INDEX(in_sup_vat_rate,1,C138),0))+AO138*Y138/AB138</f>
        <v>0</v>
      </c>
      <c r="AW138" s="88" t="n">
        <f aca="false">AJ138*(1+IF(K138=3,INDEX(in_sup_vat_rate,1,C138),0))+AO138*Z138/AB138</f>
        <v>0</v>
      </c>
      <c r="AX138" s="88" t="n">
        <f aca="false">AK138*(1+IF(K138=3,INDEX(in_sup_vat_rate,1,C138),0))+AO138*AA138/AB138</f>
        <v>16329.831554957</v>
      </c>
      <c r="AY138" s="88" t="n">
        <f aca="false">AV138+AW138+AX138</f>
        <v>16329.831554957</v>
      </c>
      <c r="AZ138" s="88" t="n">
        <f aca="false">MAX(INDEX(in_oce_ins_min,1,C138),INDEX(in_oce_ins_rate,1,C138)*(1+INDEX(in_oce_ins_uplift,1,C138))*(AL138+AO138+AR138+AU138))*(1-INDEX(in_oce_ins_in_other,1,C138))</f>
        <v>100</v>
      </c>
      <c r="BA138" s="87" t="n">
        <f aca="false">INDEX(in_cus_mfn,1,C138)+L138</f>
        <v>0.125</v>
      </c>
      <c r="BB138" s="88" t="n">
        <f aca="false">AY138*BA138</f>
        <v>2041.22894436963</v>
      </c>
      <c r="BC138" s="88" t="n">
        <f aca="false">MIN(MAX(AY138*INDEX(in_cus_mpf_rate,1,C138),INDEX(in_cus_mpf_min,1,C138)),INDEX(in_cus_mpf_max,1,C138))</f>
        <v>56.5665365063711</v>
      </c>
      <c r="BD138" s="88" t="n">
        <f aca="false">AY138*INDEX(in_cus_hmf,1,C138)</f>
        <v>20.4122894436963</v>
      </c>
      <c r="BE138" s="88" t="n">
        <f aca="false">MAX(INDEX(in_cus_stb_min,1,C138),INDEX(in_cus_stb_rate,1,C138)/1000*(AY138+BB138+BC138+BD138))</f>
        <v>129.136275276937</v>
      </c>
      <c r="BF138" s="88" t="n">
        <f aca="false">INDEX(in_cus_broker,1,C138)+INDEX(in_cus_isf,1,C138)+INDEX(in_cus_do_fee,1,C138)+BE138+INDEX(in_cus_isf_bond,1,C138)</f>
        <v>754.136275276937</v>
      </c>
      <c r="BG138" s="88" t="n">
        <f aca="false">IF(H138=1,INDEX(in_cus_cfc,1,C138)*INDEX(ct_teu,F138)*G138*(1-INDEX(in_cus_cfc_in_freight,1,C138)),0)</f>
        <v>0</v>
      </c>
      <c r="BH138" s="88" t="n">
        <f aca="false">IF(F138=4,1,G138)*(INDEX(in_cus_exam,1,C138)+INDEX(in_cus_exam_dray,1,C138))</f>
        <v>600</v>
      </c>
      <c r="BI138" s="88" t="n">
        <f aca="false">IF(F138=4,1,G138)*INDEX(in_cus_dem_days,1,C138)*INDEX(in_cus_dem_rate,1,C138)</f>
        <v>750</v>
      </c>
      <c r="BJ138" s="88" t="n">
        <f aca="false">BG138+BH138+BI138</f>
        <v>1350</v>
      </c>
      <c r="BK138" s="88" t="n">
        <f aca="false">IF(F138=4,(INDEX(in_dra_lcl_cfs_d,1,C138)+INDEX(in_dra_lcl_deliv,1,C138))*P138,G138*(INDEX(tbl_dest_line,E138,C138)*P138*(1+INDEX(in_dra_fsc,1,C138))+INDEX(tbl_dest_tolls,E138,C138)+INDEX(in_dra_chassis_days,1,C138)*INDEX(tbl_dest_chassis,E138,C138)*(1-INDEX(in_dra_chassis_in_dray,1,C138))+INDEX(in_dra_wait_hours,1,C138)*INDEX(in_dra_wait_rate,1,C138)+INDEX(in_dra_split,1,C138)+INDEX(in_dra_prepull,1,C138)+INDEX(in_dra_dryrun,1,C138)))</f>
        <v>2850</v>
      </c>
      <c r="BL138" s="88" t="n">
        <f aca="false">IF(F138=4,0,G138*IF(F138=1,INDEX(in_dra_unload_20,1,C138),INDEX(in_dra_unload_40,1,C138))*Q138*(1-INDEX(in_dra_unload_in_dray,1,C138)))</f>
        <v>650</v>
      </c>
      <c r="BM138" s="88" t="n">
        <f aca="false">AL138+AN138+AO138+AR138+AU138+AZ138+BB138+BC138+BD138+BF138+BJ138+BK138+BL138</f>
        <v>31347.4629723552</v>
      </c>
      <c r="BN138" s="88" t="n">
        <f aca="false">AP138+AU138+BJ138+BK138+BL138</f>
        <v>10877.3789495494</v>
      </c>
      <c r="BO138" s="88" t="n">
        <f aca="false">AQ138+BF138</f>
        <v>1922.04469752909</v>
      </c>
      <c r="BP138" s="88" t="n">
        <f aca="false">AI138*(1+IF(K138=3,INDEX(in_sup_vat_rate,1,C138),0))+AO138*Y138/AB138+AV138*BA138+(BC138+BD138)*AV138/AY138+AZ138*AI138/AL138+BN138*AC138/AF138+BO138*Y138/AB138</f>
        <v>0</v>
      </c>
      <c r="BQ138" s="88" t="n">
        <f aca="false">AJ138*(1+IF(K138=3,INDEX(in_sup_vat_rate,1,C138),0))+AO138*Z138/AB138+AW138*BA138+(BC138+BD138)*AW138/AY138+AZ138*AJ138/AL138+BN138*AD138/AF138+BO138*Z138/AB138</f>
        <v>0</v>
      </c>
      <c r="BR138" s="88" t="n">
        <f aca="false">AK138*(1+IF(K138=3,INDEX(in_sup_vat_rate,1,C138),0))+AO138*AA138/AB138+AX138*BA138+(BC138+BD138)*AX138/AY138+AZ138*AK138/AL138+BN138*AE138/AF138+BO138*AA138/AB138</f>
        <v>31347.4629723552</v>
      </c>
      <c r="BS138" s="89" t="n">
        <f aca="false">BP138+BQ138+BR138-BM138</f>
        <v>0</v>
      </c>
      <c r="BT138" s="85" t="n">
        <f aca="false">Y138*(1-R138)</f>
        <v>0</v>
      </c>
      <c r="BU138" s="85" t="n">
        <f aca="false">Z138*(1-R138)</f>
        <v>0</v>
      </c>
      <c r="BV138" s="85" t="n">
        <f aca="false">AA138*(1-R138)</f>
        <v>84672</v>
      </c>
      <c r="BW138" s="85" t="n">
        <f aca="false">BT138+BU138+BV138</f>
        <v>84672</v>
      </c>
      <c r="BX138" s="90" t="n">
        <f aca="false">IF(BT138&gt;0,BP138/BT138,0)</f>
        <v>0</v>
      </c>
      <c r="BY138" s="90" t="n">
        <f aca="false">IF(BU138&gt;0,BQ138/BU138,0)</f>
        <v>0</v>
      </c>
      <c r="BZ138" s="90" t="n">
        <f aca="false">IF(BV138&gt;0,BR138/BV138,0)</f>
        <v>0.370222304567687</v>
      </c>
      <c r="CA138" s="90" t="n">
        <f aca="false">INDEX(in_mkt_listing_3464,1,C138)*(1-IF(sku_flute_3464="B",T138,0))*(1-S138)*N138</f>
        <v>0.1995</v>
      </c>
      <c r="CB138" s="90" t="n">
        <f aca="false">INDEX(in_mkt_listing_3463,1,C138)*(1-IF(sku_flute_3463="B",T138,0))*(1-S138)*N138</f>
        <v>0.23625</v>
      </c>
      <c r="CC138" s="90" t="n">
        <f aca="false">INDEX(in_mkt_listing_3460,1,C138)*(1-IF(sku_flute_3460="B",T138,0))*(1-S138)*N138</f>
        <v>0.21</v>
      </c>
      <c r="CD138" s="88" t="n">
        <f aca="false">BT138*CA138+BU138*CB138+BV138*CC138</f>
        <v>17781.12</v>
      </c>
      <c r="CE138" s="88" t="n">
        <f aca="false">CD138-BM138</f>
        <v>-13566.3429723552</v>
      </c>
      <c r="CF138" s="87" t="n">
        <f aca="false">IF(CD138&gt;0,CE138/CD138,0)</f>
        <v>-0.762963355084222</v>
      </c>
      <c r="CG138" s="87" t="n">
        <f aca="false">W138+INDEX(in_sel_processing,1,C138)+INDEX(in_sel_bad_debt,1,C138)</f>
        <v>0.095</v>
      </c>
      <c r="CH138" s="88" t="n">
        <f aca="false">CD138*CG138</f>
        <v>1689.2064</v>
      </c>
      <c r="CI138" s="88" t="n">
        <f aca="false">INDEX(in_sel_testing,1,C138)*X138+INDEX(in_sel_admin,1,C138)</f>
        <v>4750</v>
      </c>
      <c r="CJ138" s="79" t="n">
        <f aca="false">INDEX(in_sup_lead_days,1,C138)</f>
        <v>35</v>
      </c>
      <c r="CK138" s="79" t="n">
        <f aca="false">CJ138+INDEX(in_oce_transit,1,C138)+IF(F138=4,INDEX(in_oce_lcl_extra_days,1,C138),0)</f>
        <v>73</v>
      </c>
      <c r="CL138" s="79" t="n">
        <f aca="false">CK138+2+INDEX(in_cus_dem_days,1,C138)</f>
        <v>78</v>
      </c>
      <c r="CM138" s="79" t="n">
        <f aca="false">CL138+U138</f>
        <v>138</v>
      </c>
      <c r="CN138" s="79" t="n">
        <f aca="false">CJ138+INDEX(in_sup_vat_lag,1,C138)</f>
        <v>215</v>
      </c>
      <c r="CO138" s="91" t="n">
        <f aca="false">INDEX(in_sup_advance,1,C138)</f>
        <v>0.5</v>
      </c>
      <c r="CP138" s="88" t="n">
        <f aca="false">CO138*(AL138+AM138)+AO138+INDEX(in_sel_testing,1,C138)*X138</f>
        <v>12423.9026209469</v>
      </c>
      <c r="CQ138" s="88" t="n">
        <f aca="false">(1-CO138)*(AL138+AM138)+AR138+AU138+AZ138</f>
        <v>15201.2163058117</v>
      </c>
      <c r="CR138" s="88" t="n">
        <f aca="false">BB138+BC138+BD138+BF138+BJ138</f>
        <v>4222.34404559663</v>
      </c>
      <c r="CS138" s="88" t="n">
        <f aca="false">BK138+BL138</f>
        <v>3500</v>
      </c>
      <c r="CT138" s="88" t="n">
        <f aca="false">IF(K138=2,AM138,0)</f>
        <v>0</v>
      </c>
      <c r="CU138" s="85" t="n">
        <f aca="false">IF(K138=2,CO138*AM138*(CN138-0)+(1-CO138)*AM138*(CN138-CJ138),0)</f>
        <v>0</v>
      </c>
      <c r="CV138" s="85" t="n">
        <f aca="false">(CP138-CO138*CT138)*(CM138-0)+(CQ138-(1-CO138)*CT138)*(CM138-CJ138)+CR138*(CM138-CK138)+CS138*(CM138-CL138)</f>
        <v>3764676.20415305</v>
      </c>
      <c r="CW138" s="88" t="n">
        <f aca="false">INDEX(in_sel_fin_rate,1,C138)/365*(CU138+CV138)</f>
        <v>1443.98539337377</v>
      </c>
      <c r="CX138" s="85" t="n">
        <f aca="false">CP138-IF(CN138&lt;=0,CT138,0)</f>
        <v>12423.9026209469</v>
      </c>
      <c r="CY138" s="85" t="n">
        <f aca="false">CP138+CQ138-IF(CN138&lt;=CJ138,CT138,0)</f>
        <v>27625.1189267585</v>
      </c>
      <c r="CZ138" s="85" t="n">
        <f aca="false">CP138+CQ138+CR138-IF(CN138&lt;=CK138,CT138,0)</f>
        <v>31847.4629723552</v>
      </c>
      <c r="DA138" s="85" t="n">
        <f aca="false">CP138+CQ138+CR138+CS138-IF(CN138&lt;=CL138,CT138,0)</f>
        <v>35347.4629723552</v>
      </c>
      <c r="DB138" s="88" t="n">
        <f aca="false">MAX(CX138,CY138,CZ138,DA138)</f>
        <v>35347.4629723552</v>
      </c>
      <c r="DC138" s="88" t="n">
        <f aca="false">CP138+CQ138+CR138+CS138</f>
        <v>35347.4629723552</v>
      </c>
      <c r="DD138" s="88" t="n">
        <f aca="false">CE138-CH138-CI138-CW138</f>
        <v>-21449.5347657289</v>
      </c>
      <c r="DE138" s="87" t="n">
        <f aca="false">IF(CD138&gt;0,DD138/CD138,0)</f>
        <v>-1.20630954437791</v>
      </c>
      <c r="DF138" s="86" t="n">
        <f aca="false">IF(CD138&gt;0,(BM138+CI138+CW138)/(CD138*(1-CG138)),0)</f>
        <v>2.33293872306951</v>
      </c>
      <c r="DG138" s="90" t="n">
        <f aca="false">IF(BW138&gt;0,BM138/BW138,0)</f>
        <v>0.370222304567687</v>
      </c>
      <c r="DH138" s="90" t="n">
        <f aca="false">IF(BW138&gt;0,CD138/BW138,0)</f>
        <v>0.21</v>
      </c>
      <c r="DI138" s="90" t="n">
        <f aca="false">IF(AI138&gt;0,(AI138*IF(K138=3,INDEX(in_sup_vat_rate,1,C138),0)+AV138*BA138+(BC138+BD138)*AV138/AY138+AZ138*AI138/AL138)/AI138,0)</f>
        <v>0</v>
      </c>
      <c r="DJ138" s="90" t="n">
        <f aca="false">IF(AJ138&gt;0,(AJ138*IF(K138=3,INDEX(in_sup_vat_rate,1,C138),0)+AW138*BA138+(BC138+BD138)*AW138/AY138+AZ138*AJ138/AL138)/AJ138,0)</f>
        <v>0</v>
      </c>
      <c r="DK138" s="90" t="n">
        <f aca="false">IF(AK138&gt;0,(AK138*IF(K138=3,INDEX(in_sup_vat_rate,1,C138),0)+AX138*BA138+(BC138+BD138)*AX138/AY138+AZ138*AK138/AL138)/AK138,0)</f>
        <v>0.299927876867582</v>
      </c>
      <c r="DL138" s="90" t="n">
        <f aca="false">IF(Y138&gt;0,(BP138-AI138*(1+DI138))/Y138,0)</f>
        <v>0</v>
      </c>
      <c r="DM138" s="90" t="n">
        <f aca="false">IF(Z138&gt;0,(BQ138-AJ138*(1+DJ138))/Z138,0)</f>
        <v>0</v>
      </c>
      <c r="DN138" s="90" t="n">
        <f aca="false">IF(AA138&gt;0,(BR138-AK138*(1+DK138))/AA138,0)</f>
        <v>0.15099089947863</v>
      </c>
      <c r="DO138" s="86" t="str">
        <f aca="false">IF(Y138&gt;0,(CA138*(1-thr_gm_go)*(1-R138)-DL138)/(1+DI138)*I138/((1+AH138)*J138),"")</f>
        <v/>
      </c>
      <c r="DP138" s="86" t="str">
        <f aca="false">IF(Z138&gt;0,(CB138*(1-thr_gm_go)*(1-R138)-DM138)/(1+DJ138)*I138/((1+AH138)*J138),"")</f>
        <v/>
      </c>
      <c r="DQ138" s="86" t="n">
        <f aca="false">IF(AA138&gt;0,(CC138*(1-thr_gm_go)*(1-R138)-DN138)/(1+DK138)*I138/((1+AH138)*J138),"")</f>
        <v>0.00705789972416044</v>
      </c>
      <c r="DR138" s="92" t="n">
        <f aca="false">IF(AND(AY138*INDEX(in_cus_mpf_rate,1,C138)&gt;INDEX(in_cus_mpf_min,1,C138),AY138*INDEX(in_cus_mpf_rate,1,C138)&lt;INDEX(in_cus_mpf_max,1,C138)),INDEX(in_cus_mpf_rate,1,C138),0)</f>
        <v>0.003464</v>
      </c>
      <c r="DS138" s="88" t="n">
        <f aca="false">IF(AZ138&gt;INDEX(in_oce_ins_min,1,C138),INDEX(in_oce_ins_rate,1,C138)*(1+INDEX(in_oce_ins_uplift,1,C138))*AL138,0)</f>
        <v>0</v>
      </c>
      <c r="DT138" s="88" t="n">
        <f aca="false">(AL138+AN138)*(1+BA138+INDEX(in_cus_hmf,1,C138)+DR138)+DS138</f>
        <v>17862.8771995127</v>
      </c>
      <c r="DU138" s="86" t="n">
        <f aca="false">IF(DT138&gt;0,(CD138*(1-thr_gm_go)-(BM138-DT138))/DT138,0)</f>
        <v>-0.00832708925785622</v>
      </c>
      <c r="DV138" s="86" t="n">
        <f aca="false">IF(DT138&gt;0,(CD138-(BM138-DT138))/DT138,0)</f>
        <v>0.240528677388811</v>
      </c>
      <c r="DW138" s="87" t="n">
        <f aca="false">(1+AH138)*J138*DU138-1</f>
        <v>-1.00915979818364</v>
      </c>
      <c r="DX138" s="87" t="n">
        <f aca="false">(1+AH138)*J138*DV138-1</f>
        <v>-0.735418454872308</v>
      </c>
      <c r="DY138" s="85" t="n">
        <f aca="false">IF(G138&gt;0,(CD138*(1-thr_gm_go)-(BM138-AT138))/G138,"")</f>
        <v>-12911.6229723552</v>
      </c>
      <c r="DZ138" s="90" t="n">
        <f aca="false">IF(AB138&gt;0,(AL138+AN138+BB138+BC138+BD138)/AB138,0)</f>
        <v>0.203288726058277</v>
      </c>
      <c r="EA138" s="88" t="n">
        <f aca="false">BM138-DZ138*AB138</f>
        <v>13417.3973340152</v>
      </c>
      <c r="EB138" s="90" t="n">
        <f aca="false">IF(AB138&gt;0,CD138/AB138,0)</f>
        <v>0.2016</v>
      </c>
      <c r="EC138" s="85" t="str">
        <f aca="false">IF(EB138*(1-thr_gm_go)-DZ138&gt;0,EA138/(EB138*(1-thr_gm_go)-DZ138),"n/a")</f>
        <v>n/a</v>
      </c>
      <c r="ED138" s="85" t="str">
        <f aca="false">IF(EB138-DZ138&gt;0,EA138/(EB138-DZ138),"n/a")</f>
        <v>n/a</v>
      </c>
      <c r="EE138" s="93" t="b">
        <f aca="false">INDEX(cfg_fits,D138,C138)</f>
        <v>1</v>
      </c>
      <c r="EF138" s="87" t="n">
        <f aca="false">IF(F138=4,"",INDEX(cfg_lenutil,D138,C138))</f>
        <v>0.985750209555742</v>
      </c>
      <c r="EG138" s="31" t="str">
        <f aca="false">IF(O138&gt;1,"Check fit (units scaled up)","")</f>
        <v/>
      </c>
    </row>
    <row r="139" customFormat="false" ht="15" hidden="false" customHeight="false" outlineLevel="0" collapsed="false">
      <c r="A139" s="78" t="n">
        <v>3075</v>
      </c>
      <c r="B139" s="9" t="s">
        <v>3287</v>
      </c>
      <c r="C139" s="78" t="n">
        <v>3</v>
      </c>
      <c r="D139" s="78" t="n">
        <v>7</v>
      </c>
      <c r="E139" s="78" t="n">
        <v>5</v>
      </c>
      <c r="F139" s="79" t="n">
        <f aca="false">INDEX(cfg_ct,D139)</f>
        <v>3</v>
      </c>
      <c r="G139" s="79" t="n">
        <f aca="false">INDEX(cfg_n,D139)</f>
        <v>1</v>
      </c>
      <c r="H139" s="79" t="n">
        <f aca="false">INDEX(dest_port,E139)</f>
        <v>4</v>
      </c>
      <c r="I139" s="80" t="n">
        <f aca="false">INDEX(in_fx_cbe,1,C139)*(1-INDEX(in_fx_spread,1,C139))</f>
        <v>48.265</v>
      </c>
      <c r="J139" s="81" t="n">
        <f aca="false">1</f>
        <v>1</v>
      </c>
      <c r="K139" s="82" t="n">
        <f aca="false">INDEX(in_sup_vat_mode,1,C139)</f>
        <v>3</v>
      </c>
      <c r="L139" s="83" t="n">
        <f aca="false">INDEX(in_cus_s301,1,C139)</f>
        <v>0.125</v>
      </c>
      <c r="M139" s="84" t="n">
        <f aca="false">1</f>
        <v>1</v>
      </c>
      <c r="N139" s="81" t="n">
        <f aca="false">1</f>
        <v>1</v>
      </c>
      <c r="O139" s="81" t="n">
        <f aca="false">1</f>
        <v>1</v>
      </c>
      <c r="P139" s="81" t="n">
        <f aca="false">1</f>
        <v>1</v>
      </c>
      <c r="Q139" s="81" t="n">
        <f aca="false">1</f>
        <v>1</v>
      </c>
      <c r="R139" s="83" t="n">
        <f aca="false">INDEX(in_sel_damage,1,C139)</f>
        <v>0.04</v>
      </c>
      <c r="S139" s="83" t="n">
        <f aca="false">INDEX(in_mkt_dist_margin,1,C139)</f>
        <v>0.3</v>
      </c>
      <c r="T139" s="83" t="n">
        <f aca="false">INDEX(in_mkt_eflute_disc,1,C139)</f>
        <v>0.25</v>
      </c>
      <c r="U139" s="82" t="n">
        <f aca="false">INDEX(in_sel_credit_days,1,C139)</f>
        <v>60</v>
      </c>
      <c r="V139" s="81" t="n">
        <f aca="false">1</f>
        <v>1</v>
      </c>
      <c r="W139" s="83" t="n">
        <f aca="false">INDEX(in_sel_commission,1,C139)</f>
        <v>0.07</v>
      </c>
      <c r="X139" s="82" t="n">
        <f aca="false">1</f>
        <v>1</v>
      </c>
      <c r="Y139" s="85" t="n">
        <f aca="false">INDEX(cfg_u_3464,D139,C139)*O139</f>
        <v>0</v>
      </c>
      <c r="Z139" s="85" t="n">
        <f aca="false">INDEX(cfg_u_3463,D139,C139)*O139</f>
        <v>0</v>
      </c>
      <c r="AA139" s="85" t="n">
        <f aca="false">INDEX(cfg_u_3460,D139,C139)*O139</f>
        <v>88200</v>
      </c>
      <c r="AB139" s="85" t="n">
        <f aca="false">Y139+Z139+AA139</f>
        <v>88200</v>
      </c>
      <c r="AC139" s="86" t="n">
        <f aca="false">Y139*INDEX(lg_vpu_3464,C139)</f>
        <v>0</v>
      </c>
      <c r="AD139" s="86" t="n">
        <f aca="false">Z139*INDEX(lg_vpu_3463,C139)</f>
        <v>0</v>
      </c>
      <c r="AE139" s="86" t="n">
        <f aca="false">AA139*INDEX(lg_vpu_3460,C139)</f>
        <v>56.4106032</v>
      </c>
      <c r="AF139" s="86" t="n">
        <f aca="false">AC139+AD139+AE139</f>
        <v>56.4106032</v>
      </c>
      <c r="AG139" s="85" t="n">
        <f aca="false">Y139*INDEX(lg_kpu_3464,C139)+Z139*INDEX(lg_kpu_3463,C139)+AA139*INDEX(lg_kpu_3460,C139)</f>
        <v>13770.8113536</v>
      </c>
      <c r="AH139" s="87" t="n">
        <f aca="false">INDEX(in_sup_requote,1,C139)</f>
        <v>0.1</v>
      </c>
      <c r="AI139" s="88" t="n">
        <f aca="false">Y139*q_price_3464*(1+AH139)*J139/I139</f>
        <v>0</v>
      </c>
      <c r="AJ139" s="88" t="n">
        <f aca="false">Z139*q_price_3463*(1+AH139)*J139/I139</f>
        <v>0</v>
      </c>
      <c r="AK139" s="88" t="n">
        <f aca="false">AA139*q_price_3460*(1+AH139)*J139/I139</f>
        <v>13870.0507614213</v>
      </c>
      <c r="AL139" s="88" t="n">
        <f aca="false">AI139+AJ139+AK139</f>
        <v>13870.0507614213</v>
      </c>
      <c r="AM139" s="88" t="n">
        <f aca="false">IF(OR(K139=2,K139=3),AL139*INDEX(in_sup_vat_rate,1,C139),0)</f>
        <v>1941.80710659899</v>
      </c>
      <c r="AN139" s="88" t="n">
        <f aca="false">IF(K139=3,AM139,0)</f>
        <v>1941.80710659899</v>
      </c>
      <c r="AO139" s="88" t="n">
        <f aca="false">INDEX(in_sup_tooling_egp,1,C139)/I139</f>
        <v>517.973686936704</v>
      </c>
      <c r="AP139" s="88" t="n">
        <f aca="false">IF(F139=4,INDEX(in_ori_lcl_truck,1,C139)*V139/I139+INDEX(in_ori_lcl_cfs_o,1,C139),G139*(IF(F139=1,INDEX(in_ori_truck_20,1,C139),INDEX(in_ori_truck_40,1,C139))*V139/I139+INDEX(in_ori_terminal,1,C139)+IF(F139=1,INDEX(in_ori_othc_20,1,C139),INDEX(in_ori_othc_40,1,C139))*(1-INDEX(in_ori_othc_in_freight,1,C139))+INDEX(in_ori_seal,1,C139)+INDEX(in_ori_inspection,1,C139)+INDEX(in_ori_dd_days,1,C139)*IF(F139=1,INDEX(in_ori_dd_20,1,C139),INDEX(in_ori_dd_40,1,C139))+INDEX(in_ori_loading_egp,1,C139)/I139))</f>
        <v>882.378949549363</v>
      </c>
      <c r="AQ139" s="88" t="n">
        <f aca="false">(INDEX(in_ori_clearance,1,C139)+INDEX(in_ori_coo,1,C139))/I139+INDEX(in_ori_bl_fee,1,C139)+INDEX(in_ori_fwd_fee,1,C139)+INDEX(in_ori_qc,1,C139)+INDEX(in_ori_wires,1,C139)*INDEX(in_ori_wire_fee,1,C139)</f>
        <v>1167.90842225215</v>
      </c>
      <c r="AR139" s="88" t="n">
        <f aca="false">AP139+AQ139</f>
        <v>2050.28737180151</v>
      </c>
      <c r="AS139" s="85" t="n">
        <f aca="false">INDEX(tbl_port_diff,H139,C139)</f>
        <v>200</v>
      </c>
      <c r="AT139" s="88" t="n">
        <f aca="false">IF(F139=4,MAX(AF139*INDEX(in_oce_lcl_factor,1,C139),AG139/1000,1)*INDEX(in_oce_lcl_rate,1,C139)*M139,G139*(INDEX(tbl_ocean_rate,MIN(F139,3),C139)+AS139)*M139)</f>
        <v>5200</v>
      </c>
      <c r="AU139" s="88" t="n">
        <f aca="false">AT139+INDEX(in_oce_ams,1,C139)</f>
        <v>5245</v>
      </c>
      <c r="AV139" s="88" t="n">
        <f aca="false">AI139*(1+IF(K139=3,INDEX(in_sup_vat_rate,1,C139),0))+AO139*Y139/AB139</f>
        <v>0</v>
      </c>
      <c r="AW139" s="88" t="n">
        <f aca="false">AJ139*(1+IF(K139=3,INDEX(in_sup_vat_rate,1,C139),0))+AO139*Z139/AB139</f>
        <v>0</v>
      </c>
      <c r="AX139" s="88" t="n">
        <f aca="false">AK139*(1+IF(K139=3,INDEX(in_sup_vat_rate,1,C139),0))+AO139*AA139/AB139</f>
        <v>16329.831554957</v>
      </c>
      <c r="AY139" s="88" t="n">
        <f aca="false">AV139+AW139+AX139</f>
        <v>16329.831554957</v>
      </c>
      <c r="AZ139" s="88" t="n">
        <f aca="false">MAX(INDEX(in_oce_ins_min,1,C139),INDEX(in_oce_ins_rate,1,C139)*(1+INDEX(in_oce_ins_uplift,1,C139))*(AL139+AO139+AR139+AU139))*(1-INDEX(in_oce_ins_in_other,1,C139))</f>
        <v>100</v>
      </c>
      <c r="BA139" s="87" t="n">
        <f aca="false">INDEX(in_cus_mfn,1,C139)+L139</f>
        <v>0.125</v>
      </c>
      <c r="BB139" s="88" t="n">
        <f aca="false">AY139*BA139</f>
        <v>2041.22894436963</v>
      </c>
      <c r="BC139" s="88" t="n">
        <f aca="false">MIN(MAX(AY139*INDEX(in_cus_mpf_rate,1,C139),INDEX(in_cus_mpf_min,1,C139)),INDEX(in_cus_mpf_max,1,C139))</f>
        <v>56.5665365063711</v>
      </c>
      <c r="BD139" s="88" t="n">
        <f aca="false">AY139*INDEX(in_cus_hmf,1,C139)</f>
        <v>20.4122894436963</v>
      </c>
      <c r="BE139" s="88" t="n">
        <f aca="false">MAX(INDEX(in_cus_stb_min,1,C139),INDEX(in_cus_stb_rate,1,C139)/1000*(AY139+BB139+BC139+BD139))</f>
        <v>129.136275276937</v>
      </c>
      <c r="BF139" s="88" t="n">
        <f aca="false">INDEX(in_cus_broker,1,C139)+INDEX(in_cus_isf,1,C139)+INDEX(in_cus_do_fee,1,C139)+BE139+INDEX(in_cus_isf_bond,1,C139)</f>
        <v>754.136275276937</v>
      </c>
      <c r="BG139" s="88" t="n">
        <f aca="false">IF(H139=1,INDEX(in_cus_cfc,1,C139)*INDEX(ct_teu,F139)*G139*(1-INDEX(in_cus_cfc_in_freight,1,C139)),0)</f>
        <v>0</v>
      </c>
      <c r="BH139" s="88" t="n">
        <f aca="false">IF(F139=4,1,G139)*(INDEX(in_cus_exam,1,C139)+INDEX(in_cus_exam_dray,1,C139))</f>
        <v>600</v>
      </c>
      <c r="BI139" s="88" t="n">
        <f aca="false">IF(F139=4,1,G139)*INDEX(in_cus_dem_days,1,C139)*INDEX(in_cus_dem_rate,1,C139)</f>
        <v>750</v>
      </c>
      <c r="BJ139" s="88" t="n">
        <f aca="false">BG139+BH139+BI139</f>
        <v>1350</v>
      </c>
      <c r="BK139" s="88" t="n">
        <f aca="false">IF(F139=4,(INDEX(in_dra_lcl_cfs_d,1,C139)+INDEX(in_dra_lcl_deliv,1,C139))*P139,G139*(INDEX(tbl_dest_line,E139,C139)*P139*(1+INDEX(in_dra_fsc,1,C139))+INDEX(tbl_dest_tolls,E139,C139)+INDEX(in_dra_chassis_days,1,C139)*INDEX(tbl_dest_chassis,E139,C139)*(1-INDEX(in_dra_chassis_in_dray,1,C139))+INDEX(in_dra_wait_hours,1,C139)*INDEX(in_dra_wait_rate,1,C139)+INDEX(in_dra_split,1,C139)+INDEX(in_dra_prepull,1,C139)+INDEX(in_dra_dryrun,1,C139)))</f>
        <v>3465</v>
      </c>
      <c r="BL139" s="88" t="n">
        <f aca="false">IF(F139=4,0,G139*IF(F139=1,INDEX(in_dra_unload_20,1,C139),INDEX(in_dra_unload_40,1,C139))*Q139*(1-INDEX(in_dra_unload_in_dray,1,C139)))</f>
        <v>650</v>
      </c>
      <c r="BM139" s="88" t="n">
        <f aca="false">AL139+AN139+AO139+AR139+AU139+AZ139+BB139+BC139+BD139+BF139+BJ139+BK139+BL139</f>
        <v>32062.4629723552</v>
      </c>
      <c r="BN139" s="88" t="n">
        <f aca="false">AP139+AU139+BJ139+BK139+BL139</f>
        <v>11592.3789495494</v>
      </c>
      <c r="BO139" s="88" t="n">
        <f aca="false">AQ139+BF139</f>
        <v>1922.04469752909</v>
      </c>
      <c r="BP139" s="88" t="n">
        <f aca="false">AI139*(1+IF(K139=3,INDEX(in_sup_vat_rate,1,C139),0))+AO139*Y139/AB139+AV139*BA139+(BC139+BD139)*AV139/AY139+AZ139*AI139/AL139+BN139*AC139/AF139+BO139*Y139/AB139</f>
        <v>0</v>
      </c>
      <c r="BQ139" s="88" t="n">
        <f aca="false">AJ139*(1+IF(K139=3,INDEX(in_sup_vat_rate,1,C139),0))+AO139*Z139/AB139+AW139*BA139+(BC139+BD139)*AW139/AY139+AZ139*AJ139/AL139+BN139*AD139/AF139+BO139*Z139/AB139</f>
        <v>0</v>
      </c>
      <c r="BR139" s="88" t="n">
        <f aca="false">AK139*(1+IF(K139=3,INDEX(in_sup_vat_rate,1,C139),0))+AO139*AA139/AB139+AX139*BA139+(BC139+BD139)*AX139/AY139+AZ139*AK139/AL139+BN139*AE139/AF139+BO139*AA139/AB139</f>
        <v>32062.4629723552</v>
      </c>
      <c r="BS139" s="89" t="n">
        <f aca="false">BP139+BQ139+BR139-BM139</f>
        <v>0</v>
      </c>
      <c r="BT139" s="85" t="n">
        <f aca="false">Y139*(1-R139)</f>
        <v>0</v>
      </c>
      <c r="BU139" s="85" t="n">
        <f aca="false">Z139*(1-R139)</f>
        <v>0</v>
      </c>
      <c r="BV139" s="85" t="n">
        <f aca="false">AA139*(1-R139)</f>
        <v>84672</v>
      </c>
      <c r="BW139" s="85" t="n">
        <f aca="false">BT139+BU139+BV139</f>
        <v>84672</v>
      </c>
      <c r="BX139" s="90" t="n">
        <f aca="false">IF(BT139&gt;0,BP139/BT139,0)</f>
        <v>0</v>
      </c>
      <c r="BY139" s="90" t="n">
        <f aca="false">IF(BU139&gt;0,BQ139/BU139,0)</f>
        <v>0</v>
      </c>
      <c r="BZ139" s="90" t="n">
        <f aca="false">IF(BV139&gt;0,BR139/BV139,0)</f>
        <v>0.378666654529894</v>
      </c>
      <c r="CA139" s="90" t="n">
        <f aca="false">INDEX(in_mkt_listing_3464,1,C139)*(1-IF(sku_flute_3464="B",T139,0))*(1-S139)*N139</f>
        <v>0.1995</v>
      </c>
      <c r="CB139" s="90" t="n">
        <f aca="false">INDEX(in_mkt_listing_3463,1,C139)*(1-IF(sku_flute_3463="B",T139,0))*(1-S139)*N139</f>
        <v>0.23625</v>
      </c>
      <c r="CC139" s="90" t="n">
        <f aca="false">INDEX(in_mkt_listing_3460,1,C139)*(1-IF(sku_flute_3460="B",T139,0))*(1-S139)*N139</f>
        <v>0.21</v>
      </c>
      <c r="CD139" s="88" t="n">
        <f aca="false">BT139*CA139+BU139*CB139+BV139*CC139</f>
        <v>17781.12</v>
      </c>
      <c r="CE139" s="88" t="n">
        <f aca="false">CD139-BM139</f>
        <v>-14281.3429723552</v>
      </c>
      <c r="CF139" s="87" t="n">
        <f aca="false">IF(CD139&gt;0,CE139/CD139,0)</f>
        <v>-0.803174545380446</v>
      </c>
      <c r="CG139" s="87" t="n">
        <f aca="false">W139+INDEX(in_sel_processing,1,C139)+INDEX(in_sel_bad_debt,1,C139)</f>
        <v>0.095</v>
      </c>
      <c r="CH139" s="88" t="n">
        <f aca="false">CD139*CG139</f>
        <v>1689.2064</v>
      </c>
      <c r="CI139" s="88" t="n">
        <f aca="false">INDEX(in_sel_testing,1,C139)*X139+INDEX(in_sel_admin,1,C139)</f>
        <v>4750</v>
      </c>
      <c r="CJ139" s="79" t="n">
        <f aca="false">INDEX(in_sup_lead_days,1,C139)</f>
        <v>35</v>
      </c>
      <c r="CK139" s="79" t="n">
        <f aca="false">CJ139+INDEX(in_oce_transit,1,C139)+IF(F139=4,INDEX(in_oce_lcl_extra_days,1,C139),0)</f>
        <v>73</v>
      </c>
      <c r="CL139" s="79" t="n">
        <f aca="false">CK139+2+INDEX(in_cus_dem_days,1,C139)</f>
        <v>78</v>
      </c>
      <c r="CM139" s="79" t="n">
        <f aca="false">CL139+U139</f>
        <v>138</v>
      </c>
      <c r="CN139" s="79" t="n">
        <f aca="false">CJ139+INDEX(in_sup_vat_lag,1,C139)</f>
        <v>215</v>
      </c>
      <c r="CO139" s="91" t="n">
        <f aca="false">INDEX(in_sup_advance,1,C139)</f>
        <v>0.5</v>
      </c>
      <c r="CP139" s="88" t="n">
        <f aca="false">CO139*(AL139+AM139)+AO139+INDEX(in_sel_testing,1,C139)*X139</f>
        <v>12423.9026209469</v>
      </c>
      <c r="CQ139" s="88" t="n">
        <f aca="false">(1-CO139)*(AL139+AM139)+AR139+AU139+AZ139</f>
        <v>15301.2163058117</v>
      </c>
      <c r="CR139" s="88" t="n">
        <f aca="false">BB139+BC139+BD139+BF139+BJ139</f>
        <v>4222.34404559663</v>
      </c>
      <c r="CS139" s="88" t="n">
        <f aca="false">BK139+BL139</f>
        <v>4115</v>
      </c>
      <c r="CT139" s="88" t="n">
        <f aca="false">IF(K139=2,AM139,0)</f>
        <v>0</v>
      </c>
      <c r="CU139" s="85" t="n">
        <f aca="false">IF(K139=2,CO139*AM139*(CN139-0)+(1-CO139)*AM139*(CN139-CJ139),0)</f>
        <v>0</v>
      </c>
      <c r="CV139" s="85" t="n">
        <f aca="false">(CP139-CO139*CT139)*(CM139-0)+(CQ139-(1-CO139)*CT139)*(CM139-CJ139)+CR139*(CM139-CK139)+CS139*(CM139-CL139)</f>
        <v>3811876.20415305</v>
      </c>
      <c r="CW139" s="88" t="n">
        <f aca="false">INDEX(in_sel_fin_rate,1,C139)/365*(CU139+CV139)</f>
        <v>1462.08950296281</v>
      </c>
      <c r="CX139" s="85" t="n">
        <f aca="false">CP139-IF(CN139&lt;=0,CT139,0)</f>
        <v>12423.9026209469</v>
      </c>
      <c r="CY139" s="85" t="n">
        <f aca="false">CP139+CQ139-IF(CN139&lt;=CJ139,CT139,0)</f>
        <v>27725.1189267585</v>
      </c>
      <c r="CZ139" s="85" t="n">
        <f aca="false">CP139+CQ139+CR139-IF(CN139&lt;=CK139,CT139,0)</f>
        <v>31947.4629723552</v>
      </c>
      <c r="DA139" s="85" t="n">
        <f aca="false">CP139+CQ139+CR139+CS139-IF(CN139&lt;=CL139,CT139,0)</f>
        <v>36062.4629723552</v>
      </c>
      <c r="DB139" s="88" t="n">
        <f aca="false">MAX(CX139,CY139,CZ139,DA139)</f>
        <v>36062.4629723552</v>
      </c>
      <c r="DC139" s="88" t="n">
        <f aca="false">CP139+CQ139+CR139+CS139</f>
        <v>36062.4629723552</v>
      </c>
      <c r="DD139" s="88" t="n">
        <f aca="false">CE139-CH139-CI139-CW139</f>
        <v>-22182.638875318</v>
      </c>
      <c r="DE139" s="87" t="n">
        <f aca="false">IF(CD139&gt;0,DD139/CD139,0)</f>
        <v>-1.24753889942354</v>
      </c>
      <c r="DF139" s="86" t="n">
        <f aca="false">IF(CD139&gt;0,(BM139+CI139+CW139)/(CD139*(1-CG139)),0)</f>
        <v>2.37849602146248</v>
      </c>
      <c r="DG139" s="90" t="n">
        <f aca="false">IF(BW139&gt;0,BM139/BW139,0)</f>
        <v>0.378666654529894</v>
      </c>
      <c r="DH139" s="90" t="n">
        <f aca="false">IF(BW139&gt;0,CD139/BW139,0)</f>
        <v>0.21</v>
      </c>
      <c r="DI139" s="90" t="n">
        <f aca="false">IF(AI139&gt;0,(AI139*IF(K139=3,INDEX(in_sup_vat_rate,1,C139),0)+AV139*BA139+(BC139+BD139)*AV139/AY139+AZ139*AI139/AL139)/AI139,0)</f>
        <v>0</v>
      </c>
      <c r="DJ139" s="90" t="n">
        <f aca="false">IF(AJ139&gt;0,(AJ139*IF(K139=3,INDEX(in_sup_vat_rate,1,C139),0)+AW139*BA139+(BC139+BD139)*AW139/AY139+AZ139*AJ139/AL139)/AJ139,0)</f>
        <v>0</v>
      </c>
      <c r="DK139" s="90" t="n">
        <f aca="false">IF(AK139&gt;0,(AK139*IF(K139=3,INDEX(in_sup_vat_rate,1,C139),0)+AX139*BA139+(BC139+BD139)*AX139/AY139+AZ139*AK139/AL139)/AK139,0)</f>
        <v>0.299927876867582</v>
      </c>
      <c r="DL139" s="90" t="n">
        <f aca="false">IF(Y139&gt;0,(BP139-AI139*(1+DI139))/Y139,0)</f>
        <v>0</v>
      </c>
      <c r="DM139" s="90" t="n">
        <f aca="false">IF(Z139&gt;0,(BQ139-AJ139*(1+DJ139))/Z139,0)</f>
        <v>0</v>
      </c>
      <c r="DN139" s="90" t="n">
        <f aca="false">IF(AA139&gt;0,(BR139-AK139*(1+DK139))/AA139,0)</f>
        <v>0.159097475442349</v>
      </c>
      <c r="DO139" s="86" t="str">
        <f aca="false">IF(Y139&gt;0,(CA139*(1-thr_gm_go)*(1-R139)-DL139)/(1+DI139)*I139/((1+AH139)*J139),"")</f>
        <v/>
      </c>
      <c r="DP139" s="86" t="str">
        <f aca="false">IF(Z139&gt;0,(CB139*(1-thr_gm_go)*(1-R139)-DM139)/(1+DJ139)*I139/((1+AH139)*J139),"")</f>
        <v/>
      </c>
      <c r="DQ139" s="86" t="n">
        <f aca="false">IF(AA139&gt;0,(CC139*(1-thr_gm_go)*(1-R139)-DN139)/(1+DK139)*I139/((1+AH139)*J139),"")</f>
        <v>-0.266568391991007</v>
      </c>
      <c r="DR139" s="92" t="n">
        <f aca="false">IF(AND(AY139*INDEX(in_cus_mpf_rate,1,C139)&gt;INDEX(in_cus_mpf_min,1,C139),AY139*INDEX(in_cus_mpf_rate,1,C139)&lt;INDEX(in_cus_mpf_max,1,C139)),INDEX(in_cus_mpf_rate,1,C139),0)</f>
        <v>0.003464</v>
      </c>
      <c r="DS139" s="88" t="n">
        <f aca="false">IF(AZ139&gt;INDEX(in_oce_ins_min,1,C139),INDEX(in_oce_ins_rate,1,C139)*(1+INDEX(in_oce_ins_uplift,1,C139))*AL139,0)</f>
        <v>0</v>
      </c>
      <c r="DT139" s="88" t="n">
        <f aca="false">(AL139+AN139)*(1+BA139+INDEX(in_cus_hmf,1,C139)+DR139)+DS139</f>
        <v>17862.8771995127</v>
      </c>
      <c r="DU139" s="86" t="n">
        <f aca="false">IF(DT139&gt;0,(CD139*(1-thr_gm_go)-(BM139-DT139))/DT139,0)</f>
        <v>-0.0483542356136239</v>
      </c>
      <c r="DV139" s="86" t="n">
        <f aca="false">IF(DT139&gt;0,(CD139-(BM139-DT139))/DT139,0)</f>
        <v>0.200501531033043</v>
      </c>
      <c r="DW139" s="87" t="n">
        <f aca="false">(1+AH139)*J139*DU139-1</f>
        <v>-1.05318965917499</v>
      </c>
      <c r="DX139" s="87" t="n">
        <f aca="false">(1+AH139)*J139*DV139-1</f>
        <v>-0.779448315863653</v>
      </c>
      <c r="DY139" s="85" t="n">
        <f aca="false">IF(G139&gt;0,(CD139*(1-thr_gm_go)-(BM139-AT139))/G139,"")</f>
        <v>-13526.6229723552</v>
      </c>
      <c r="DZ139" s="90" t="n">
        <f aca="false">IF(AB139&gt;0,(AL139+AN139+BB139+BC139+BD139)/AB139,0)</f>
        <v>0.203288726058277</v>
      </c>
      <c r="EA139" s="88" t="n">
        <f aca="false">BM139-DZ139*AB139</f>
        <v>14132.3973340152</v>
      </c>
      <c r="EB139" s="90" t="n">
        <f aca="false">IF(AB139&gt;0,CD139/AB139,0)</f>
        <v>0.2016</v>
      </c>
      <c r="EC139" s="85" t="str">
        <f aca="false">IF(EB139*(1-thr_gm_go)-DZ139&gt;0,EA139/(EB139*(1-thr_gm_go)-DZ139),"n/a")</f>
        <v>n/a</v>
      </c>
      <c r="ED139" s="85" t="str">
        <f aca="false">IF(EB139-DZ139&gt;0,EA139/(EB139-DZ139),"n/a")</f>
        <v>n/a</v>
      </c>
      <c r="EE139" s="93" t="b">
        <f aca="false">INDEX(cfg_fits,D139,C139)</f>
        <v>1</v>
      </c>
      <c r="EF139" s="87" t="n">
        <f aca="false">IF(F139=4,"",INDEX(cfg_lenutil,D139,C139))</f>
        <v>0.985750209555742</v>
      </c>
      <c r="EG139" s="31" t="str">
        <f aca="false">IF(O139&gt;1,"Check fit (units scaled up)","")</f>
        <v/>
      </c>
    </row>
    <row r="140" customFormat="false" ht="15" hidden="false" customHeight="false" outlineLevel="0" collapsed="false">
      <c r="A140" s="78" t="n">
        <v>3081</v>
      </c>
      <c r="B140" s="9" t="s">
        <v>3288</v>
      </c>
      <c r="C140" s="78" t="n">
        <v>3</v>
      </c>
      <c r="D140" s="78" t="n">
        <v>8</v>
      </c>
      <c r="E140" s="78" t="n">
        <v>1</v>
      </c>
      <c r="F140" s="79" t="n">
        <f aca="false">INDEX(cfg_ct,D140)</f>
        <v>2</v>
      </c>
      <c r="G140" s="79" t="n">
        <f aca="false">INDEX(cfg_n,D140)</f>
        <v>1</v>
      </c>
      <c r="H140" s="79" t="n">
        <f aca="false">INDEX(dest_port,E140)</f>
        <v>1</v>
      </c>
      <c r="I140" s="80" t="n">
        <f aca="false">INDEX(in_fx_cbe,1,C140)*(1-INDEX(in_fx_spread,1,C140))</f>
        <v>48.265</v>
      </c>
      <c r="J140" s="81" t="n">
        <f aca="false">1</f>
        <v>1</v>
      </c>
      <c r="K140" s="82" t="n">
        <f aca="false">INDEX(in_sup_vat_mode,1,C140)</f>
        <v>3</v>
      </c>
      <c r="L140" s="83" t="n">
        <f aca="false">INDEX(in_cus_s301,1,C140)</f>
        <v>0.125</v>
      </c>
      <c r="M140" s="84" t="n">
        <f aca="false">1</f>
        <v>1</v>
      </c>
      <c r="N140" s="81" t="n">
        <f aca="false">1</f>
        <v>1</v>
      </c>
      <c r="O140" s="81" t="n">
        <f aca="false">1</f>
        <v>1</v>
      </c>
      <c r="P140" s="81" t="n">
        <f aca="false">1</f>
        <v>1</v>
      </c>
      <c r="Q140" s="81" t="n">
        <f aca="false">1</f>
        <v>1</v>
      </c>
      <c r="R140" s="83" t="n">
        <f aca="false">INDEX(in_sel_damage,1,C140)</f>
        <v>0.04</v>
      </c>
      <c r="S140" s="83" t="n">
        <f aca="false">INDEX(in_mkt_dist_margin,1,C140)</f>
        <v>0.3</v>
      </c>
      <c r="T140" s="83" t="n">
        <f aca="false">INDEX(in_mkt_eflute_disc,1,C140)</f>
        <v>0.25</v>
      </c>
      <c r="U140" s="82" t="n">
        <f aca="false">INDEX(in_sel_credit_days,1,C140)</f>
        <v>60</v>
      </c>
      <c r="V140" s="81" t="n">
        <f aca="false">1</f>
        <v>1</v>
      </c>
      <c r="W140" s="83" t="n">
        <f aca="false">INDEX(in_sel_commission,1,C140)</f>
        <v>0.07</v>
      </c>
      <c r="X140" s="82" t="n">
        <f aca="false">1</f>
        <v>1</v>
      </c>
      <c r="Y140" s="85" t="n">
        <f aca="false">INDEX(cfg_u_3464,D140,C140)*O140</f>
        <v>19100</v>
      </c>
      <c r="Z140" s="85" t="n">
        <f aca="false">INDEX(cfg_u_3463,D140,C140)*O140</f>
        <v>19100</v>
      </c>
      <c r="AA140" s="85" t="n">
        <f aca="false">INDEX(cfg_u_3460,D140,C140)*O140</f>
        <v>19100</v>
      </c>
      <c r="AB140" s="85" t="n">
        <f aca="false">Y140+Z140+AA140</f>
        <v>57300</v>
      </c>
      <c r="AC140" s="86" t="n">
        <f aca="false">Y140*INDEX(lg_vpu_3464,C140)</f>
        <v>15.2860356</v>
      </c>
      <c r="AD140" s="86" t="n">
        <f aca="false">Z140*INDEX(lg_vpu_3463,C140)</f>
        <v>18.6999696</v>
      </c>
      <c r="AE140" s="86" t="n">
        <f aca="false">AA140*INDEX(lg_vpu_3460,C140)</f>
        <v>12.2159016</v>
      </c>
      <c r="AF140" s="86" t="n">
        <f aca="false">AC140+AD140+AE140</f>
        <v>46.2019068</v>
      </c>
      <c r="AG140" s="85" t="n">
        <f aca="false">Y140*INDEX(lg_kpu_3464,C140)+Z140*INDEX(lg_kpu_3463,C140)+AA140*INDEX(lg_kpu_3460,C140)</f>
        <v>11271.3298944</v>
      </c>
      <c r="AH140" s="87" t="n">
        <f aca="false">INDEX(in_sup_requote,1,C140)</f>
        <v>0.1</v>
      </c>
      <c r="AI140" s="88" t="n">
        <f aca="false">Y140*q_price_3464*(1+AH140)*J140/I140</f>
        <v>3641.32704858593</v>
      </c>
      <c r="AJ140" s="88" t="n">
        <f aca="false">Z140*q_price_3463*(1+AH140)*J140/I140</f>
        <v>3438.91018336269</v>
      </c>
      <c r="AK140" s="88" t="n">
        <f aca="false">AA140*q_price_3460*(1+AH140)*J140/I140</f>
        <v>3003.60509686108</v>
      </c>
      <c r="AL140" s="88" t="n">
        <f aca="false">AI140+AJ140+AK140</f>
        <v>10083.8423288097</v>
      </c>
      <c r="AM140" s="88" t="n">
        <f aca="false">IF(OR(K140=2,K140=3),AL140*INDEX(in_sup_vat_rate,1,C140),0)</f>
        <v>1411.73792603336</v>
      </c>
      <c r="AN140" s="88" t="n">
        <f aca="false">IF(K140=3,AM140,0)</f>
        <v>1411.73792603336</v>
      </c>
      <c r="AO140" s="88" t="n">
        <f aca="false">INDEX(in_sup_tooling_egp,1,C140)/I140</f>
        <v>517.973686936704</v>
      </c>
      <c r="AP140" s="88" t="n">
        <f aca="false">IF(F140=4,INDEX(in_ori_lcl_truck,1,C140)*V140/I140+INDEX(in_ori_lcl_cfs_o,1,C140),G140*(IF(F140=1,INDEX(in_ori_truck_20,1,C140),INDEX(in_ori_truck_40,1,C140))*V140/I140+INDEX(in_ori_terminal,1,C140)+IF(F140=1,INDEX(in_ori_othc_20,1,C140),INDEX(in_ori_othc_40,1,C140))*(1-INDEX(in_ori_othc_in_freight,1,C140))+INDEX(in_ori_seal,1,C140)+INDEX(in_ori_inspection,1,C140)+INDEX(in_ori_dd_days,1,C140)*IF(F140=1,INDEX(in_ori_dd_20,1,C140),INDEX(in_ori_dd_40,1,C140))+INDEX(in_ori_loading_egp,1,C140)/I140))</f>
        <v>882.378949549363</v>
      </c>
      <c r="AQ140" s="88" t="n">
        <f aca="false">(INDEX(in_ori_clearance,1,C140)+INDEX(in_ori_coo,1,C140))/I140+INDEX(in_ori_bl_fee,1,C140)+INDEX(in_ori_fwd_fee,1,C140)+INDEX(in_ori_qc,1,C140)+INDEX(in_ori_wires,1,C140)*INDEX(in_ori_wire_fee,1,C140)</f>
        <v>1167.90842225215</v>
      </c>
      <c r="AR140" s="88" t="n">
        <f aca="false">AP140+AQ140</f>
        <v>2050.28737180151</v>
      </c>
      <c r="AS140" s="85" t="n">
        <f aca="false">INDEX(tbl_port_diff,H140,C140)</f>
        <v>0</v>
      </c>
      <c r="AT140" s="88" t="n">
        <f aca="false">IF(F140=4,MAX(AF140*INDEX(in_oce_lcl_factor,1,C140),AG140/1000,1)*INDEX(in_oce_lcl_rate,1,C140)*M140,G140*(INDEX(tbl_ocean_rate,MIN(F140,3),C140)+AS140)*M140)</f>
        <v>4900</v>
      </c>
      <c r="AU140" s="88" t="n">
        <f aca="false">AT140+INDEX(in_oce_ams,1,C140)</f>
        <v>4945</v>
      </c>
      <c r="AV140" s="88" t="n">
        <f aca="false">AI140*(1+IF(K140=3,INDEX(in_sup_vat_rate,1,C140),0))+AO140*Y140/AB140</f>
        <v>4323.77073103353</v>
      </c>
      <c r="AW140" s="88" t="n">
        <f aca="false">AJ140*(1+IF(K140=3,INDEX(in_sup_vat_rate,1,C140),0))+AO140*Z140/AB140</f>
        <v>4093.01550467903</v>
      </c>
      <c r="AX140" s="88" t="n">
        <f aca="false">AK140*(1+IF(K140=3,INDEX(in_sup_vat_rate,1,C140),0))+AO140*AA140/AB140</f>
        <v>3596.7677060672</v>
      </c>
      <c r="AY140" s="88" t="n">
        <f aca="false">AV140+AW140+AX140</f>
        <v>12013.5539417798</v>
      </c>
      <c r="AZ140" s="88" t="n">
        <f aca="false">MAX(INDEX(in_oce_ins_min,1,C140),INDEX(in_oce_ins_rate,1,C140)*(1+INDEX(in_oce_ins_uplift,1,C140))*(AL140+AO140+AR140+AU140))*(1-INDEX(in_oce_ins_in_other,1,C140))</f>
        <v>100</v>
      </c>
      <c r="BA140" s="87" t="n">
        <f aca="false">INDEX(in_cus_mfn,1,C140)+L140</f>
        <v>0.125</v>
      </c>
      <c r="BB140" s="88" t="n">
        <f aca="false">AY140*BA140</f>
        <v>1501.69424272247</v>
      </c>
      <c r="BC140" s="88" t="n">
        <f aca="false">MIN(MAX(AY140*INDEX(in_cus_mpf_rate,1,C140),INDEX(in_cus_mpf_min,1,C140)),INDEX(in_cus_mpf_max,1,C140))</f>
        <v>41.6149508543251</v>
      </c>
      <c r="BD140" s="88" t="n">
        <f aca="false">AY140*INDEX(in_cus_hmf,1,C140)</f>
        <v>15.0169424272247</v>
      </c>
      <c r="BE140" s="88" t="n">
        <f aca="false">MAX(INDEX(in_cus_stb_min,1,C140),INDEX(in_cus_stb_rate,1,C140)/1000*(AY140+BB140+BC140+BD140))</f>
        <v>95.0031605444865</v>
      </c>
      <c r="BF140" s="88" t="n">
        <f aca="false">INDEX(in_cus_broker,1,C140)+INDEX(in_cus_isf,1,C140)+INDEX(in_cus_do_fee,1,C140)+BE140+INDEX(in_cus_isf_bond,1,C140)</f>
        <v>720.003160544487</v>
      </c>
      <c r="BG140" s="88" t="n">
        <f aca="false">IF(H140=1,INDEX(in_cus_cfc,1,C140)*INDEX(ct_teu,F140)*G140*(1-INDEX(in_cus_cfc_in_freight,1,C140)),0)</f>
        <v>29.6</v>
      </c>
      <c r="BH140" s="88" t="n">
        <f aca="false">IF(F140=4,1,G140)*(INDEX(in_cus_exam,1,C140)+INDEX(in_cus_exam_dray,1,C140))</f>
        <v>600</v>
      </c>
      <c r="BI140" s="88" t="n">
        <f aca="false">IF(F140=4,1,G140)*INDEX(in_cus_dem_days,1,C140)*INDEX(in_cus_dem_rate,1,C140)</f>
        <v>750</v>
      </c>
      <c r="BJ140" s="88" t="n">
        <f aca="false">BG140+BH140+BI140</f>
        <v>1379.6</v>
      </c>
      <c r="BK140" s="88" t="n">
        <f aca="false">IF(F140=4,(INDEX(in_dra_lcl_cfs_d,1,C140)+INDEX(in_dra_lcl_deliv,1,C140))*P140,G140*(INDEX(tbl_dest_line,E140,C140)*P140*(1+INDEX(in_dra_fsc,1,C140))+INDEX(tbl_dest_tolls,E140,C140)+INDEX(in_dra_chassis_days,1,C140)*INDEX(tbl_dest_chassis,E140,C140)*(1-INDEX(in_dra_chassis_in_dray,1,C140))+INDEX(in_dra_wait_hours,1,C140)*INDEX(in_dra_wait_rate,1,C140)+INDEX(in_dra_split,1,C140)+INDEX(in_dra_prepull,1,C140)+INDEX(in_dra_dryrun,1,C140)))</f>
        <v>2280</v>
      </c>
      <c r="BL140" s="88" t="n">
        <f aca="false">IF(F140=4,0,G140*IF(F140=1,INDEX(in_dra_unload_20,1,C140),INDEX(in_dra_unload_40,1,C140))*Q140*(1-INDEX(in_dra_unload_in_dray,1,C140)))</f>
        <v>650</v>
      </c>
      <c r="BM140" s="88" t="n">
        <f aca="false">AL140+AN140+AO140+AR140+AU140+AZ140+BB140+BC140+BD140+BF140+BJ140+BK140+BL140</f>
        <v>25696.7706101298</v>
      </c>
      <c r="BN140" s="88" t="n">
        <f aca="false">AP140+AU140+BJ140+BK140+BL140</f>
        <v>10136.9789495494</v>
      </c>
      <c r="BO140" s="88" t="n">
        <f aca="false">AQ140+BF140</f>
        <v>1887.91158279664</v>
      </c>
      <c r="BP140" s="88" t="n">
        <f aca="false">AI140*(1+IF(K140=3,INDEX(in_sup_vat_rate,1,C140),0))+AO140*Y140/AB140+AV140*BA140+(BC140+BD140)*AV140/AY140+AZ140*AI140/AL140+BN140*AC140/AF140+BO140*Y140/AB140</f>
        <v>8903.88774730258</v>
      </c>
      <c r="BQ140" s="88" t="n">
        <f aca="false">AJ140*(1+IF(K140=3,INDEX(in_sup_vat_rate,1,C140),0))+AO140*Z140/AB140+AW140*BA140+(BC140+BD140)*AW140/AY140+AZ140*AJ140/AL140+BN140*AD140/AF140+BO140*Z140/AB140</f>
        <v>9390.23085227425</v>
      </c>
      <c r="BR140" s="88" t="n">
        <f aca="false">AK140*(1+IF(K140=3,INDEX(in_sup_vat_rate,1,C140),0))+AO140*AA140/AB140+AX140*BA140+(BC140+BD140)*AX140/AY140+AZ140*AK140/AL140+BN140*AE140/AF140+BO140*AA140/AB140</f>
        <v>7402.65201055295</v>
      </c>
      <c r="BS140" s="89" t="n">
        <f aca="false">BP140+BQ140+BR140-BM140</f>
        <v>0</v>
      </c>
      <c r="BT140" s="85" t="n">
        <f aca="false">Y140*(1-R140)</f>
        <v>18336</v>
      </c>
      <c r="BU140" s="85" t="n">
        <f aca="false">Z140*(1-R140)</f>
        <v>18336</v>
      </c>
      <c r="BV140" s="85" t="n">
        <f aca="false">AA140*(1-R140)</f>
        <v>18336</v>
      </c>
      <c r="BW140" s="85" t="n">
        <f aca="false">BT140+BU140+BV140</f>
        <v>55008</v>
      </c>
      <c r="BX140" s="90" t="n">
        <f aca="false">IF(BT140&gt;0,BP140/BT140,0)</f>
        <v>0.485595972256903</v>
      </c>
      <c r="BY140" s="90" t="n">
        <f aca="false">IF(BU140&gt;0,BQ140/BU140,0)</f>
        <v>0.512119919953875</v>
      </c>
      <c r="BZ140" s="90" t="n">
        <f aca="false">IF(BV140&gt;0,BR140/BV140,0)</f>
        <v>0.403722295514449</v>
      </c>
      <c r="CA140" s="90" t="n">
        <f aca="false">INDEX(in_mkt_listing_3464,1,C140)*(1-IF(sku_flute_3464="B",T140,0))*(1-S140)*N140</f>
        <v>0.1995</v>
      </c>
      <c r="CB140" s="90" t="n">
        <f aca="false">INDEX(in_mkt_listing_3463,1,C140)*(1-IF(sku_flute_3463="B",T140,0))*(1-S140)*N140</f>
        <v>0.23625</v>
      </c>
      <c r="CC140" s="90" t="n">
        <f aca="false">INDEX(in_mkt_listing_3460,1,C140)*(1-IF(sku_flute_3460="B",T140,0))*(1-S140)*N140</f>
        <v>0.21</v>
      </c>
      <c r="CD140" s="88" t="n">
        <f aca="false">BT140*CA140+BU140*CB140+BV140*CC140</f>
        <v>11840.472</v>
      </c>
      <c r="CE140" s="88" t="n">
        <f aca="false">CD140-BM140</f>
        <v>-13856.2986101298</v>
      </c>
      <c r="CF140" s="87" t="n">
        <f aca="false">IF(CD140&gt;0,CE140/CD140,0)</f>
        <v>-1.1702488389086</v>
      </c>
      <c r="CG140" s="87" t="n">
        <f aca="false">W140+INDEX(in_sel_processing,1,C140)+INDEX(in_sel_bad_debt,1,C140)</f>
        <v>0.095</v>
      </c>
      <c r="CH140" s="88" t="n">
        <f aca="false">CD140*CG140</f>
        <v>1124.84484</v>
      </c>
      <c r="CI140" s="88" t="n">
        <f aca="false">INDEX(in_sel_testing,1,C140)*X140+INDEX(in_sel_admin,1,C140)</f>
        <v>4750</v>
      </c>
      <c r="CJ140" s="79" t="n">
        <f aca="false">INDEX(in_sup_lead_days,1,C140)</f>
        <v>35</v>
      </c>
      <c r="CK140" s="79" t="n">
        <f aca="false">CJ140+INDEX(in_oce_transit,1,C140)+IF(F140=4,INDEX(in_oce_lcl_extra_days,1,C140),0)</f>
        <v>73</v>
      </c>
      <c r="CL140" s="79" t="n">
        <f aca="false">CK140+2+INDEX(in_cus_dem_days,1,C140)</f>
        <v>78</v>
      </c>
      <c r="CM140" s="79" t="n">
        <f aca="false">CL140+U140</f>
        <v>138</v>
      </c>
      <c r="CN140" s="79" t="n">
        <f aca="false">CJ140+INDEX(in_sup_vat_lag,1,C140)</f>
        <v>215</v>
      </c>
      <c r="CO140" s="91" t="n">
        <f aca="false">INDEX(in_sup_advance,1,C140)</f>
        <v>0.5</v>
      </c>
      <c r="CP140" s="88" t="n">
        <f aca="false">CO140*(AL140+AM140)+AO140+INDEX(in_sel_testing,1,C140)*X140</f>
        <v>10265.7638143582</v>
      </c>
      <c r="CQ140" s="88" t="n">
        <f aca="false">(1-CO140)*(AL140+AM140)+AR140+AU140+AZ140</f>
        <v>12843.077499223</v>
      </c>
      <c r="CR140" s="88" t="n">
        <f aca="false">BB140+BC140+BD140+BF140+BJ140</f>
        <v>3657.92929654851</v>
      </c>
      <c r="CS140" s="88" t="n">
        <f aca="false">BK140+BL140</f>
        <v>2930</v>
      </c>
      <c r="CT140" s="88" t="n">
        <f aca="false">IF(K140=2,AM140,0)</f>
        <v>0</v>
      </c>
      <c r="CU140" s="85" t="n">
        <f aca="false">IF(K140=2,CO140*AM140*(CN140-0)+(1-CO140)*AM140*(CN140-CJ140),0)</f>
        <v>0</v>
      </c>
      <c r="CV140" s="85" t="n">
        <f aca="false">(CP140-CO140*CT140)*(CM140-0)+(CQ140-(1-CO140)*CT140)*(CM140-CJ140)+CR140*(CM140-CK140)+CS140*(CM140-CL140)</f>
        <v>3153077.79307706</v>
      </c>
      <c r="CW140" s="88" t="n">
        <f aca="false">INDEX(in_sel_fin_rate,1,C140)/365*(CU140+CV140)</f>
        <v>1209.39970145422</v>
      </c>
      <c r="CX140" s="85" t="n">
        <f aca="false">CP140-IF(CN140&lt;=0,CT140,0)</f>
        <v>10265.7638143582</v>
      </c>
      <c r="CY140" s="85" t="n">
        <f aca="false">CP140+CQ140-IF(CN140&lt;=CJ140,CT140,0)</f>
        <v>23108.8413135813</v>
      </c>
      <c r="CZ140" s="85" t="n">
        <f aca="false">CP140+CQ140+CR140-IF(CN140&lt;=CK140,CT140,0)</f>
        <v>26766.7706101298</v>
      </c>
      <c r="DA140" s="85" t="n">
        <f aca="false">CP140+CQ140+CR140+CS140-IF(CN140&lt;=CL140,CT140,0)</f>
        <v>29696.7706101298</v>
      </c>
      <c r="DB140" s="88" t="n">
        <f aca="false">MAX(CX140,CY140,CZ140,DA140)</f>
        <v>29696.7706101298</v>
      </c>
      <c r="DC140" s="88" t="n">
        <f aca="false">CP140+CQ140+CR140+CS140</f>
        <v>29696.7706101298</v>
      </c>
      <c r="DD140" s="88" t="n">
        <f aca="false">CE140-CH140-CI140-CW140</f>
        <v>-20940.543151584</v>
      </c>
      <c r="DE140" s="87" t="n">
        <f aca="false">IF(CD140&gt;0,DD140/CD140,0)</f>
        <v>-1.7685564521063</v>
      </c>
      <c r="DF140" s="86" t="n">
        <f aca="false">IF(CD140&gt;0,(BM140+CI140+CW140)/(CD140*(1-CG140)),0)</f>
        <v>2.95420602442685</v>
      </c>
      <c r="DG140" s="90" t="n">
        <f aca="false">IF(BW140&gt;0,BM140/BW140,0)</f>
        <v>0.467146062575076</v>
      </c>
      <c r="DH140" s="90" t="n">
        <f aca="false">IF(BW140&gt;0,CD140/BW140,0)</f>
        <v>0.21525</v>
      </c>
      <c r="DI140" s="90" t="n">
        <f aca="false">IF(AI140&gt;0,(AI140*IF(K140=3,INDEX(in_sup_vat_rate,1,C140),0)+AV140*BA140+(BC140+BD140)*AV140/AY140+AZ140*AI140/AL140)/AI140,0)</f>
        <v>0.30394135989095</v>
      </c>
      <c r="DJ140" s="90" t="n">
        <f aca="false">IF(AJ140&gt;0,(AJ140*IF(K140=3,INDEX(in_sup_vat_rate,1,C140),0)+AW140*BA140+(BC140+BD140)*AW140/AY140+AZ140*AJ140/AL140)/AJ140,0)</f>
        <v>0.304303385647476</v>
      </c>
      <c r="DK140" s="90" t="n">
        <f aca="false">IF(AK140&gt;0,(AK140*IF(K140=3,INDEX(in_sup_vat_rate,1,C140),0)+AX140*BA140+(BC140+BD140)*AX140/AY140+AZ140*AK140/AL140)/AK140,0)</f>
        <v>0.305247236497824</v>
      </c>
      <c r="DL140" s="90" t="n">
        <f aca="false">IF(Y140&gt;0,(BP140-AI140*(1+DI140))/Y140,0)</f>
        <v>0.217581717474437</v>
      </c>
      <c r="DM140" s="90" t="n">
        <f aca="false">IF(Z140&gt;0,(BQ140-AJ140*(1+DJ140))/Z140,0)</f>
        <v>0.256798359014488</v>
      </c>
      <c r="DN140" s="90" t="n">
        <f aca="false">IF(AA140&gt;0,(BR140-AK140*(1+DK140))/AA140,0)</f>
        <v>0.182314385253625</v>
      </c>
      <c r="DO140" s="86" t="n">
        <f aca="false">IF(Y140&gt;0,(CA140*(1-thr_gm_go)*(1-R140)-DL140)/(1+DI140)*I140/((1+AH140)*J140),"")</f>
        <v>-2.48811871710254</v>
      </c>
      <c r="DP140" s="86" t="n">
        <f aca="false">IF(Z140&gt;0,(CB140*(1-thr_gm_go)*(1-R140)-DM140)/(1+DJ140)*I140/((1+AH140)*J140),"")</f>
        <v>-2.91656648701964</v>
      </c>
      <c r="DQ140" s="86" t="n">
        <f aca="false">IF(AA140&gt;0,(CC140*(1-thr_gm_go)*(1-R140)-DN140)/(1+DK140)*I140/((1+AH140)*J140),"")</f>
        <v>-1.04594312046033</v>
      </c>
      <c r="DR140" s="92" t="n">
        <f aca="false">IF(AND(AY140*INDEX(in_cus_mpf_rate,1,C140)&gt;INDEX(in_cus_mpf_min,1,C140),AY140*INDEX(in_cus_mpf_rate,1,C140)&lt;INDEX(in_cus_mpf_max,1,C140)),INDEX(in_cus_mpf_rate,1,C140),0)</f>
        <v>0.003464</v>
      </c>
      <c r="DS140" s="88" t="n">
        <f aca="false">IF(AZ140&gt;INDEX(in_oce_ins_min,1,C140),INDEX(in_oce_ins_rate,1,C140)*(1+INDEX(in_oce_ins_uplift,1,C140))*AL140,0)</f>
        <v>0</v>
      </c>
      <c r="DT140" s="88" t="n">
        <f aca="false">(AL140+AN140)*(1+BA140+INDEX(in_cus_hmf,1,C140)+DR140)+DS140</f>
        <v>12986.7179520198</v>
      </c>
      <c r="DU140" s="86" t="n">
        <f aca="false">IF(DT140&gt;0,(CD140*(1-thr_gm_go)-(BM140-DT140))/DT140,0)</f>
        <v>-0.294893495974816</v>
      </c>
      <c r="DV140" s="86" t="n">
        <f aca="false">IF(DT140&gt;0,(CD140-(BM140-DT140))/DT140,0)</f>
        <v>-0.0669592318338422</v>
      </c>
      <c r="DW140" s="87" t="n">
        <f aca="false">(1+AH140)*J140*DU140-1</f>
        <v>-1.3243828455723</v>
      </c>
      <c r="DX140" s="87" t="n">
        <f aca="false">(1+AH140)*J140*DV140-1</f>
        <v>-1.07365515501723</v>
      </c>
      <c r="DY140" s="85" t="n">
        <f aca="false">IF(G140&gt;0,(CD140*(1-thr_gm_go)-(BM140-AT140))/G140,"")</f>
        <v>-11916.4166101298</v>
      </c>
      <c r="DZ140" s="90" t="n">
        <f aca="false">IF(AB140&gt;0,(AL140+AN140+BB140+BC140+BD140)/AB140,0)</f>
        <v>0.227816865459809</v>
      </c>
      <c r="EA140" s="88" t="n">
        <f aca="false">BM140-DZ140*AB140</f>
        <v>12642.8642192827</v>
      </c>
      <c r="EB140" s="90" t="n">
        <f aca="false">IF(AB140&gt;0,CD140/AB140,0)</f>
        <v>0.20664</v>
      </c>
      <c r="EC140" s="85" t="str">
        <f aca="false">IF(EB140*(1-thr_gm_go)-DZ140&gt;0,EA140/(EB140*(1-thr_gm_go)-DZ140),"n/a")</f>
        <v>n/a</v>
      </c>
      <c r="ED140" s="85" t="str">
        <f aca="false">IF(EB140-DZ140&gt;0,EA140/(EB140-DZ140),"n/a")</f>
        <v>n/a</v>
      </c>
      <c r="EE140" s="93" t="b">
        <f aca="false">INDEX(cfg_fits,D140,C140)</f>
        <v>1</v>
      </c>
      <c r="EF140" s="87" t="n">
        <f aca="false">IF(F140=4,"",INDEX(cfg_lenutil,D140,C140))</f>
        <v>0.999580888516345</v>
      </c>
      <c r="EG140" s="31" t="str">
        <f aca="false">IF(O140&gt;1,"Check fit (units scaled up)","")</f>
        <v/>
      </c>
    </row>
    <row r="141" customFormat="false" ht="15" hidden="false" customHeight="false" outlineLevel="0" collapsed="false">
      <c r="A141" s="78" t="n">
        <v>3082</v>
      </c>
      <c r="B141" s="9" t="s">
        <v>3289</v>
      </c>
      <c r="C141" s="78" t="n">
        <v>3</v>
      </c>
      <c r="D141" s="78" t="n">
        <v>8</v>
      </c>
      <c r="E141" s="78" t="n">
        <v>2</v>
      </c>
      <c r="F141" s="79" t="n">
        <f aca="false">INDEX(cfg_ct,D141)</f>
        <v>2</v>
      </c>
      <c r="G141" s="79" t="n">
        <f aca="false">INDEX(cfg_n,D141)</f>
        <v>1</v>
      </c>
      <c r="H141" s="79" t="n">
        <f aca="false">INDEX(dest_port,E141)</f>
        <v>1</v>
      </c>
      <c r="I141" s="80" t="n">
        <f aca="false">INDEX(in_fx_cbe,1,C141)*(1-INDEX(in_fx_spread,1,C141))</f>
        <v>48.265</v>
      </c>
      <c r="J141" s="81" t="n">
        <f aca="false">1</f>
        <v>1</v>
      </c>
      <c r="K141" s="82" t="n">
        <f aca="false">INDEX(in_sup_vat_mode,1,C141)</f>
        <v>3</v>
      </c>
      <c r="L141" s="83" t="n">
        <f aca="false">INDEX(in_cus_s301,1,C141)</f>
        <v>0.125</v>
      </c>
      <c r="M141" s="84" t="n">
        <f aca="false">1</f>
        <v>1</v>
      </c>
      <c r="N141" s="81" t="n">
        <f aca="false">1</f>
        <v>1</v>
      </c>
      <c r="O141" s="81" t="n">
        <f aca="false">1</f>
        <v>1</v>
      </c>
      <c r="P141" s="81" t="n">
        <f aca="false">1</f>
        <v>1</v>
      </c>
      <c r="Q141" s="81" t="n">
        <f aca="false">1</f>
        <v>1</v>
      </c>
      <c r="R141" s="83" t="n">
        <f aca="false">INDEX(in_sel_damage,1,C141)</f>
        <v>0.04</v>
      </c>
      <c r="S141" s="83" t="n">
        <f aca="false">INDEX(in_mkt_dist_margin,1,C141)</f>
        <v>0.3</v>
      </c>
      <c r="T141" s="83" t="n">
        <f aca="false">INDEX(in_mkt_eflute_disc,1,C141)</f>
        <v>0.25</v>
      </c>
      <c r="U141" s="82" t="n">
        <f aca="false">INDEX(in_sel_credit_days,1,C141)</f>
        <v>60</v>
      </c>
      <c r="V141" s="81" t="n">
        <f aca="false">1</f>
        <v>1</v>
      </c>
      <c r="W141" s="83" t="n">
        <f aca="false">INDEX(in_sel_commission,1,C141)</f>
        <v>0.07</v>
      </c>
      <c r="X141" s="82" t="n">
        <f aca="false">1</f>
        <v>1</v>
      </c>
      <c r="Y141" s="85" t="n">
        <f aca="false">INDEX(cfg_u_3464,D141,C141)*O141</f>
        <v>19100</v>
      </c>
      <c r="Z141" s="85" t="n">
        <f aca="false">INDEX(cfg_u_3463,D141,C141)*O141</f>
        <v>19100</v>
      </c>
      <c r="AA141" s="85" t="n">
        <f aca="false">INDEX(cfg_u_3460,D141,C141)*O141</f>
        <v>19100</v>
      </c>
      <c r="AB141" s="85" t="n">
        <f aca="false">Y141+Z141+AA141</f>
        <v>57300</v>
      </c>
      <c r="AC141" s="86" t="n">
        <f aca="false">Y141*INDEX(lg_vpu_3464,C141)</f>
        <v>15.2860356</v>
      </c>
      <c r="AD141" s="86" t="n">
        <f aca="false">Z141*INDEX(lg_vpu_3463,C141)</f>
        <v>18.6999696</v>
      </c>
      <c r="AE141" s="86" t="n">
        <f aca="false">AA141*INDEX(lg_vpu_3460,C141)</f>
        <v>12.2159016</v>
      </c>
      <c r="AF141" s="86" t="n">
        <f aca="false">AC141+AD141+AE141</f>
        <v>46.2019068</v>
      </c>
      <c r="AG141" s="85" t="n">
        <f aca="false">Y141*INDEX(lg_kpu_3464,C141)+Z141*INDEX(lg_kpu_3463,C141)+AA141*INDEX(lg_kpu_3460,C141)</f>
        <v>11271.3298944</v>
      </c>
      <c r="AH141" s="87" t="n">
        <f aca="false">INDEX(in_sup_requote,1,C141)</f>
        <v>0.1</v>
      </c>
      <c r="AI141" s="88" t="n">
        <f aca="false">Y141*q_price_3464*(1+AH141)*J141/I141</f>
        <v>3641.32704858593</v>
      </c>
      <c r="AJ141" s="88" t="n">
        <f aca="false">Z141*q_price_3463*(1+AH141)*J141/I141</f>
        <v>3438.91018336269</v>
      </c>
      <c r="AK141" s="88" t="n">
        <f aca="false">AA141*q_price_3460*(1+AH141)*J141/I141</f>
        <v>3003.60509686108</v>
      </c>
      <c r="AL141" s="88" t="n">
        <f aca="false">AI141+AJ141+AK141</f>
        <v>10083.8423288097</v>
      </c>
      <c r="AM141" s="88" t="n">
        <f aca="false">IF(OR(K141=2,K141=3),AL141*INDEX(in_sup_vat_rate,1,C141),0)</f>
        <v>1411.73792603336</v>
      </c>
      <c r="AN141" s="88" t="n">
        <f aca="false">IF(K141=3,AM141,0)</f>
        <v>1411.73792603336</v>
      </c>
      <c r="AO141" s="88" t="n">
        <f aca="false">INDEX(in_sup_tooling_egp,1,C141)/I141</f>
        <v>517.973686936704</v>
      </c>
      <c r="AP141" s="88" t="n">
        <f aca="false">IF(F141=4,INDEX(in_ori_lcl_truck,1,C141)*V141/I141+INDEX(in_ori_lcl_cfs_o,1,C141),G141*(IF(F141=1,INDEX(in_ori_truck_20,1,C141),INDEX(in_ori_truck_40,1,C141))*V141/I141+INDEX(in_ori_terminal,1,C141)+IF(F141=1,INDEX(in_ori_othc_20,1,C141),INDEX(in_ori_othc_40,1,C141))*(1-INDEX(in_ori_othc_in_freight,1,C141))+INDEX(in_ori_seal,1,C141)+INDEX(in_ori_inspection,1,C141)+INDEX(in_ori_dd_days,1,C141)*IF(F141=1,INDEX(in_ori_dd_20,1,C141),INDEX(in_ori_dd_40,1,C141))+INDEX(in_ori_loading_egp,1,C141)/I141))</f>
        <v>882.378949549363</v>
      </c>
      <c r="AQ141" s="88" t="n">
        <f aca="false">(INDEX(in_ori_clearance,1,C141)+INDEX(in_ori_coo,1,C141))/I141+INDEX(in_ori_bl_fee,1,C141)+INDEX(in_ori_fwd_fee,1,C141)+INDEX(in_ori_qc,1,C141)+INDEX(in_ori_wires,1,C141)*INDEX(in_ori_wire_fee,1,C141)</f>
        <v>1167.90842225215</v>
      </c>
      <c r="AR141" s="88" t="n">
        <f aca="false">AP141+AQ141</f>
        <v>2050.28737180151</v>
      </c>
      <c r="AS141" s="85" t="n">
        <f aca="false">INDEX(tbl_port_diff,H141,C141)</f>
        <v>0</v>
      </c>
      <c r="AT141" s="88" t="n">
        <f aca="false">IF(F141=4,MAX(AF141*INDEX(in_oce_lcl_factor,1,C141),AG141/1000,1)*INDEX(in_oce_lcl_rate,1,C141)*M141,G141*(INDEX(tbl_ocean_rate,MIN(F141,3),C141)+AS141)*M141)</f>
        <v>4900</v>
      </c>
      <c r="AU141" s="88" t="n">
        <f aca="false">AT141+INDEX(in_oce_ams,1,C141)</f>
        <v>4945</v>
      </c>
      <c r="AV141" s="88" t="n">
        <f aca="false">AI141*(1+IF(K141=3,INDEX(in_sup_vat_rate,1,C141),0))+AO141*Y141/AB141</f>
        <v>4323.77073103353</v>
      </c>
      <c r="AW141" s="88" t="n">
        <f aca="false">AJ141*(1+IF(K141=3,INDEX(in_sup_vat_rate,1,C141),0))+AO141*Z141/AB141</f>
        <v>4093.01550467903</v>
      </c>
      <c r="AX141" s="88" t="n">
        <f aca="false">AK141*(1+IF(K141=3,INDEX(in_sup_vat_rate,1,C141),0))+AO141*AA141/AB141</f>
        <v>3596.7677060672</v>
      </c>
      <c r="AY141" s="88" t="n">
        <f aca="false">AV141+AW141+AX141</f>
        <v>12013.5539417798</v>
      </c>
      <c r="AZ141" s="88" t="n">
        <f aca="false">MAX(INDEX(in_oce_ins_min,1,C141),INDEX(in_oce_ins_rate,1,C141)*(1+INDEX(in_oce_ins_uplift,1,C141))*(AL141+AO141+AR141+AU141))*(1-INDEX(in_oce_ins_in_other,1,C141))</f>
        <v>100</v>
      </c>
      <c r="BA141" s="87" t="n">
        <f aca="false">INDEX(in_cus_mfn,1,C141)+L141</f>
        <v>0.125</v>
      </c>
      <c r="BB141" s="88" t="n">
        <f aca="false">AY141*BA141</f>
        <v>1501.69424272247</v>
      </c>
      <c r="BC141" s="88" t="n">
        <f aca="false">MIN(MAX(AY141*INDEX(in_cus_mpf_rate,1,C141),INDEX(in_cus_mpf_min,1,C141)),INDEX(in_cus_mpf_max,1,C141))</f>
        <v>41.6149508543251</v>
      </c>
      <c r="BD141" s="88" t="n">
        <f aca="false">AY141*INDEX(in_cus_hmf,1,C141)</f>
        <v>15.0169424272247</v>
      </c>
      <c r="BE141" s="88" t="n">
        <f aca="false">MAX(INDEX(in_cus_stb_min,1,C141),INDEX(in_cus_stb_rate,1,C141)/1000*(AY141+BB141+BC141+BD141))</f>
        <v>95.0031605444865</v>
      </c>
      <c r="BF141" s="88" t="n">
        <f aca="false">INDEX(in_cus_broker,1,C141)+INDEX(in_cus_isf,1,C141)+INDEX(in_cus_do_fee,1,C141)+BE141+INDEX(in_cus_isf_bond,1,C141)</f>
        <v>720.003160544487</v>
      </c>
      <c r="BG141" s="88" t="n">
        <f aca="false">IF(H141=1,INDEX(in_cus_cfc,1,C141)*INDEX(ct_teu,F141)*G141*(1-INDEX(in_cus_cfc_in_freight,1,C141)),0)</f>
        <v>29.6</v>
      </c>
      <c r="BH141" s="88" t="n">
        <f aca="false">IF(F141=4,1,G141)*(INDEX(in_cus_exam,1,C141)+INDEX(in_cus_exam_dray,1,C141))</f>
        <v>600</v>
      </c>
      <c r="BI141" s="88" t="n">
        <f aca="false">IF(F141=4,1,G141)*INDEX(in_cus_dem_days,1,C141)*INDEX(in_cus_dem_rate,1,C141)</f>
        <v>750</v>
      </c>
      <c r="BJ141" s="88" t="n">
        <f aca="false">BG141+BH141+BI141</f>
        <v>1379.6</v>
      </c>
      <c r="BK141" s="88" t="n">
        <f aca="false">IF(F141=4,(INDEX(in_dra_lcl_cfs_d,1,C141)+INDEX(in_dra_lcl_deliv,1,C141))*P141,G141*(INDEX(tbl_dest_line,E141,C141)*P141*(1+INDEX(in_dra_fsc,1,C141))+INDEX(tbl_dest_tolls,E141,C141)+INDEX(in_dra_chassis_days,1,C141)*INDEX(tbl_dest_chassis,E141,C141)*(1-INDEX(in_dra_chassis_in_dray,1,C141))+INDEX(in_dra_wait_hours,1,C141)*INDEX(in_dra_wait_rate,1,C141)+INDEX(in_dra_split,1,C141)+INDEX(in_dra_prepull,1,C141)+INDEX(in_dra_dryrun,1,C141)))</f>
        <v>2660</v>
      </c>
      <c r="BL141" s="88" t="n">
        <f aca="false">IF(F141=4,0,G141*IF(F141=1,INDEX(in_dra_unload_20,1,C141),INDEX(in_dra_unload_40,1,C141))*Q141*(1-INDEX(in_dra_unload_in_dray,1,C141)))</f>
        <v>650</v>
      </c>
      <c r="BM141" s="88" t="n">
        <f aca="false">AL141+AN141+AO141+AR141+AU141+AZ141+BB141+BC141+BD141+BF141+BJ141+BK141+BL141</f>
        <v>26076.7706101298</v>
      </c>
      <c r="BN141" s="88" t="n">
        <f aca="false">AP141+AU141+BJ141+BK141+BL141</f>
        <v>10516.9789495494</v>
      </c>
      <c r="BO141" s="88" t="n">
        <f aca="false">AQ141+BF141</f>
        <v>1887.91158279664</v>
      </c>
      <c r="BP141" s="88" t="n">
        <f aca="false">AI141*(1+IF(K141=3,INDEX(in_sup_vat_rate,1,C141),0))+AO141*Y141/AB141+AV141*BA141+(BC141+BD141)*AV141/AY141+AZ141*AI141/AL141+BN141*AC141/AF141+BO141*Y141/AB141</f>
        <v>9029.61185546861</v>
      </c>
      <c r="BQ141" s="88" t="n">
        <f aca="false">AJ141*(1+IF(K141=3,INDEX(in_sup_vat_rate,1,C141),0))+AO141*Z141/AB141+AW141*BA141+(BC141+BD141)*AW141/AY141+AZ141*AJ141/AL141+BN141*AD141/AF141+BO141*Z141/AB141</f>
        <v>9544.03377817427</v>
      </c>
      <c r="BR141" s="88" t="n">
        <f aca="false">AK141*(1+IF(K141=3,INDEX(in_sup_vat_rate,1,C141),0))+AO141*AA141/AB141+AX141*BA141+(BC141+BD141)*AX141/AY141+AZ141*AK141/AL141+BN141*AE141/AF141+BO141*AA141/AB141</f>
        <v>7503.1249764869</v>
      </c>
      <c r="BS141" s="89" t="n">
        <f aca="false">BP141+BQ141+BR141-BM141</f>
        <v>0</v>
      </c>
      <c r="BT141" s="85" t="n">
        <f aca="false">Y141*(1-R141)</f>
        <v>18336</v>
      </c>
      <c r="BU141" s="85" t="n">
        <f aca="false">Z141*(1-R141)</f>
        <v>18336</v>
      </c>
      <c r="BV141" s="85" t="n">
        <f aca="false">AA141*(1-R141)</f>
        <v>18336</v>
      </c>
      <c r="BW141" s="85" t="n">
        <f aca="false">BT141+BU141+BV141</f>
        <v>55008</v>
      </c>
      <c r="BX141" s="90" t="n">
        <f aca="false">IF(BT141&gt;0,BP141/BT141,0)</f>
        <v>0.492452653548681</v>
      </c>
      <c r="BY141" s="90" t="n">
        <f aca="false">IF(BU141&gt;0,BQ141/BU141,0)</f>
        <v>0.520507950380359</v>
      </c>
      <c r="BZ141" s="90" t="n">
        <f aca="false">IF(BV141&gt;0,BR141/BV141,0)</f>
        <v>0.409201842085891</v>
      </c>
      <c r="CA141" s="90" t="n">
        <f aca="false">INDEX(in_mkt_listing_3464,1,C141)*(1-IF(sku_flute_3464="B",T141,0))*(1-S141)*N141</f>
        <v>0.1995</v>
      </c>
      <c r="CB141" s="90" t="n">
        <f aca="false">INDEX(in_mkt_listing_3463,1,C141)*(1-IF(sku_flute_3463="B",T141,0))*(1-S141)*N141</f>
        <v>0.23625</v>
      </c>
      <c r="CC141" s="90" t="n">
        <f aca="false">INDEX(in_mkt_listing_3460,1,C141)*(1-IF(sku_flute_3460="B",T141,0))*(1-S141)*N141</f>
        <v>0.21</v>
      </c>
      <c r="CD141" s="88" t="n">
        <f aca="false">BT141*CA141+BU141*CB141+BV141*CC141</f>
        <v>11840.472</v>
      </c>
      <c r="CE141" s="88" t="n">
        <f aca="false">CD141-BM141</f>
        <v>-14236.2986101298</v>
      </c>
      <c r="CF141" s="87" t="n">
        <f aca="false">IF(CD141&gt;0,CE141/CD141,0)</f>
        <v>-1.20234215410752</v>
      </c>
      <c r="CG141" s="87" t="n">
        <f aca="false">W141+INDEX(in_sel_processing,1,C141)+INDEX(in_sel_bad_debt,1,C141)</f>
        <v>0.095</v>
      </c>
      <c r="CH141" s="88" t="n">
        <f aca="false">CD141*CG141</f>
        <v>1124.84484</v>
      </c>
      <c r="CI141" s="88" t="n">
        <f aca="false">INDEX(in_sel_testing,1,C141)*X141+INDEX(in_sel_admin,1,C141)</f>
        <v>4750</v>
      </c>
      <c r="CJ141" s="79" t="n">
        <f aca="false">INDEX(in_sup_lead_days,1,C141)</f>
        <v>35</v>
      </c>
      <c r="CK141" s="79" t="n">
        <f aca="false">CJ141+INDEX(in_oce_transit,1,C141)+IF(F141=4,INDEX(in_oce_lcl_extra_days,1,C141),0)</f>
        <v>73</v>
      </c>
      <c r="CL141" s="79" t="n">
        <f aca="false">CK141+2+INDEX(in_cus_dem_days,1,C141)</f>
        <v>78</v>
      </c>
      <c r="CM141" s="79" t="n">
        <f aca="false">CL141+U141</f>
        <v>138</v>
      </c>
      <c r="CN141" s="79" t="n">
        <f aca="false">CJ141+INDEX(in_sup_vat_lag,1,C141)</f>
        <v>215</v>
      </c>
      <c r="CO141" s="91" t="n">
        <f aca="false">INDEX(in_sup_advance,1,C141)</f>
        <v>0.5</v>
      </c>
      <c r="CP141" s="88" t="n">
        <f aca="false">CO141*(AL141+AM141)+AO141+INDEX(in_sel_testing,1,C141)*X141</f>
        <v>10265.7638143582</v>
      </c>
      <c r="CQ141" s="88" t="n">
        <f aca="false">(1-CO141)*(AL141+AM141)+AR141+AU141+AZ141</f>
        <v>12843.077499223</v>
      </c>
      <c r="CR141" s="88" t="n">
        <f aca="false">BB141+BC141+BD141+BF141+BJ141</f>
        <v>3657.92929654851</v>
      </c>
      <c r="CS141" s="88" t="n">
        <f aca="false">BK141+BL141</f>
        <v>3310</v>
      </c>
      <c r="CT141" s="88" t="n">
        <f aca="false">IF(K141=2,AM141,0)</f>
        <v>0</v>
      </c>
      <c r="CU141" s="85" t="n">
        <f aca="false">IF(K141=2,CO141*AM141*(CN141-0)+(1-CO141)*AM141*(CN141-CJ141),0)</f>
        <v>0</v>
      </c>
      <c r="CV141" s="85" t="n">
        <f aca="false">(CP141-CO141*CT141)*(CM141-0)+(CQ141-(1-CO141)*CT141)*(CM141-CJ141)+CR141*(CM141-CK141)+CS141*(CM141-CL141)</f>
        <v>3175877.79307706</v>
      </c>
      <c r="CW141" s="88" t="n">
        <f aca="false">INDEX(in_sel_fin_rate,1,C141)/365*(CU141+CV141)</f>
        <v>1218.14490693367</v>
      </c>
      <c r="CX141" s="85" t="n">
        <f aca="false">CP141-IF(CN141&lt;=0,CT141,0)</f>
        <v>10265.7638143582</v>
      </c>
      <c r="CY141" s="85" t="n">
        <f aca="false">CP141+CQ141-IF(CN141&lt;=CJ141,CT141,0)</f>
        <v>23108.8413135813</v>
      </c>
      <c r="CZ141" s="85" t="n">
        <f aca="false">CP141+CQ141+CR141-IF(CN141&lt;=CK141,CT141,0)</f>
        <v>26766.7706101298</v>
      </c>
      <c r="DA141" s="85" t="n">
        <f aca="false">CP141+CQ141+CR141+CS141-IF(CN141&lt;=CL141,CT141,0)</f>
        <v>30076.7706101298</v>
      </c>
      <c r="DB141" s="88" t="n">
        <f aca="false">MAX(CX141,CY141,CZ141,DA141)</f>
        <v>30076.7706101298</v>
      </c>
      <c r="DC141" s="88" t="n">
        <f aca="false">CP141+CQ141+CR141+CS141</f>
        <v>30076.7706101298</v>
      </c>
      <c r="DD141" s="88" t="n">
        <f aca="false">CE141-CH141-CI141-CW141</f>
        <v>-21329.2883570634</v>
      </c>
      <c r="DE141" s="87" t="n">
        <f aca="false">IF(CD141&gt;0,DD141/CD141,0)</f>
        <v>-1.80138835318925</v>
      </c>
      <c r="DF141" s="86" t="n">
        <f aca="false">IF(CD141&gt;0,(BM141+CI141+CW141)/(CD141*(1-CG141)),0)</f>
        <v>2.99048436816492</v>
      </c>
      <c r="DG141" s="90" t="n">
        <f aca="false">IF(BW141&gt;0,BM141/BW141,0)</f>
        <v>0.474054148671644</v>
      </c>
      <c r="DH141" s="90" t="n">
        <f aca="false">IF(BW141&gt;0,CD141/BW141,0)</f>
        <v>0.21525</v>
      </c>
      <c r="DI141" s="90" t="n">
        <f aca="false">IF(AI141&gt;0,(AI141*IF(K141=3,INDEX(in_sup_vat_rate,1,C141),0)+AV141*BA141+(BC141+BD141)*AV141/AY141+AZ141*AI141/AL141)/AI141,0)</f>
        <v>0.30394135989095</v>
      </c>
      <c r="DJ141" s="90" t="n">
        <f aca="false">IF(AJ141&gt;0,(AJ141*IF(K141=3,INDEX(in_sup_vat_rate,1,C141),0)+AW141*BA141+(BC141+BD141)*AW141/AY141+AZ141*AJ141/AL141)/AJ141,0)</f>
        <v>0.304303385647476</v>
      </c>
      <c r="DK141" s="90" t="n">
        <f aca="false">IF(AK141&gt;0,(AK141*IF(K141=3,INDEX(in_sup_vat_rate,1,C141),0)+AX141*BA141+(BC141+BD141)*AX141/AY141+AZ141*AK141/AL141)/AK141,0)</f>
        <v>0.305247236497824</v>
      </c>
      <c r="DL141" s="90" t="n">
        <f aca="false">IF(Y141&gt;0,(BP141-AI141*(1+DI141))/Y141,0)</f>
        <v>0.224164131514543</v>
      </c>
      <c r="DM141" s="90" t="n">
        <f aca="false">IF(Z141&gt;0,(BQ141-AJ141*(1+DJ141))/Z141,0)</f>
        <v>0.264850868223913</v>
      </c>
      <c r="DN141" s="90" t="n">
        <f aca="false">IF(AA141&gt;0,(BR141-AK141*(1+DK141))/AA141,0)</f>
        <v>0.187574749962209</v>
      </c>
      <c r="DO141" s="86" t="n">
        <f aca="false">IF(Y141&gt;0,(CA141*(1-thr_gm_go)*(1-R141)-DL141)/(1+DI141)*I141/((1+AH141)*J141),"")</f>
        <v>-2.70961516236118</v>
      </c>
      <c r="DP141" s="86" t="n">
        <f aca="false">IF(Z141&gt;0,(CB141*(1-thr_gm_go)*(1-R141)-DM141)/(1+DJ141)*I141/((1+AH141)*J141),"")</f>
        <v>-3.18745602591739</v>
      </c>
      <c r="DQ141" s="86" t="n">
        <f aca="false">IF(AA141&gt;0,(CC141*(1-thr_gm_go)*(1-R141)-DN141)/(1+DK141)*I141/((1+AH141)*J141),"")</f>
        <v>-1.22277586946714</v>
      </c>
      <c r="DR141" s="92" t="n">
        <f aca="false">IF(AND(AY141*INDEX(in_cus_mpf_rate,1,C141)&gt;INDEX(in_cus_mpf_min,1,C141),AY141*INDEX(in_cus_mpf_rate,1,C141)&lt;INDEX(in_cus_mpf_max,1,C141)),INDEX(in_cus_mpf_rate,1,C141),0)</f>
        <v>0.003464</v>
      </c>
      <c r="DS141" s="88" t="n">
        <f aca="false">IF(AZ141&gt;INDEX(in_oce_ins_min,1,C141),INDEX(in_oce_ins_rate,1,C141)*(1+INDEX(in_oce_ins_uplift,1,C141))*AL141,0)</f>
        <v>0</v>
      </c>
      <c r="DT141" s="88" t="n">
        <f aca="false">(AL141+AN141)*(1+BA141+INDEX(in_cus_hmf,1,C141)+DR141)+DS141</f>
        <v>12986.7179520198</v>
      </c>
      <c r="DU141" s="86" t="n">
        <f aca="false">IF(DT141&gt;0,(CD141*(1-thr_gm_go)-(BM141-DT141))/DT141,0)</f>
        <v>-0.324154160709658</v>
      </c>
      <c r="DV141" s="86" t="n">
        <f aca="false">IF(DT141&gt;0,(CD141-(BM141-DT141))/DT141,0)</f>
        <v>-0.0962198965686838</v>
      </c>
      <c r="DW141" s="87" t="n">
        <f aca="false">(1+AH141)*J141*DU141-1</f>
        <v>-1.35656957678062</v>
      </c>
      <c r="DX141" s="87" t="n">
        <f aca="false">(1+AH141)*J141*DV141-1</f>
        <v>-1.10584188622555</v>
      </c>
      <c r="DY141" s="85" t="n">
        <f aca="false">IF(G141&gt;0,(CD141*(1-thr_gm_go)-(BM141-AT141))/G141,"")</f>
        <v>-12296.4166101298</v>
      </c>
      <c r="DZ141" s="90" t="n">
        <f aca="false">IF(AB141&gt;0,(AL141+AN141+BB141+BC141+BD141)/AB141,0)</f>
        <v>0.227816865459809</v>
      </c>
      <c r="EA141" s="88" t="n">
        <f aca="false">BM141-DZ141*AB141</f>
        <v>13022.8642192827</v>
      </c>
      <c r="EB141" s="90" t="n">
        <f aca="false">IF(AB141&gt;0,CD141/AB141,0)</f>
        <v>0.20664</v>
      </c>
      <c r="EC141" s="85" t="str">
        <f aca="false">IF(EB141*(1-thr_gm_go)-DZ141&gt;0,EA141/(EB141*(1-thr_gm_go)-DZ141),"n/a")</f>
        <v>n/a</v>
      </c>
      <c r="ED141" s="85" t="str">
        <f aca="false">IF(EB141-DZ141&gt;0,EA141/(EB141-DZ141),"n/a")</f>
        <v>n/a</v>
      </c>
      <c r="EE141" s="93" t="b">
        <f aca="false">INDEX(cfg_fits,D141,C141)</f>
        <v>1</v>
      </c>
      <c r="EF141" s="87" t="n">
        <f aca="false">IF(F141=4,"",INDEX(cfg_lenutil,D141,C141))</f>
        <v>0.999580888516345</v>
      </c>
      <c r="EG141" s="31" t="str">
        <f aca="false">IF(O141&gt;1,"Check fit (units scaled up)","")</f>
        <v/>
      </c>
    </row>
    <row r="142" customFormat="false" ht="15" hidden="false" customHeight="false" outlineLevel="0" collapsed="false">
      <c r="A142" s="78" t="n">
        <v>3083</v>
      </c>
      <c r="B142" s="9" t="s">
        <v>3290</v>
      </c>
      <c r="C142" s="78" t="n">
        <v>3</v>
      </c>
      <c r="D142" s="78" t="n">
        <v>8</v>
      </c>
      <c r="E142" s="78" t="n">
        <v>3</v>
      </c>
      <c r="F142" s="79" t="n">
        <f aca="false">INDEX(cfg_ct,D142)</f>
        <v>2</v>
      </c>
      <c r="G142" s="79" t="n">
        <f aca="false">INDEX(cfg_n,D142)</f>
        <v>1</v>
      </c>
      <c r="H142" s="79" t="n">
        <f aca="false">INDEX(dest_port,E142)</f>
        <v>2</v>
      </c>
      <c r="I142" s="80" t="n">
        <f aca="false">INDEX(in_fx_cbe,1,C142)*(1-INDEX(in_fx_spread,1,C142))</f>
        <v>48.265</v>
      </c>
      <c r="J142" s="81" t="n">
        <f aca="false">1</f>
        <v>1</v>
      </c>
      <c r="K142" s="82" t="n">
        <f aca="false">INDEX(in_sup_vat_mode,1,C142)</f>
        <v>3</v>
      </c>
      <c r="L142" s="83" t="n">
        <f aca="false">INDEX(in_cus_s301,1,C142)</f>
        <v>0.125</v>
      </c>
      <c r="M142" s="84" t="n">
        <f aca="false">1</f>
        <v>1</v>
      </c>
      <c r="N142" s="81" t="n">
        <f aca="false">1</f>
        <v>1</v>
      </c>
      <c r="O142" s="81" t="n">
        <f aca="false">1</f>
        <v>1</v>
      </c>
      <c r="P142" s="81" t="n">
        <f aca="false">1</f>
        <v>1</v>
      </c>
      <c r="Q142" s="81" t="n">
        <f aca="false">1</f>
        <v>1</v>
      </c>
      <c r="R142" s="83" t="n">
        <f aca="false">INDEX(in_sel_damage,1,C142)</f>
        <v>0.04</v>
      </c>
      <c r="S142" s="83" t="n">
        <f aca="false">INDEX(in_mkt_dist_margin,1,C142)</f>
        <v>0.3</v>
      </c>
      <c r="T142" s="83" t="n">
        <f aca="false">INDEX(in_mkt_eflute_disc,1,C142)</f>
        <v>0.25</v>
      </c>
      <c r="U142" s="82" t="n">
        <f aca="false">INDEX(in_sel_credit_days,1,C142)</f>
        <v>60</v>
      </c>
      <c r="V142" s="81" t="n">
        <f aca="false">1</f>
        <v>1</v>
      </c>
      <c r="W142" s="83" t="n">
        <f aca="false">INDEX(in_sel_commission,1,C142)</f>
        <v>0.07</v>
      </c>
      <c r="X142" s="82" t="n">
        <f aca="false">1</f>
        <v>1</v>
      </c>
      <c r="Y142" s="85" t="n">
        <f aca="false">INDEX(cfg_u_3464,D142,C142)*O142</f>
        <v>19100</v>
      </c>
      <c r="Z142" s="85" t="n">
        <f aca="false">INDEX(cfg_u_3463,D142,C142)*O142</f>
        <v>19100</v>
      </c>
      <c r="AA142" s="85" t="n">
        <f aca="false">INDEX(cfg_u_3460,D142,C142)*O142</f>
        <v>19100</v>
      </c>
      <c r="AB142" s="85" t="n">
        <f aca="false">Y142+Z142+AA142</f>
        <v>57300</v>
      </c>
      <c r="AC142" s="86" t="n">
        <f aca="false">Y142*INDEX(lg_vpu_3464,C142)</f>
        <v>15.2860356</v>
      </c>
      <c r="AD142" s="86" t="n">
        <f aca="false">Z142*INDEX(lg_vpu_3463,C142)</f>
        <v>18.6999696</v>
      </c>
      <c r="AE142" s="86" t="n">
        <f aca="false">AA142*INDEX(lg_vpu_3460,C142)</f>
        <v>12.2159016</v>
      </c>
      <c r="AF142" s="86" t="n">
        <f aca="false">AC142+AD142+AE142</f>
        <v>46.2019068</v>
      </c>
      <c r="AG142" s="85" t="n">
        <f aca="false">Y142*INDEX(lg_kpu_3464,C142)+Z142*INDEX(lg_kpu_3463,C142)+AA142*INDEX(lg_kpu_3460,C142)</f>
        <v>11271.3298944</v>
      </c>
      <c r="AH142" s="87" t="n">
        <f aca="false">INDEX(in_sup_requote,1,C142)</f>
        <v>0.1</v>
      </c>
      <c r="AI142" s="88" t="n">
        <f aca="false">Y142*q_price_3464*(1+AH142)*J142/I142</f>
        <v>3641.32704858593</v>
      </c>
      <c r="AJ142" s="88" t="n">
        <f aca="false">Z142*q_price_3463*(1+AH142)*J142/I142</f>
        <v>3438.91018336269</v>
      </c>
      <c r="AK142" s="88" t="n">
        <f aca="false">AA142*q_price_3460*(1+AH142)*J142/I142</f>
        <v>3003.60509686108</v>
      </c>
      <c r="AL142" s="88" t="n">
        <f aca="false">AI142+AJ142+AK142</f>
        <v>10083.8423288097</v>
      </c>
      <c r="AM142" s="88" t="n">
        <f aca="false">IF(OR(K142=2,K142=3),AL142*INDEX(in_sup_vat_rate,1,C142),0)</f>
        <v>1411.73792603336</v>
      </c>
      <c r="AN142" s="88" t="n">
        <f aca="false">IF(K142=3,AM142,0)</f>
        <v>1411.73792603336</v>
      </c>
      <c r="AO142" s="88" t="n">
        <f aca="false">INDEX(in_sup_tooling_egp,1,C142)/I142</f>
        <v>517.973686936704</v>
      </c>
      <c r="AP142" s="88" t="n">
        <f aca="false">IF(F142=4,INDEX(in_ori_lcl_truck,1,C142)*V142/I142+INDEX(in_ori_lcl_cfs_o,1,C142),G142*(IF(F142=1,INDEX(in_ori_truck_20,1,C142),INDEX(in_ori_truck_40,1,C142))*V142/I142+INDEX(in_ori_terminal,1,C142)+IF(F142=1,INDEX(in_ori_othc_20,1,C142),INDEX(in_ori_othc_40,1,C142))*(1-INDEX(in_ori_othc_in_freight,1,C142))+INDEX(in_ori_seal,1,C142)+INDEX(in_ori_inspection,1,C142)+INDEX(in_ori_dd_days,1,C142)*IF(F142=1,INDEX(in_ori_dd_20,1,C142),INDEX(in_ori_dd_40,1,C142))+INDEX(in_ori_loading_egp,1,C142)/I142))</f>
        <v>882.378949549363</v>
      </c>
      <c r="AQ142" s="88" t="n">
        <f aca="false">(INDEX(in_ori_clearance,1,C142)+INDEX(in_ori_coo,1,C142))/I142+INDEX(in_ori_bl_fee,1,C142)+INDEX(in_ori_fwd_fee,1,C142)+INDEX(in_ori_qc,1,C142)+INDEX(in_ori_wires,1,C142)*INDEX(in_ori_wire_fee,1,C142)</f>
        <v>1167.90842225215</v>
      </c>
      <c r="AR142" s="88" t="n">
        <f aca="false">AP142+AQ142</f>
        <v>2050.28737180151</v>
      </c>
      <c r="AS142" s="85" t="n">
        <f aca="false">INDEX(tbl_port_diff,H142,C142)</f>
        <v>300</v>
      </c>
      <c r="AT142" s="88" t="n">
        <f aca="false">IF(F142=4,MAX(AF142*INDEX(in_oce_lcl_factor,1,C142),AG142/1000,1)*INDEX(in_oce_lcl_rate,1,C142)*M142,G142*(INDEX(tbl_ocean_rate,MIN(F142,3),C142)+AS142)*M142)</f>
        <v>5200</v>
      </c>
      <c r="AU142" s="88" t="n">
        <f aca="false">AT142+INDEX(in_oce_ams,1,C142)</f>
        <v>5245</v>
      </c>
      <c r="AV142" s="88" t="n">
        <f aca="false">AI142*(1+IF(K142=3,INDEX(in_sup_vat_rate,1,C142),0))+AO142*Y142/AB142</f>
        <v>4323.77073103353</v>
      </c>
      <c r="AW142" s="88" t="n">
        <f aca="false">AJ142*(1+IF(K142=3,INDEX(in_sup_vat_rate,1,C142),0))+AO142*Z142/AB142</f>
        <v>4093.01550467903</v>
      </c>
      <c r="AX142" s="88" t="n">
        <f aca="false">AK142*(1+IF(K142=3,INDEX(in_sup_vat_rate,1,C142),0))+AO142*AA142/AB142</f>
        <v>3596.7677060672</v>
      </c>
      <c r="AY142" s="88" t="n">
        <f aca="false">AV142+AW142+AX142</f>
        <v>12013.5539417798</v>
      </c>
      <c r="AZ142" s="88" t="n">
        <f aca="false">MAX(INDEX(in_oce_ins_min,1,C142),INDEX(in_oce_ins_rate,1,C142)*(1+INDEX(in_oce_ins_uplift,1,C142))*(AL142+AO142+AR142+AU142))*(1-INDEX(in_oce_ins_in_other,1,C142))</f>
        <v>100</v>
      </c>
      <c r="BA142" s="87" t="n">
        <f aca="false">INDEX(in_cus_mfn,1,C142)+L142</f>
        <v>0.125</v>
      </c>
      <c r="BB142" s="88" t="n">
        <f aca="false">AY142*BA142</f>
        <v>1501.69424272247</v>
      </c>
      <c r="BC142" s="88" t="n">
        <f aca="false">MIN(MAX(AY142*INDEX(in_cus_mpf_rate,1,C142),INDEX(in_cus_mpf_min,1,C142)),INDEX(in_cus_mpf_max,1,C142))</f>
        <v>41.6149508543251</v>
      </c>
      <c r="BD142" s="88" t="n">
        <f aca="false">AY142*INDEX(in_cus_hmf,1,C142)</f>
        <v>15.0169424272247</v>
      </c>
      <c r="BE142" s="88" t="n">
        <f aca="false">MAX(INDEX(in_cus_stb_min,1,C142),INDEX(in_cus_stb_rate,1,C142)/1000*(AY142+BB142+BC142+BD142))</f>
        <v>95.0031605444865</v>
      </c>
      <c r="BF142" s="88" t="n">
        <f aca="false">INDEX(in_cus_broker,1,C142)+INDEX(in_cus_isf,1,C142)+INDEX(in_cus_do_fee,1,C142)+BE142+INDEX(in_cus_isf_bond,1,C142)</f>
        <v>720.003160544487</v>
      </c>
      <c r="BG142" s="88" t="n">
        <f aca="false">IF(H142=1,INDEX(in_cus_cfc,1,C142)*INDEX(ct_teu,F142)*G142*(1-INDEX(in_cus_cfc_in_freight,1,C142)),0)</f>
        <v>0</v>
      </c>
      <c r="BH142" s="88" t="n">
        <f aca="false">IF(F142=4,1,G142)*(INDEX(in_cus_exam,1,C142)+INDEX(in_cus_exam_dray,1,C142))</f>
        <v>600</v>
      </c>
      <c r="BI142" s="88" t="n">
        <f aca="false">IF(F142=4,1,G142)*INDEX(in_cus_dem_days,1,C142)*INDEX(in_cus_dem_rate,1,C142)</f>
        <v>750</v>
      </c>
      <c r="BJ142" s="88" t="n">
        <f aca="false">BG142+BH142+BI142</f>
        <v>1350</v>
      </c>
      <c r="BK142" s="88" t="n">
        <f aca="false">IF(F142=4,(INDEX(in_dra_lcl_cfs_d,1,C142)+INDEX(in_dra_lcl_deliv,1,C142))*P142,G142*(INDEX(tbl_dest_line,E142,C142)*P142*(1+INDEX(in_dra_fsc,1,C142))+INDEX(tbl_dest_tolls,E142,C142)+INDEX(in_dra_chassis_days,1,C142)*INDEX(tbl_dest_chassis,E142,C142)*(1-INDEX(in_dra_chassis_in_dray,1,C142))+INDEX(in_dra_wait_hours,1,C142)*INDEX(in_dra_wait_rate,1,C142)+INDEX(in_dra_split,1,C142)+INDEX(in_dra_prepull,1,C142)+INDEX(in_dra_dryrun,1,C142)))</f>
        <v>2100</v>
      </c>
      <c r="BL142" s="88" t="n">
        <f aca="false">IF(F142=4,0,G142*IF(F142=1,INDEX(in_dra_unload_20,1,C142),INDEX(in_dra_unload_40,1,C142))*Q142*(1-INDEX(in_dra_unload_in_dray,1,C142)))</f>
        <v>650</v>
      </c>
      <c r="BM142" s="88" t="n">
        <f aca="false">AL142+AN142+AO142+AR142+AU142+AZ142+BB142+BC142+BD142+BF142+BJ142+BK142+BL142</f>
        <v>25787.1706101298</v>
      </c>
      <c r="BN142" s="88" t="n">
        <f aca="false">AP142+AU142+BJ142+BK142+BL142</f>
        <v>10227.3789495494</v>
      </c>
      <c r="BO142" s="88" t="n">
        <f aca="false">AQ142+BF142</f>
        <v>1887.91158279664</v>
      </c>
      <c r="BP142" s="88" t="n">
        <f aca="false">AI142*(1+IF(K142=3,INDEX(in_sup_vat_rate,1,C142),0))+AO142*Y142/AB142+AV142*BA142+(BC142+BD142)*AV142/AY142+AZ142*AI142/AL142+BN142*AC142/AF142+BO142*Y142/AB142</f>
        <v>8933.79685092945</v>
      </c>
      <c r="BQ142" s="88" t="n">
        <f aca="false">AJ142*(1+IF(K142=3,INDEX(in_sup_vat_rate,1,C142),0))+AO142*Z142/AB142+AW142*BA142+(BC142+BD142)*AW142/AY142+AZ142*AJ142/AL142+BN142*AD142/AF142+BO142*Z142/AB142</f>
        <v>9426.81975885678</v>
      </c>
      <c r="BR142" s="88" t="n">
        <f aca="false">AK142*(1+IF(K142=3,INDEX(in_sup_vat_rate,1,C142),0))+AO142*AA142/AB142+AX142*BA142+(BC142+BD142)*AX142/AY142+AZ142*AK142/AL142+BN142*AE142/AF142+BO142*AA142/AB142</f>
        <v>7426.55400034355</v>
      </c>
      <c r="BS142" s="89" t="n">
        <f aca="false">BP142+BQ142+BR142-BM142</f>
        <v>0</v>
      </c>
      <c r="BT142" s="85" t="n">
        <f aca="false">Y142*(1-R142)</f>
        <v>18336</v>
      </c>
      <c r="BU142" s="85" t="n">
        <f aca="false">Z142*(1-R142)</f>
        <v>18336</v>
      </c>
      <c r="BV142" s="85" t="n">
        <f aca="false">AA142*(1-R142)</f>
        <v>18336</v>
      </c>
      <c r="BW142" s="85" t="n">
        <f aca="false">BT142+BU142+BV142</f>
        <v>55008</v>
      </c>
      <c r="BX142" s="90" t="n">
        <f aca="false">IF(BT142&gt;0,BP142/BT142,0)</f>
        <v>0.487227140648421</v>
      </c>
      <c r="BY142" s="90" t="n">
        <f aca="false">IF(BU142&gt;0,BQ142/BU142,0)</f>
        <v>0.514115388244807</v>
      </c>
      <c r="BZ142" s="90" t="n">
        <f aca="false">IF(BV142&gt;0,BR142/BV142,0)</f>
        <v>0.405025850804077</v>
      </c>
      <c r="CA142" s="90" t="n">
        <f aca="false">INDEX(in_mkt_listing_3464,1,C142)*(1-IF(sku_flute_3464="B",T142,0))*(1-S142)*N142</f>
        <v>0.1995</v>
      </c>
      <c r="CB142" s="90" t="n">
        <f aca="false">INDEX(in_mkt_listing_3463,1,C142)*(1-IF(sku_flute_3463="B",T142,0))*(1-S142)*N142</f>
        <v>0.23625</v>
      </c>
      <c r="CC142" s="90" t="n">
        <f aca="false">INDEX(in_mkt_listing_3460,1,C142)*(1-IF(sku_flute_3460="B",T142,0))*(1-S142)*N142</f>
        <v>0.21</v>
      </c>
      <c r="CD142" s="88" t="n">
        <f aca="false">BT142*CA142+BU142*CB142+BV142*CC142</f>
        <v>11840.472</v>
      </c>
      <c r="CE142" s="88" t="n">
        <f aca="false">CD142-BM142</f>
        <v>-13946.6986101298</v>
      </c>
      <c r="CF142" s="87" t="n">
        <f aca="false">IF(CD142&gt;0,CE142/CD142,0)</f>
        <v>-1.17788366968224</v>
      </c>
      <c r="CG142" s="87" t="n">
        <f aca="false">W142+INDEX(in_sel_processing,1,C142)+INDEX(in_sel_bad_debt,1,C142)</f>
        <v>0.095</v>
      </c>
      <c r="CH142" s="88" t="n">
        <f aca="false">CD142*CG142</f>
        <v>1124.84484</v>
      </c>
      <c r="CI142" s="88" t="n">
        <f aca="false">INDEX(in_sel_testing,1,C142)*X142+INDEX(in_sel_admin,1,C142)</f>
        <v>4750</v>
      </c>
      <c r="CJ142" s="79" t="n">
        <f aca="false">INDEX(in_sup_lead_days,1,C142)</f>
        <v>35</v>
      </c>
      <c r="CK142" s="79" t="n">
        <f aca="false">CJ142+INDEX(in_oce_transit,1,C142)+IF(F142=4,INDEX(in_oce_lcl_extra_days,1,C142),0)</f>
        <v>73</v>
      </c>
      <c r="CL142" s="79" t="n">
        <f aca="false">CK142+2+INDEX(in_cus_dem_days,1,C142)</f>
        <v>78</v>
      </c>
      <c r="CM142" s="79" t="n">
        <f aca="false">CL142+U142</f>
        <v>138</v>
      </c>
      <c r="CN142" s="79" t="n">
        <f aca="false">CJ142+INDEX(in_sup_vat_lag,1,C142)</f>
        <v>215</v>
      </c>
      <c r="CO142" s="91" t="n">
        <f aca="false">INDEX(in_sup_advance,1,C142)</f>
        <v>0.5</v>
      </c>
      <c r="CP142" s="88" t="n">
        <f aca="false">CO142*(AL142+AM142)+AO142+INDEX(in_sel_testing,1,C142)*X142</f>
        <v>10265.7638143582</v>
      </c>
      <c r="CQ142" s="88" t="n">
        <f aca="false">(1-CO142)*(AL142+AM142)+AR142+AU142+AZ142</f>
        <v>13143.077499223</v>
      </c>
      <c r="CR142" s="88" t="n">
        <f aca="false">BB142+BC142+BD142+BF142+BJ142</f>
        <v>3628.32929654851</v>
      </c>
      <c r="CS142" s="88" t="n">
        <f aca="false">BK142+BL142</f>
        <v>2750</v>
      </c>
      <c r="CT142" s="88" t="n">
        <f aca="false">IF(K142=2,AM142,0)</f>
        <v>0</v>
      </c>
      <c r="CU142" s="85" t="n">
        <f aca="false">IF(K142=2,CO142*AM142*(CN142-0)+(1-CO142)*AM142*(CN142-CJ142),0)</f>
        <v>0</v>
      </c>
      <c r="CV142" s="85" t="n">
        <f aca="false">(CP142-CO142*CT142)*(CM142-0)+(CQ142-(1-CO142)*CT142)*(CM142-CJ142)+CR142*(CM142-CK142)+CS142*(CM142-CL142)</f>
        <v>3171253.79307706</v>
      </c>
      <c r="CW142" s="88" t="n">
        <f aca="false">INDEX(in_sel_fin_rate,1,C142)/365*(CU142+CV142)</f>
        <v>1216.37131789257</v>
      </c>
      <c r="CX142" s="85" t="n">
        <f aca="false">CP142-IF(CN142&lt;=0,CT142,0)</f>
        <v>10265.7638143582</v>
      </c>
      <c r="CY142" s="85" t="n">
        <f aca="false">CP142+CQ142-IF(CN142&lt;=CJ142,CT142,0)</f>
        <v>23408.8413135813</v>
      </c>
      <c r="CZ142" s="85" t="n">
        <f aca="false">CP142+CQ142+CR142-IF(CN142&lt;=CK142,CT142,0)</f>
        <v>27037.1706101298</v>
      </c>
      <c r="DA142" s="85" t="n">
        <f aca="false">CP142+CQ142+CR142+CS142-IF(CN142&lt;=CL142,CT142,0)</f>
        <v>29787.1706101298</v>
      </c>
      <c r="DB142" s="88" t="n">
        <f aca="false">MAX(CX142,CY142,CZ142,DA142)</f>
        <v>29787.1706101298</v>
      </c>
      <c r="DC142" s="88" t="n">
        <f aca="false">CP142+CQ142+CR142+CS142</f>
        <v>29787.1706101298</v>
      </c>
      <c r="DD142" s="88" t="n">
        <f aca="false">CE142-CH142-CI142-CW142</f>
        <v>-21037.9147680224</v>
      </c>
      <c r="DE142" s="87" t="n">
        <f aca="false">IF(CD142&gt;0,DD142/CD142,0)</f>
        <v>-1.77678007836363</v>
      </c>
      <c r="DF142" s="86" t="n">
        <f aca="false">IF(CD142&gt;0,(BM142+CI142+CW142)/(CD142*(1-CG142)),0)</f>
        <v>2.9632929042692</v>
      </c>
      <c r="DG142" s="90" t="n">
        <f aca="false">IF(BW142&gt;0,BM142/BW142,0)</f>
        <v>0.468789459899102</v>
      </c>
      <c r="DH142" s="90" t="n">
        <f aca="false">IF(BW142&gt;0,CD142/BW142,0)</f>
        <v>0.21525</v>
      </c>
      <c r="DI142" s="90" t="n">
        <f aca="false">IF(AI142&gt;0,(AI142*IF(K142=3,INDEX(in_sup_vat_rate,1,C142),0)+AV142*BA142+(BC142+BD142)*AV142/AY142+AZ142*AI142/AL142)/AI142,0)</f>
        <v>0.30394135989095</v>
      </c>
      <c r="DJ142" s="90" t="n">
        <f aca="false">IF(AJ142&gt;0,(AJ142*IF(K142=3,INDEX(in_sup_vat_rate,1,C142),0)+AW142*BA142+(BC142+BD142)*AW142/AY142+AZ142*AJ142/AL142)/AJ142,0)</f>
        <v>0.304303385647476</v>
      </c>
      <c r="DK142" s="90" t="n">
        <f aca="false">IF(AK142&gt;0,(AK142*IF(K142=3,INDEX(in_sup_vat_rate,1,C142),0)+AX142*BA142+(BC142+BD142)*AX142/AY142+AZ142*AK142/AL142)/AK142,0)</f>
        <v>0.305247236497824</v>
      </c>
      <c r="DL142" s="90" t="n">
        <f aca="false">IF(Y142&gt;0,(BP142-AI142*(1+DI142))/Y142,0)</f>
        <v>0.219147639130294</v>
      </c>
      <c r="DM142" s="90" t="n">
        <f aca="false">IF(Z142&gt;0,(BQ142-AJ142*(1+DJ142))/Z142,0)</f>
        <v>0.258714008573783</v>
      </c>
      <c r="DN142" s="90" t="n">
        <f aca="false">IF(AA142&gt;0,(BR142-AK142*(1+DK142))/AA142,0)</f>
        <v>0.183565798331667</v>
      </c>
      <c r="DO142" s="86" t="n">
        <f aca="false">IF(Y142&gt;0,(CA142*(1-thr_gm_go)*(1-R142)-DL142)/(1+DI142)*I142/((1+AH142)*J142),"")</f>
        <v>-2.5408115556588</v>
      </c>
      <c r="DP142" s="86" t="n">
        <f aca="false">IF(Z142&gt;0,(CB142*(1-thr_gm_go)*(1-R142)-DM142)/(1+DJ142)*I142/((1+AH142)*J142),"")</f>
        <v>-2.981009682589</v>
      </c>
      <c r="DQ142" s="86" t="n">
        <f aca="false">IF(AA142&gt;0,(CC142*(1-thr_gm_go)*(1-R142)-DN142)/(1+DK142)*I142/((1+AH142)*J142),"")</f>
        <v>-1.08801070075037</v>
      </c>
      <c r="DR142" s="92" t="n">
        <f aca="false">IF(AND(AY142*INDEX(in_cus_mpf_rate,1,C142)&gt;INDEX(in_cus_mpf_min,1,C142),AY142*INDEX(in_cus_mpf_rate,1,C142)&lt;INDEX(in_cus_mpf_max,1,C142)),INDEX(in_cus_mpf_rate,1,C142),0)</f>
        <v>0.003464</v>
      </c>
      <c r="DS142" s="88" t="n">
        <f aca="false">IF(AZ142&gt;INDEX(in_oce_ins_min,1,C142),INDEX(in_oce_ins_rate,1,C142)*(1+INDEX(in_oce_ins_uplift,1,C142))*AL142,0)</f>
        <v>0</v>
      </c>
      <c r="DT142" s="88" t="n">
        <f aca="false">(AL142+AN142)*(1+BA142+INDEX(in_cus_hmf,1,C142)+DR142)+DS142</f>
        <v>12986.7179520198</v>
      </c>
      <c r="DU142" s="86" t="n">
        <f aca="false">IF(DT142&gt;0,(CD142*(1-thr_gm_go)-(BM142-DT142))/DT142,0)</f>
        <v>-0.301854454111736</v>
      </c>
      <c r="DV142" s="86" t="n">
        <f aca="false">IF(DT142&gt;0,(CD142-(BM142-DT142))/DT142,0)</f>
        <v>-0.0739201899707625</v>
      </c>
      <c r="DW142" s="87" t="n">
        <f aca="false">(1+AH142)*J142*DU142-1</f>
        <v>-1.33203989952291</v>
      </c>
      <c r="DX142" s="87" t="n">
        <f aca="false">(1+AH142)*J142*DV142-1</f>
        <v>-1.08131220896784</v>
      </c>
      <c r="DY142" s="85" t="n">
        <f aca="false">IF(G142&gt;0,(CD142*(1-thr_gm_go)-(BM142-AT142))/G142,"")</f>
        <v>-11706.8166101298</v>
      </c>
      <c r="DZ142" s="90" t="n">
        <f aca="false">IF(AB142&gt;0,(AL142+AN142+BB142+BC142+BD142)/AB142,0)</f>
        <v>0.227816865459809</v>
      </c>
      <c r="EA142" s="88" t="n">
        <f aca="false">BM142-DZ142*AB142</f>
        <v>12733.2642192827</v>
      </c>
      <c r="EB142" s="90" t="n">
        <f aca="false">IF(AB142&gt;0,CD142/AB142,0)</f>
        <v>0.20664</v>
      </c>
      <c r="EC142" s="85" t="str">
        <f aca="false">IF(EB142*(1-thr_gm_go)-DZ142&gt;0,EA142/(EB142*(1-thr_gm_go)-DZ142),"n/a")</f>
        <v>n/a</v>
      </c>
      <c r="ED142" s="85" t="str">
        <f aca="false">IF(EB142-DZ142&gt;0,EA142/(EB142-DZ142),"n/a")</f>
        <v>n/a</v>
      </c>
      <c r="EE142" s="93" t="b">
        <f aca="false">INDEX(cfg_fits,D142,C142)</f>
        <v>1</v>
      </c>
      <c r="EF142" s="87" t="n">
        <f aca="false">IF(F142=4,"",INDEX(cfg_lenutil,D142,C142))</f>
        <v>0.999580888516345</v>
      </c>
      <c r="EG142" s="31" t="str">
        <f aca="false">IF(O142&gt;1,"Check fit (units scaled up)","")</f>
        <v/>
      </c>
    </row>
    <row r="143" customFormat="false" ht="15" hidden="false" customHeight="false" outlineLevel="0" collapsed="false">
      <c r="A143" s="78" t="n">
        <v>3084</v>
      </c>
      <c r="B143" s="9" t="s">
        <v>3291</v>
      </c>
      <c r="C143" s="78" t="n">
        <v>3</v>
      </c>
      <c r="D143" s="78" t="n">
        <v>8</v>
      </c>
      <c r="E143" s="78" t="n">
        <v>4</v>
      </c>
      <c r="F143" s="79" t="n">
        <f aca="false">INDEX(cfg_ct,D143)</f>
        <v>2</v>
      </c>
      <c r="G143" s="79" t="n">
        <f aca="false">INDEX(cfg_n,D143)</f>
        <v>1</v>
      </c>
      <c r="H143" s="79" t="n">
        <f aca="false">INDEX(dest_port,E143)</f>
        <v>3</v>
      </c>
      <c r="I143" s="80" t="n">
        <f aca="false">INDEX(in_fx_cbe,1,C143)*(1-INDEX(in_fx_spread,1,C143))</f>
        <v>48.265</v>
      </c>
      <c r="J143" s="81" t="n">
        <f aca="false">1</f>
        <v>1</v>
      </c>
      <c r="K143" s="82" t="n">
        <f aca="false">INDEX(in_sup_vat_mode,1,C143)</f>
        <v>3</v>
      </c>
      <c r="L143" s="83" t="n">
        <f aca="false">INDEX(in_cus_s301,1,C143)</f>
        <v>0.125</v>
      </c>
      <c r="M143" s="84" t="n">
        <f aca="false">1</f>
        <v>1</v>
      </c>
      <c r="N143" s="81" t="n">
        <f aca="false">1</f>
        <v>1</v>
      </c>
      <c r="O143" s="81" t="n">
        <f aca="false">1</f>
        <v>1</v>
      </c>
      <c r="P143" s="81" t="n">
        <f aca="false">1</f>
        <v>1</v>
      </c>
      <c r="Q143" s="81" t="n">
        <f aca="false">1</f>
        <v>1</v>
      </c>
      <c r="R143" s="83" t="n">
        <f aca="false">INDEX(in_sel_damage,1,C143)</f>
        <v>0.04</v>
      </c>
      <c r="S143" s="83" t="n">
        <f aca="false">INDEX(in_mkt_dist_margin,1,C143)</f>
        <v>0.3</v>
      </c>
      <c r="T143" s="83" t="n">
        <f aca="false">INDEX(in_mkt_eflute_disc,1,C143)</f>
        <v>0.25</v>
      </c>
      <c r="U143" s="82" t="n">
        <f aca="false">INDEX(in_sel_credit_days,1,C143)</f>
        <v>60</v>
      </c>
      <c r="V143" s="81" t="n">
        <f aca="false">1</f>
        <v>1</v>
      </c>
      <c r="W143" s="83" t="n">
        <f aca="false">INDEX(in_sel_commission,1,C143)</f>
        <v>0.07</v>
      </c>
      <c r="X143" s="82" t="n">
        <f aca="false">1</f>
        <v>1</v>
      </c>
      <c r="Y143" s="85" t="n">
        <f aca="false">INDEX(cfg_u_3464,D143,C143)*O143</f>
        <v>19100</v>
      </c>
      <c r="Z143" s="85" t="n">
        <f aca="false">INDEX(cfg_u_3463,D143,C143)*O143</f>
        <v>19100</v>
      </c>
      <c r="AA143" s="85" t="n">
        <f aca="false">INDEX(cfg_u_3460,D143,C143)*O143</f>
        <v>19100</v>
      </c>
      <c r="AB143" s="85" t="n">
        <f aca="false">Y143+Z143+AA143</f>
        <v>57300</v>
      </c>
      <c r="AC143" s="86" t="n">
        <f aca="false">Y143*INDEX(lg_vpu_3464,C143)</f>
        <v>15.2860356</v>
      </c>
      <c r="AD143" s="86" t="n">
        <f aca="false">Z143*INDEX(lg_vpu_3463,C143)</f>
        <v>18.6999696</v>
      </c>
      <c r="AE143" s="86" t="n">
        <f aca="false">AA143*INDEX(lg_vpu_3460,C143)</f>
        <v>12.2159016</v>
      </c>
      <c r="AF143" s="86" t="n">
        <f aca="false">AC143+AD143+AE143</f>
        <v>46.2019068</v>
      </c>
      <c r="AG143" s="85" t="n">
        <f aca="false">Y143*INDEX(lg_kpu_3464,C143)+Z143*INDEX(lg_kpu_3463,C143)+AA143*INDEX(lg_kpu_3460,C143)</f>
        <v>11271.3298944</v>
      </c>
      <c r="AH143" s="87" t="n">
        <f aca="false">INDEX(in_sup_requote,1,C143)</f>
        <v>0.1</v>
      </c>
      <c r="AI143" s="88" t="n">
        <f aca="false">Y143*q_price_3464*(1+AH143)*J143/I143</f>
        <v>3641.32704858593</v>
      </c>
      <c r="AJ143" s="88" t="n">
        <f aca="false">Z143*q_price_3463*(1+AH143)*J143/I143</f>
        <v>3438.91018336269</v>
      </c>
      <c r="AK143" s="88" t="n">
        <f aca="false">AA143*q_price_3460*(1+AH143)*J143/I143</f>
        <v>3003.60509686108</v>
      </c>
      <c r="AL143" s="88" t="n">
        <f aca="false">AI143+AJ143+AK143</f>
        <v>10083.8423288097</v>
      </c>
      <c r="AM143" s="88" t="n">
        <f aca="false">IF(OR(K143=2,K143=3),AL143*INDEX(in_sup_vat_rate,1,C143),0)</f>
        <v>1411.73792603336</v>
      </c>
      <c r="AN143" s="88" t="n">
        <f aca="false">IF(K143=3,AM143,0)</f>
        <v>1411.73792603336</v>
      </c>
      <c r="AO143" s="88" t="n">
        <f aca="false">INDEX(in_sup_tooling_egp,1,C143)/I143</f>
        <v>517.973686936704</v>
      </c>
      <c r="AP143" s="88" t="n">
        <f aca="false">IF(F143=4,INDEX(in_ori_lcl_truck,1,C143)*V143/I143+INDEX(in_ori_lcl_cfs_o,1,C143),G143*(IF(F143=1,INDEX(in_ori_truck_20,1,C143),INDEX(in_ori_truck_40,1,C143))*V143/I143+INDEX(in_ori_terminal,1,C143)+IF(F143=1,INDEX(in_ori_othc_20,1,C143),INDEX(in_ori_othc_40,1,C143))*(1-INDEX(in_ori_othc_in_freight,1,C143))+INDEX(in_ori_seal,1,C143)+INDEX(in_ori_inspection,1,C143)+INDEX(in_ori_dd_days,1,C143)*IF(F143=1,INDEX(in_ori_dd_20,1,C143),INDEX(in_ori_dd_40,1,C143))+INDEX(in_ori_loading_egp,1,C143)/I143))</f>
        <v>882.378949549363</v>
      </c>
      <c r="AQ143" s="88" t="n">
        <f aca="false">(INDEX(in_ori_clearance,1,C143)+INDEX(in_ori_coo,1,C143))/I143+INDEX(in_ori_bl_fee,1,C143)+INDEX(in_ori_fwd_fee,1,C143)+INDEX(in_ori_qc,1,C143)+INDEX(in_ori_wires,1,C143)*INDEX(in_ori_wire_fee,1,C143)</f>
        <v>1167.90842225215</v>
      </c>
      <c r="AR143" s="88" t="n">
        <f aca="false">AP143+AQ143</f>
        <v>2050.28737180151</v>
      </c>
      <c r="AS143" s="85" t="n">
        <f aca="false">INDEX(tbl_port_diff,H143,C143)</f>
        <v>100</v>
      </c>
      <c r="AT143" s="88" t="n">
        <f aca="false">IF(F143=4,MAX(AF143*INDEX(in_oce_lcl_factor,1,C143),AG143/1000,1)*INDEX(in_oce_lcl_rate,1,C143)*M143,G143*(INDEX(tbl_ocean_rate,MIN(F143,3),C143)+AS143)*M143)</f>
        <v>5000</v>
      </c>
      <c r="AU143" s="88" t="n">
        <f aca="false">AT143+INDEX(in_oce_ams,1,C143)</f>
        <v>5045</v>
      </c>
      <c r="AV143" s="88" t="n">
        <f aca="false">AI143*(1+IF(K143=3,INDEX(in_sup_vat_rate,1,C143),0))+AO143*Y143/AB143</f>
        <v>4323.77073103353</v>
      </c>
      <c r="AW143" s="88" t="n">
        <f aca="false">AJ143*(1+IF(K143=3,INDEX(in_sup_vat_rate,1,C143),0))+AO143*Z143/AB143</f>
        <v>4093.01550467903</v>
      </c>
      <c r="AX143" s="88" t="n">
        <f aca="false">AK143*(1+IF(K143=3,INDEX(in_sup_vat_rate,1,C143),0))+AO143*AA143/AB143</f>
        <v>3596.7677060672</v>
      </c>
      <c r="AY143" s="88" t="n">
        <f aca="false">AV143+AW143+AX143</f>
        <v>12013.5539417798</v>
      </c>
      <c r="AZ143" s="88" t="n">
        <f aca="false">MAX(INDEX(in_oce_ins_min,1,C143),INDEX(in_oce_ins_rate,1,C143)*(1+INDEX(in_oce_ins_uplift,1,C143))*(AL143+AO143+AR143+AU143))*(1-INDEX(in_oce_ins_in_other,1,C143))</f>
        <v>100</v>
      </c>
      <c r="BA143" s="87" t="n">
        <f aca="false">INDEX(in_cus_mfn,1,C143)+L143</f>
        <v>0.125</v>
      </c>
      <c r="BB143" s="88" t="n">
        <f aca="false">AY143*BA143</f>
        <v>1501.69424272247</v>
      </c>
      <c r="BC143" s="88" t="n">
        <f aca="false">MIN(MAX(AY143*INDEX(in_cus_mpf_rate,1,C143),INDEX(in_cus_mpf_min,1,C143)),INDEX(in_cus_mpf_max,1,C143))</f>
        <v>41.6149508543251</v>
      </c>
      <c r="BD143" s="88" t="n">
        <f aca="false">AY143*INDEX(in_cus_hmf,1,C143)</f>
        <v>15.0169424272247</v>
      </c>
      <c r="BE143" s="88" t="n">
        <f aca="false">MAX(INDEX(in_cus_stb_min,1,C143),INDEX(in_cus_stb_rate,1,C143)/1000*(AY143+BB143+BC143+BD143))</f>
        <v>95.0031605444865</v>
      </c>
      <c r="BF143" s="88" t="n">
        <f aca="false">INDEX(in_cus_broker,1,C143)+INDEX(in_cus_isf,1,C143)+INDEX(in_cus_do_fee,1,C143)+BE143+INDEX(in_cus_isf_bond,1,C143)</f>
        <v>720.003160544487</v>
      </c>
      <c r="BG143" s="88" t="n">
        <f aca="false">IF(H143=1,INDEX(in_cus_cfc,1,C143)*INDEX(ct_teu,F143)*G143*(1-INDEX(in_cus_cfc_in_freight,1,C143)),0)</f>
        <v>0</v>
      </c>
      <c r="BH143" s="88" t="n">
        <f aca="false">IF(F143=4,1,G143)*(INDEX(in_cus_exam,1,C143)+INDEX(in_cus_exam_dray,1,C143))</f>
        <v>600</v>
      </c>
      <c r="BI143" s="88" t="n">
        <f aca="false">IF(F143=4,1,G143)*INDEX(in_cus_dem_days,1,C143)*INDEX(in_cus_dem_rate,1,C143)</f>
        <v>750</v>
      </c>
      <c r="BJ143" s="88" t="n">
        <f aca="false">BG143+BH143+BI143</f>
        <v>1350</v>
      </c>
      <c r="BK143" s="88" t="n">
        <f aca="false">IF(F143=4,(INDEX(in_dra_lcl_cfs_d,1,C143)+INDEX(in_dra_lcl_deliv,1,C143))*P143,G143*(INDEX(tbl_dest_line,E143,C143)*P143*(1+INDEX(in_dra_fsc,1,C143))+INDEX(tbl_dest_tolls,E143,C143)+INDEX(in_dra_chassis_days,1,C143)*INDEX(tbl_dest_chassis,E143,C143)*(1-INDEX(in_dra_chassis_in_dray,1,C143))+INDEX(in_dra_wait_hours,1,C143)*INDEX(in_dra_wait_rate,1,C143)+INDEX(in_dra_split,1,C143)+INDEX(in_dra_prepull,1,C143)+INDEX(in_dra_dryrun,1,C143)))</f>
        <v>2850</v>
      </c>
      <c r="BL143" s="88" t="n">
        <f aca="false">IF(F143=4,0,G143*IF(F143=1,INDEX(in_dra_unload_20,1,C143),INDEX(in_dra_unload_40,1,C143))*Q143*(1-INDEX(in_dra_unload_in_dray,1,C143)))</f>
        <v>650</v>
      </c>
      <c r="BM143" s="88" t="n">
        <f aca="false">AL143+AN143+AO143+AR143+AU143+AZ143+BB143+BC143+BD143+BF143+BJ143+BK143+BL143</f>
        <v>26337.1706101298</v>
      </c>
      <c r="BN143" s="88" t="n">
        <f aca="false">AP143+AU143+BJ143+BK143+BL143</f>
        <v>10777.3789495494</v>
      </c>
      <c r="BO143" s="88" t="n">
        <f aca="false">AQ143+BF143</f>
        <v>1887.91158279664</v>
      </c>
      <c r="BP143" s="88" t="n">
        <f aca="false">AI143*(1+IF(K143=3,INDEX(in_sup_vat_rate,1,C143),0))+AO143*Y143/AB143+AV143*BA143+(BC143+BD143)*AV143/AY143+AZ143*AI143/AL143+BN143*AC143/AF143+BO143*Y143/AB143</f>
        <v>9115.76595485396</v>
      </c>
      <c r="BQ143" s="88" t="n">
        <f aca="false">AJ143*(1+IF(K143=3,INDEX(in_sup_vat_rate,1,C143),0))+AO143*Z143/AB143+AW143*BA143+(BC143+BD143)*AW143/AY143+AZ143*AJ143/AL143+BN143*AD143/AF143+BO143*Z143/AB143</f>
        <v>9649.42925686997</v>
      </c>
      <c r="BR143" s="88" t="n">
        <f aca="false">AK143*(1+IF(K143=3,INDEX(in_sup_vat_rate,1,C143),0))+AO143*AA143/AB143+AX143*BA143+(BC143+BD143)*AX143/AY143+AZ143*AK143/AL143+BN143*AE143/AF143+BO143*AA143/AB143</f>
        <v>7571.97539840585</v>
      </c>
      <c r="BS143" s="89" t="n">
        <f aca="false">BP143+BQ143+BR143-BM143</f>
        <v>0</v>
      </c>
      <c r="BT143" s="85" t="n">
        <f aca="false">Y143*(1-R143)</f>
        <v>18336</v>
      </c>
      <c r="BU143" s="85" t="n">
        <f aca="false">Z143*(1-R143)</f>
        <v>18336</v>
      </c>
      <c r="BV143" s="85" t="n">
        <f aca="false">AA143*(1-R143)</f>
        <v>18336</v>
      </c>
      <c r="BW143" s="85" t="n">
        <f aca="false">BT143+BU143+BV143</f>
        <v>55008</v>
      </c>
      <c r="BX143" s="90" t="n">
        <f aca="false">IF(BT143&gt;0,BP143/BT143,0)</f>
        <v>0.497151284623362</v>
      </c>
      <c r="BY143" s="90" t="n">
        <f aca="false">IF(BU143&gt;0,BQ143/BU143,0)</f>
        <v>0.526255958598929</v>
      </c>
      <c r="BZ143" s="90" t="n">
        <f aca="false">IF(BV143&gt;0,BR143/BV143,0)</f>
        <v>0.412956773473268</v>
      </c>
      <c r="CA143" s="90" t="n">
        <f aca="false">INDEX(in_mkt_listing_3464,1,C143)*(1-IF(sku_flute_3464="B",T143,0))*(1-S143)*N143</f>
        <v>0.1995</v>
      </c>
      <c r="CB143" s="90" t="n">
        <f aca="false">INDEX(in_mkt_listing_3463,1,C143)*(1-IF(sku_flute_3463="B",T143,0))*(1-S143)*N143</f>
        <v>0.23625</v>
      </c>
      <c r="CC143" s="90" t="n">
        <f aca="false">INDEX(in_mkt_listing_3460,1,C143)*(1-IF(sku_flute_3460="B",T143,0))*(1-S143)*N143</f>
        <v>0.21</v>
      </c>
      <c r="CD143" s="88" t="n">
        <f aca="false">BT143*CA143+BU143*CB143+BV143*CC143</f>
        <v>11840.472</v>
      </c>
      <c r="CE143" s="88" t="n">
        <f aca="false">CD143-BM143</f>
        <v>-14496.6986101298</v>
      </c>
      <c r="CF143" s="87" t="n">
        <f aca="false">IF(CD143&gt;0,CE143/CD143,0)</f>
        <v>-1.22433452062804</v>
      </c>
      <c r="CG143" s="87" t="n">
        <f aca="false">W143+INDEX(in_sel_processing,1,C143)+INDEX(in_sel_bad_debt,1,C143)</f>
        <v>0.095</v>
      </c>
      <c r="CH143" s="88" t="n">
        <f aca="false">CD143*CG143</f>
        <v>1124.84484</v>
      </c>
      <c r="CI143" s="88" t="n">
        <f aca="false">INDEX(in_sel_testing,1,C143)*X143+INDEX(in_sel_admin,1,C143)</f>
        <v>4750</v>
      </c>
      <c r="CJ143" s="79" t="n">
        <f aca="false">INDEX(in_sup_lead_days,1,C143)</f>
        <v>35</v>
      </c>
      <c r="CK143" s="79" t="n">
        <f aca="false">CJ143+INDEX(in_oce_transit,1,C143)+IF(F143=4,INDEX(in_oce_lcl_extra_days,1,C143),0)</f>
        <v>73</v>
      </c>
      <c r="CL143" s="79" t="n">
        <f aca="false">CK143+2+INDEX(in_cus_dem_days,1,C143)</f>
        <v>78</v>
      </c>
      <c r="CM143" s="79" t="n">
        <f aca="false">CL143+U143</f>
        <v>138</v>
      </c>
      <c r="CN143" s="79" t="n">
        <f aca="false">CJ143+INDEX(in_sup_vat_lag,1,C143)</f>
        <v>215</v>
      </c>
      <c r="CO143" s="91" t="n">
        <f aca="false">INDEX(in_sup_advance,1,C143)</f>
        <v>0.5</v>
      </c>
      <c r="CP143" s="88" t="n">
        <f aca="false">CO143*(AL143+AM143)+AO143+INDEX(in_sel_testing,1,C143)*X143</f>
        <v>10265.7638143582</v>
      </c>
      <c r="CQ143" s="88" t="n">
        <f aca="false">(1-CO143)*(AL143+AM143)+AR143+AU143+AZ143</f>
        <v>12943.077499223</v>
      </c>
      <c r="CR143" s="88" t="n">
        <f aca="false">BB143+BC143+BD143+BF143+BJ143</f>
        <v>3628.32929654851</v>
      </c>
      <c r="CS143" s="88" t="n">
        <f aca="false">BK143+BL143</f>
        <v>3500</v>
      </c>
      <c r="CT143" s="88" t="n">
        <f aca="false">IF(K143=2,AM143,0)</f>
        <v>0</v>
      </c>
      <c r="CU143" s="85" t="n">
        <f aca="false">IF(K143=2,CO143*AM143*(CN143-0)+(1-CO143)*AM143*(CN143-CJ143),0)</f>
        <v>0</v>
      </c>
      <c r="CV143" s="85" t="n">
        <f aca="false">(CP143-CO143*CT143)*(CM143-0)+(CQ143-(1-CO143)*CT143)*(CM143-CJ143)+CR143*(CM143-CK143)+CS143*(CM143-CL143)</f>
        <v>3195653.79307706</v>
      </c>
      <c r="CW143" s="88" t="n">
        <f aca="false">INDEX(in_sel_fin_rate,1,C143)/365*(CU143+CV143)</f>
        <v>1225.73022200216</v>
      </c>
      <c r="CX143" s="85" t="n">
        <f aca="false">CP143-IF(CN143&lt;=0,CT143,0)</f>
        <v>10265.7638143582</v>
      </c>
      <c r="CY143" s="85" t="n">
        <f aca="false">CP143+CQ143-IF(CN143&lt;=CJ143,CT143,0)</f>
        <v>23208.8413135813</v>
      </c>
      <c r="CZ143" s="85" t="n">
        <f aca="false">CP143+CQ143+CR143-IF(CN143&lt;=CK143,CT143,0)</f>
        <v>26837.1706101298</v>
      </c>
      <c r="DA143" s="85" t="n">
        <f aca="false">CP143+CQ143+CR143+CS143-IF(CN143&lt;=CL143,CT143,0)</f>
        <v>30337.1706101298</v>
      </c>
      <c r="DB143" s="88" t="n">
        <f aca="false">MAX(CX143,CY143,CZ143,DA143)</f>
        <v>30337.1706101298</v>
      </c>
      <c r="DC143" s="88" t="n">
        <f aca="false">CP143+CQ143+CR143+CS143</f>
        <v>30337.1706101298</v>
      </c>
      <c r="DD143" s="88" t="n">
        <f aca="false">CE143-CH143-CI143-CW143</f>
        <v>-21597.2736721319</v>
      </c>
      <c r="DE143" s="87" t="n">
        <f aca="false">IF(CD143&gt;0,DD143/CD143,0)</f>
        <v>-1.82402134578182</v>
      </c>
      <c r="DF143" s="86" t="n">
        <f aca="false">IF(CD143&gt;0,(BM143+CI143+CW143)/(CD143*(1-CG143)),0)</f>
        <v>3.01549319975892</v>
      </c>
      <c r="DG143" s="90" t="n">
        <f aca="false">IF(BW143&gt;0,BM143/BW143,0)</f>
        <v>0.478788005565186</v>
      </c>
      <c r="DH143" s="90" t="n">
        <f aca="false">IF(BW143&gt;0,CD143/BW143,0)</f>
        <v>0.21525</v>
      </c>
      <c r="DI143" s="90" t="n">
        <f aca="false">IF(AI143&gt;0,(AI143*IF(K143=3,INDEX(in_sup_vat_rate,1,C143),0)+AV143*BA143+(BC143+BD143)*AV143/AY143+AZ143*AI143/AL143)/AI143,0)</f>
        <v>0.30394135989095</v>
      </c>
      <c r="DJ143" s="90" t="n">
        <f aca="false">IF(AJ143&gt;0,(AJ143*IF(K143=3,INDEX(in_sup_vat_rate,1,C143),0)+AW143*BA143+(BC143+BD143)*AW143/AY143+AZ143*AJ143/AL143)/AJ143,0)</f>
        <v>0.304303385647476</v>
      </c>
      <c r="DK143" s="90" t="n">
        <f aca="false">IF(AK143&gt;0,(AK143*IF(K143=3,INDEX(in_sup_vat_rate,1,C143),0)+AX143*BA143+(BC143+BD143)*AX143/AY143+AZ143*AK143/AL143)/AK143,0)</f>
        <v>0.305247236497824</v>
      </c>
      <c r="DL143" s="90" t="n">
        <f aca="false">IF(Y143&gt;0,(BP143-AI143*(1+DI143))/Y143,0)</f>
        <v>0.228674817346237</v>
      </c>
      <c r="DM143" s="90" t="n">
        <f aca="false">IF(Z143&gt;0,(BQ143-AJ143*(1+DJ143))/Z143,0)</f>
        <v>0.27036895611374</v>
      </c>
      <c r="DN143" s="90" t="n">
        <f aca="false">IF(AA143&gt;0,(BR143-AK143*(1+DK143))/AA143,0)</f>
        <v>0.191179484094091</v>
      </c>
      <c r="DO143" s="86" t="n">
        <f aca="false">IF(Y143&gt;0,(CA143*(1-thr_gm_go)*(1-R143)-DL143)/(1+DI143)*I143/((1+AH143)*J143),"")</f>
        <v>-2.86139851590158</v>
      </c>
      <c r="DP143" s="86" t="n">
        <f aca="false">IF(Z143&gt;0,(CB143*(1-thr_gm_go)*(1-R143)-DM143)/(1+DJ143)*I143/((1+AH143)*J143),"")</f>
        <v>-3.37308664678311</v>
      </c>
      <c r="DQ143" s="86" t="n">
        <f aca="false">IF(AA143&gt;0,(CC143*(1-thr_gm_go)*(1-R143)-DN143)/(1+DK143)*I143/((1+AH143)*J143),"")</f>
        <v>-1.34395283747075</v>
      </c>
      <c r="DR143" s="92" t="n">
        <f aca="false">IF(AND(AY143*INDEX(in_cus_mpf_rate,1,C143)&gt;INDEX(in_cus_mpf_min,1,C143),AY143*INDEX(in_cus_mpf_rate,1,C143)&lt;INDEX(in_cus_mpf_max,1,C143)),INDEX(in_cus_mpf_rate,1,C143),0)</f>
        <v>0.003464</v>
      </c>
      <c r="DS143" s="88" t="n">
        <f aca="false">IF(AZ143&gt;INDEX(in_oce_ins_min,1,C143),INDEX(in_oce_ins_rate,1,C143)*(1+INDEX(in_oce_ins_uplift,1,C143))*AL143,0)</f>
        <v>0</v>
      </c>
      <c r="DT143" s="88" t="n">
        <f aca="false">(AL143+AN143)*(1+BA143+INDEX(in_cus_hmf,1,C143)+DR143)+DS143</f>
        <v>12986.7179520198</v>
      </c>
      <c r="DU143" s="86" t="n">
        <f aca="false">IF(DT143&gt;0,(CD143*(1-thr_gm_go)-(BM143-DT143))/DT143,0)</f>
        <v>-0.344205416227955</v>
      </c>
      <c r="DV143" s="86" t="n">
        <f aca="false">IF(DT143&gt;0,(CD143-(BM143-DT143))/DT143,0)</f>
        <v>-0.116271152086981</v>
      </c>
      <c r="DW143" s="87" t="n">
        <f aca="false">(1+AH143)*J143*DU143-1</f>
        <v>-1.37862595785075</v>
      </c>
      <c r="DX143" s="87" t="n">
        <f aca="false">(1+AH143)*J143*DV143-1</f>
        <v>-1.12789826729568</v>
      </c>
      <c r="DY143" s="85" t="n">
        <f aca="false">IF(G143&gt;0,(CD143*(1-thr_gm_go)-(BM143-AT143))/G143,"")</f>
        <v>-12456.8166101298</v>
      </c>
      <c r="DZ143" s="90" t="n">
        <f aca="false">IF(AB143&gt;0,(AL143+AN143+BB143+BC143+BD143)/AB143,0)</f>
        <v>0.227816865459809</v>
      </c>
      <c r="EA143" s="88" t="n">
        <f aca="false">BM143-DZ143*AB143</f>
        <v>13283.2642192827</v>
      </c>
      <c r="EB143" s="90" t="n">
        <f aca="false">IF(AB143&gt;0,CD143/AB143,0)</f>
        <v>0.20664</v>
      </c>
      <c r="EC143" s="85" t="str">
        <f aca="false">IF(EB143*(1-thr_gm_go)-DZ143&gt;0,EA143/(EB143*(1-thr_gm_go)-DZ143),"n/a")</f>
        <v>n/a</v>
      </c>
      <c r="ED143" s="85" t="str">
        <f aca="false">IF(EB143-DZ143&gt;0,EA143/(EB143-DZ143),"n/a")</f>
        <v>n/a</v>
      </c>
      <c r="EE143" s="93" t="b">
        <f aca="false">INDEX(cfg_fits,D143,C143)</f>
        <v>1</v>
      </c>
      <c r="EF143" s="87" t="n">
        <f aca="false">IF(F143=4,"",INDEX(cfg_lenutil,D143,C143))</f>
        <v>0.999580888516345</v>
      </c>
      <c r="EG143" s="31" t="str">
        <f aca="false">IF(O143&gt;1,"Check fit (units scaled up)","")</f>
        <v/>
      </c>
    </row>
    <row r="144" customFormat="false" ht="15" hidden="false" customHeight="false" outlineLevel="0" collapsed="false">
      <c r="A144" s="78" t="n">
        <v>3085</v>
      </c>
      <c r="B144" s="9" t="s">
        <v>3292</v>
      </c>
      <c r="C144" s="78" t="n">
        <v>3</v>
      </c>
      <c r="D144" s="78" t="n">
        <v>8</v>
      </c>
      <c r="E144" s="78" t="n">
        <v>5</v>
      </c>
      <c r="F144" s="79" t="n">
        <f aca="false">INDEX(cfg_ct,D144)</f>
        <v>2</v>
      </c>
      <c r="G144" s="79" t="n">
        <f aca="false">INDEX(cfg_n,D144)</f>
        <v>1</v>
      </c>
      <c r="H144" s="79" t="n">
        <f aca="false">INDEX(dest_port,E144)</f>
        <v>4</v>
      </c>
      <c r="I144" s="80" t="n">
        <f aca="false">INDEX(in_fx_cbe,1,C144)*(1-INDEX(in_fx_spread,1,C144))</f>
        <v>48.265</v>
      </c>
      <c r="J144" s="81" t="n">
        <f aca="false">1</f>
        <v>1</v>
      </c>
      <c r="K144" s="82" t="n">
        <f aca="false">INDEX(in_sup_vat_mode,1,C144)</f>
        <v>3</v>
      </c>
      <c r="L144" s="83" t="n">
        <f aca="false">INDEX(in_cus_s301,1,C144)</f>
        <v>0.125</v>
      </c>
      <c r="M144" s="84" t="n">
        <f aca="false">1</f>
        <v>1</v>
      </c>
      <c r="N144" s="81" t="n">
        <f aca="false">1</f>
        <v>1</v>
      </c>
      <c r="O144" s="81" t="n">
        <f aca="false">1</f>
        <v>1</v>
      </c>
      <c r="P144" s="81" t="n">
        <f aca="false">1</f>
        <v>1</v>
      </c>
      <c r="Q144" s="81" t="n">
        <f aca="false">1</f>
        <v>1</v>
      </c>
      <c r="R144" s="83" t="n">
        <f aca="false">INDEX(in_sel_damage,1,C144)</f>
        <v>0.04</v>
      </c>
      <c r="S144" s="83" t="n">
        <f aca="false">INDEX(in_mkt_dist_margin,1,C144)</f>
        <v>0.3</v>
      </c>
      <c r="T144" s="83" t="n">
        <f aca="false">INDEX(in_mkt_eflute_disc,1,C144)</f>
        <v>0.25</v>
      </c>
      <c r="U144" s="82" t="n">
        <f aca="false">INDEX(in_sel_credit_days,1,C144)</f>
        <v>60</v>
      </c>
      <c r="V144" s="81" t="n">
        <f aca="false">1</f>
        <v>1</v>
      </c>
      <c r="W144" s="83" t="n">
        <f aca="false">INDEX(in_sel_commission,1,C144)</f>
        <v>0.07</v>
      </c>
      <c r="X144" s="82" t="n">
        <f aca="false">1</f>
        <v>1</v>
      </c>
      <c r="Y144" s="85" t="n">
        <f aca="false">INDEX(cfg_u_3464,D144,C144)*O144</f>
        <v>19100</v>
      </c>
      <c r="Z144" s="85" t="n">
        <f aca="false">INDEX(cfg_u_3463,D144,C144)*O144</f>
        <v>19100</v>
      </c>
      <c r="AA144" s="85" t="n">
        <f aca="false">INDEX(cfg_u_3460,D144,C144)*O144</f>
        <v>19100</v>
      </c>
      <c r="AB144" s="85" t="n">
        <f aca="false">Y144+Z144+AA144</f>
        <v>57300</v>
      </c>
      <c r="AC144" s="86" t="n">
        <f aca="false">Y144*INDEX(lg_vpu_3464,C144)</f>
        <v>15.2860356</v>
      </c>
      <c r="AD144" s="86" t="n">
        <f aca="false">Z144*INDEX(lg_vpu_3463,C144)</f>
        <v>18.6999696</v>
      </c>
      <c r="AE144" s="86" t="n">
        <f aca="false">AA144*INDEX(lg_vpu_3460,C144)</f>
        <v>12.2159016</v>
      </c>
      <c r="AF144" s="86" t="n">
        <f aca="false">AC144+AD144+AE144</f>
        <v>46.2019068</v>
      </c>
      <c r="AG144" s="85" t="n">
        <f aca="false">Y144*INDEX(lg_kpu_3464,C144)+Z144*INDEX(lg_kpu_3463,C144)+AA144*INDEX(lg_kpu_3460,C144)</f>
        <v>11271.3298944</v>
      </c>
      <c r="AH144" s="87" t="n">
        <f aca="false">INDEX(in_sup_requote,1,C144)</f>
        <v>0.1</v>
      </c>
      <c r="AI144" s="88" t="n">
        <f aca="false">Y144*q_price_3464*(1+AH144)*J144/I144</f>
        <v>3641.32704858593</v>
      </c>
      <c r="AJ144" s="88" t="n">
        <f aca="false">Z144*q_price_3463*(1+AH144)*J144/I144</f>
        <v>3438.91018336269</v>
      </c>
      <c r="AK144" s="88" t="n">
        <f aca="false">AA144*q_price_3460*(1+AH144)*J144/I144</f>
        <v>3003.60509686108</v>
      </c>
      <c r="AL144" s="88" t="n">
        <f aca="false">AI144+AJ144+AK144</f>
        <v>10083.8423288097</v>
      </c>
      <c r="AM144" s="88" t="n">
        <f aca="false">IF(OR(K144=2,K144=3),AL144*INDEX(in_sup_vat_rate,1,C144),0)</f>
        <v>1411.73792603336</v>
      </c>
      <c r="AN144" s="88" t="n">
        <f aca="false">IF(K144=3,AM144,0)</f>
        <v>1411.73792603336</v>
      </c>
      <c r="AO144" s="88" t="n">
        <f aca="false">INDEX(in_sup_tooling_egp,1,C144)/I144</f>
        <v>517.973686936704</v>
      </c>
      <c r="AP144" s="88" t="n">
        <f aca="false">IF(F144=4,INDEX(in_ori_lcl_truck,1,C144)*V144/I144+INDEX(in_ori_lcl_cfs_o,1,C144),G144*(IF(F144=1,INDEX(in_ori_truck_20,1,C144),INDEX(in_ori_truck_40,1,C144))*V144/I144+INDEX(in_ori_terminal,1,C144)+IF(F144=1,INDEX(in_ori_othc_20,1,C144),INDEX(in_ori_othc_40,1,C144))*(1-INDEX(in_ori_othc_in_freight,1,C144))+INDEX(in_ori_seal,1,C144)+INDEX(in_ori_inspection,1,C144)+INDEX(in_ori_dd_days,1,C144)*IF(F144=1,INDEX(in_ori_dd_20,1,C144),INDEX(in_ori_dd_40,1,C144))+INDEX(in_ori_loading_egp,1,C144)/I144))</f>
        <v>882.378949549363</v>
      </c>
      <c r="AQ144" s="88" t="n">
        <f aca="false">(INDEX(in_ori_clearance,1,C144)+INDEX(in_ori_coo,1,C144))/I144+INDEX(in_ori_bl_fee,1,C144)+INDEX(in_ori_fwd_fee,1,C144)+INDEX(in_ori_qc,1,C144)+INDEX(in_ori_wires,1,C144)*INDEX(in_ori_wire_fee,1,C144)</f>
        <v>1167.90842225215</v>
      </c>
      <c r="AR144" s="88" t="n">
        <f aca="false">AP144+AQ144</f>
        <v>2050.28737180151</v>
      </c>
      <c r="AS144" s="85" t="n">
        <f aca="false">INDEX(tbl_port_diff,H144,C144)</f>
        <v>200</v>
      </c>
      <c r="AT144" s="88" t="n">
        <f aca="false">IF(F144=4,MAX(AF144*INDEX(in_oce_lcl_factor,1,C144),AG144/1000,1)*INDEX(in_oce_lcl_rate,1,C144)*M144,G144*(INDEX(tbl_ocean_rate,MIN(F144,3),C144)+AS144)*M144)</f>
        <v>5100</v>
      </c>
      <c r="AU144" s="88" t="n">
        <f aca="false">AT144+INDEX(in_oce_ams,1,C144)</f>
        <v>5145</v>
      </c>
      <c r="AV144" s="88" t="n">
        <f aca="false">AI144*(1+IF(K144=3,INDEX(in_sup_vat_rate,1,C144),0))+AO144*Y144/AB144</f>
        <v>4323.77073103353</v>
      </c>
      <c r="AW144" s="88" t="n">
        <f aca="false">AJ144*(1+IF(K144=3,INDEX(in_sup_vat_rate,1,C144),0))+AO144*Z144/AB144</f>
        <v>4093.01550467903</v>
      </c>
      <c r="AX144" s="88" t="n">
        <f aca="false">AK144*(1+IF(K144=3,INDEX(in_sup_vat_rate,1,C144),0))+AO144*AA144/AB144</f>
        <v>3596.7677060672</v>
      </c>
      <c r="AY144" s="88" t="n">
        <f aca="false">AV144+AW144+AX144</f>
        <v>12013.5539417798</v>
      </c>
      <c r="AZ144" s="88" t="n">
        <f aca="false">MAX(INDEX(in_oce_ins_min,1,C144),INDEX(in_oce_ins_rate,1,C144)*(1+INDEX(in_oce_ins_uplift,1,C144))*(AL144+AO144+AR144+AU144))*(1-INDEX(in_oce_ins_in_other,1,C144))</f>
        <v>100</v>
      </c>
      <c r="BA144" s="87" t="n">
        <f aca="false">INDEX(in_cus_mfn,1,C144)+L144</f>
        <v>0.125</v>
      </c>
      <c r="BB144" s="88" t="n">
        <f aca="false">AY144*BA144</f>
        <v>1501.69424272247</v>
      </c>
      <c r="BC144" s="88" t="n">
        <f aca="false">MIN(MAX(AY144*INDEX(in_cus_mpf_rate,1,C144),INDEX(in_cus_mpf_min,1,C144)),INDEX(in_cus_mpf_max,1,C144))</f>
        <v>41.6149508543251</v>
      </c>
      <c r="BD144" s="88" t="n">
        <f aca="false">AY144*INDEX(in_cus_hmf,1,C144)</f>
        <v>15.0169424272247</v>
      </c>
      <c r="BE144" s="88" t="n">
        <f aca="false">MAX(INDEX(in_cus_stb_min,1,C144),INDEX(in_cus_stb_rate,1,C144)/1000*(AY144+BB144+BC144+BD144))</f>
        <v>95.0031605444865</v>
      </c>
      <c r="BF144" s="88" t="n">
        <f aca="false">INDEX(in_cus_broker,1,C144)+INDEX(in_cus_isf,1,C144)+INDEX(in_cus_do_fee,1,C144)+BE144+INDEX(in_cus_isf_bond,1,C144)</f>
        <v>720.003160544487</v>
      </c>
      <c r="BG144" s="88" t="n">
        <f aca="false">IF(H144=1,INDEX(in_cus_cfc,1,C144)*INDEX(ct_teu,F144)*G144*(1-INDEX(in_cus_cfc_in_freight,1,C144)),0)</f>
        <v>0</v>
      </c>
      <c r="BH144" s="88" t="n">
        <f aca="false">IF(F144=4,1,G144)*(INDEX(in_cus_exam,1,C144)+INDEX(in_cus_exam_dray,1,C144))</f>
        <v>600</v>
      </c>
      <c r="BI144" s="88" t="n">
        <f aca="false">IF(F144=4,1,G144)*INDEX(in_cus_dem_days,1,C144)*INDEX(in_cus_dem_rate,1,C144)</f>
        <v>750</v>
      </c>
      <c r="BJ144" s="88" t="n">
        <f aca="false">BG144+BH144+BI144</f>
        <v>1350</v>
      </c>
      <c r="BK144" s="88" t="n">
        <f aca="false">IF(F144=4,(INDEX(in_dra_lcl_cfs_d,1,C144)+INDEX(in_dra_lcl_deliv,1,C144))*P144,G144*(INDEX(tbl_dest_line,E144,C144)*P144*(1+INDEX(in_dra_fsc,1,C144))+INDEX(tbl_dest_tolls,E144,C144)+INDEX(in_dra_chassis_days,1,C144)*INDEX(tbl_dest_chassis,E144,C144)*(1-INDEX(in_dra_chassis_in_dray,1,C144))+INDEX(in_dra_wait_hours,1,C144)*INDEX(in_dra_wait_rate,1,C144)+INDEX(in_dra_split,1,C144)+INDEX(in_dra_prepull,1,C144)+INDEX(in_dra_dryrun,1,C144)))</f>
        <v>3465</v>
      </c>
      <c r="BL144" s="88" t="n">
        <f aca="false">IF(F144=4,0,G144*IF(F144=1,INDEX(in_dra_unload_20,1,C144),INDEX(in_dra_unload_40,1,C144))*Q144*(1-INDEX(in_dra_unload_in_dray,1,C144)))</f>
        <v>650</v>
      </c>
      <c r="BM144" s="88" t="n">
        <f aca="false">AL144+AN144+AO144+AR144+AU144+AZ144+BB144+BC144+BD144+BF144+BJ144+BK144+BL144</f>
        <v>27052.1706101298</v>
      </c>
      <c r="BN144" s="88" t="n">
        <f aca="false">AP144+AU144+BJ144+BK144+BL144</f>
        <v>11492.3789495494</v>
      </c>
      <c r="BO144" s="88" t="n">
        <f aca="false">AQ144+BF144</f>
        <v>1887.91158279664</v>
      </c>
      <c r="BP144" s="88" t="n">
        <f aca="false">AI144*(1+IF(K144=3,INDEX(in_sup_vat_rate,1,C144),0))+AO144*Y144/AB144+AV144*BA144+(BC144+BD144)*AV144/AY144+AZ144*AI144/AL144+BN144*AC144/AF144+BO144*Y144/AB144</f>
        <v>9352.32578995583</v>
      </c>
      <c r="BQ144" s="88" t="n">
        <f aca="false">AJ144*(1+IF(K144=3,INDEX(in_sup_vat_rate,1,C144),0))+AO144*Z144/AB144+AW144*BA144+(BC144+BD144)*AW144/AY144+AZ144*AJ144/AL144+BN144*AD144/AF144+BO144*Z144/AB144</f>
        <v>9938.82160428711</v>
      </c>
      <c r="BR144" s="88" t="n">
        <f aca="false">AK144*(1+IF(K144=3,INDEX(in_sup_vat_rate,1,C144),0))+AO144*AA144/AB144+AX144*BA144+(BC144+BD144)*AX144/AY144+AZ144*AK144/AL144+BN144*AE144/AF144+BO144*AA144/AB144</f>
        <v>7761.02321588684</v>
      </c>
      <c r="BS144" s="89" t="n">
        <f aca="false">BP144+BQ144+BR144-BM144</f>
        <v>0</v>
      </c>
      <c r="BT144" s="85" t="n">
        <f aca="false">Y144*(1-R144)</f>
        <v>18336</v>
      </c>
      <c r="BU144" s="85" t="n">
        <f aca="false">Z144*(1-R144)</f>
        <v>18336</v>
      </c>
      <c r="BV144" s="85" t="n">
        <f aca="false">AA144*(1-R144)</f>
        <v>18336</v>
      </c>
      <c r="BW144" s="85" t="n">
        <f aca="false">BT144+BU144+BV144</f>
        <v>55008</v>
      </c>
      <c r="BX144" s="90" t="n">
        <f aca="false">IF(BT144&gt;0,BP144/BT144,0)</f>
        <v>0.510052671790785</v>
      </c>
      <c r="BY144" s="90" t="n">
        <f aca="false">IF(BU144&gt;0,BQ144/BU144,0)</f>
        <v>0.542038700059288</v>
      </c>
      <c r="BZ144" s="90" t="n">
        <f aca="false">IF(BV144&gt;0,BR144/BV144,0)</f>
        <v>0.423266972943217</v>
      </c>
      <c r="CA144" s="90" t="n">
        <f aca="false">INDEX(in_mkt_listing_3464,1,C144)*(1-IF(sku_flute_3464="B",T144,0))*(1-S144)*N144</f>
        <v>0.1995</v>
      </c>
      <c r="CB144" s="90" t="n">
        <f aca="false">INDEX(in_mkt_listing_3463,1,C144)*(1-IF(sku_flute_3463="B",T144,0))*(1-S144)*N144</f>
        <v>0.23625</v>
      </c>
      <c r="CC144" s="90" t="n">
        <f aca="false">INDEX(in_mkt_listing_3460,1,C144)*(1-IF(sku_flute_3460="B",T144,0))*(1-S144)*N144</f>
        <v>0.21</v>
      </c>
      <c r="CD144" s="88" t="n">
        <f aca="false">BT144*CA144+BU144*CB144+BV144*CC144</f>
        <v>11840.472</v>
      </c>
      <c r="CE144" s="88" t="n">
        <f aca="false">CD144-BM144</f>
        <v>-15211.6986101298</v>
      </c>
      <c r="CF144" s="87" t="n">
        <f aca="false">IF(CD144&gt;0,CE144/CD144,0)</f>
        <v>-1.28472062685759</v>
      </c>
      <c r="CG144" s="87" t="n">
        <f aca="false">W144+INDEX(in_sel_processing,1,C144)+INDEX(in_sel_bad_debt,1,C144)</f>
        <v>0.095</v>
      </c>
      <c r="CH144" s="88" t="n">
        <f aca="false">CD144*CG144</f>
        <v>1124.84484</v>
      </c>
      <c r="CI144" s="88" t="n">
        <f aca="false">INDEX(in_sel_testing,1,C144)*X144+INDEX(in_sel_admin,1,C144)</f>
        <v>4750</v>
      </c>
      <c r="CJ144" s="79" t="n">
        <f aca="false">INDEX(in_sup_lead_days,1,C144)</f>
        <v>35</v>
      </c>
      <c r="CK144" s="79" t="n">
        <f aca="false">CJ144+INDEX(in_oce_transit,1,C144)+IF(F144=4,INDEX(in_oce_lcl_extra_days,1,C144),0)</f>
        <v>73</v>
      </c>
      <c r="CL144" s="79" t="n">
        <f aca="false">CK144+2+INDEX(in_cus_dem_days,1,C144)</f>
        <v>78</v>
      </c>
      <c r="CM144" s="79" t="n">
        <f aca="false">CL144+U144</f>
        <v>138</v>
      </c>
      <c r="CN144" s="79" t="n">
        <f aca="false">CJ144+INDEX(in_sup_vat_lag,1,C144)</f>
        <v>215</v>
      </c>
      <c r="CO144" s="91" t="n">
        <f aca="false">INDEX(in_sup_advance,1,C144)</f>
        <v>0.5</v>
      </c>
      <c r="CP144" s="88" t="n">
        <f aca="false">CO144*(AL144+AM144)+AO144+INDEX(in_sel_testing,1,C144)*X144</f>
        <v>10265.7638143582</v>
      </c>
      <c r="CQ144" s="88" t="n">
        <f aca="false">(1-CO144)*(AL144+AM144)+AR144+AU144+AZ144</f>
        <v>13043.077499223</v>
      </c>
      <c r="CR144" s="88" t="n">
        <f aca="false">BB144+BC144+BD144+BF144+BJ144</f>
        <v>3628.32929654851</v>
      </c>
      <c r="CS144" s="88" t="n">
        <f aca="false">BK144+BL144</f>
        <v>4115</v>
      </c>
      <c r="CT144" s="88" t="n">
        <f aca="false">IF(K144=2,AM144,0)</f>
        <v>0</v>
      </c>
      <c r="CU144" s="85" t="n">
        <f aca="false">IF(K144=2,CO144*AM144*(CN144-0)+(1-CO144)*AM144*(CN144-CJ144),0)</f>
        <v>0</v>
      </c>
      <c r="CV144" s="85" t="n">
        <f aca="false">(CP144-CO144*CT144)*(CM144-0)+(CQ144-(1-CO144)*CT144)*(CM144-CJ144)+CR144*(CM144-CK144)+CS144*(CM144-CL144)</f>
        <v>3242853.79307706</v>
      </c>
      <c r="CW144" s="88" t="n">
        <f aca="false">INDEX(in_sel_fin_rate,1,C144)/365*(CU144+CV144)</f>
        <v>1243.8343315912</v>
      </c>
      <c r="CX144" s="85" t="n">
        <f aca="false">CP144-IF(CN144&lt;=0,CT144,0)</f>
        <v>10265.7638143582</v>
      </c>
      <c r="CY144" s="85" t="n">
        <f aca="false">CP144+CQ144-IF(CN144&lt;=CJ144,CT144,0)</f>
        <v>23308.8413135813</v>
      </c>
      <c r="CZ144" s="85" t="n">
        <f aca="false">CP144+CQ144+CR144-IF(CN144&lt;=CK144,CT144,0)</f>
        <v>26937.1706101298</v>
      </c>
      <c r="DA144" s="85" t="n">
        <f aca="false">CP144+CQ144+CR144+CS144-IF(CN144&lt;=CL144,CT144,0)</f>
        <v>31052.1706101298</v>
      </c>
      <c r="DB144" s="88" t="n">
        <f aca="false">MAX(CX144,CY144,CZ144,DA144)</f>
        <v>31052.1706101298</v>
      </c>
      <c r="DC144" s="88" t="n">
        <f aca="false">CP144+CQ144+CR144+CS144</f>
        <v>31052.1706101298</v>
      </c>
      <c r="DD144" s="88" t="n">
        <f aca="false">CE144-CH144-CI144-CW144</f>
        <v>-22330.377781721</v>
      </c>
      <c r="DE144" s="87" t="n">
        <f aca="false">IF(CD144&gt;0,DD144/CD144,0)</f>
        <v>-1.88593645436778</v>
      </c>
      <c r="DF144" s="86" t="n">
        <f aca="false">IF(CD144&gt;0,(BM144+CI144+CW144)/(CD144*(1-CG144)),0)</f>
        <v>3.08390768438429</v>
      </c>
      <c r="DG144" s="90" t="n">
        <f aca="false">IF(BW144&gt;0,BM144/BW144,0)</f>
        <v>0.491786114931097</v>
      </c>
      <c r="DH144" s="90" t="n">
        <f aca="false">IF(BW144&gt;0,CD144/BW144,0)</f>
        <v>0.21525</v>
      </c>
      <c r="DI144" s="90" t="n">
        <f aca="false">IF(AI144&gt;0,(AI144*IF(K144=3,INDEX(in_sup_vat_rate,1,C144),0)+AV144*BA144+(BC144+BD144)*AV144/AY144+AZ144*AI144/AL144)/AI144,0)</f>
        <v>0.30394135989095</v>
      </c>
      <c r="DJ144" s="90" t="n">
        <f aca="false">IF(AJ144&gt;0,(AJ144*IF(K144=3,INDEX(in_sup_vat_rate,1,C144),0)+AW144*BA144+(BC144+BD144)*AW144/AY144+AZ144*AJ144/AL144)/AJ144,0)</f>
        <v>0.304303385647476</v>
      </c>
      <c r="DK144" s="90" t="n">
        <f aca="false">IF(AK144&gt;0,(AK144*IF(K144=3,INDEX(in_sup_vat_rate,1,C144),0)+AX144*BA144+(BC144+BD144)*AX144/AY144+AZ144*AK144/AL144)/AK144,0)</f>
        <v>0.305247236497824</v>
      </c>
      <c r="DL144" s="90" t="n">
        <f aca="false">IF(Y144&gt;0,(BP144-AI144*(1+DI144))/Y144,0)</f>
        <v>0.241060149026963</v>
      </c>
      <c r="DM144" s="90" t="n">
        <f aca="false">IF(Z144&gt;0,(BQ144-AJ144*(1+DJ144))/Z144,0)</f>
        <v>0.285520387915685</v>
      </c>
      <c r="DN144" s="90" t="n">
        <f aca="false">IF(AA144&gt;0,(BR144-AK144*(1+DK144))/AA144,0)</f>
        <v>0.201077275585243</v>
      </c>
      <c r="DO144" s="86" t="n">
        <f aca="false">IF(Y144&gt;0,(CA144*(1-thr_gm_go)*(1-R144)-DL144)/(1+DI144)*I144/((1+AH144)*J144),"")</f>
        <v>-3.27816156421719</v>
      </c>
      <c r="DP144" s="86" t="n">
        <f aca="false">IF(Z144&gt;0,(CB144*(1-thr_gm_go)*(1-R144)-DM144)/(1+DJ144)*I144/((1+AH144)*J144),"")</f>
        <v>-3.88278670023546</v>
      </c>
      <c r="DQ144" s="86" t="n">
        <f aca="false">IF(AA144&gt;0,(CC144*(1-thr_gm_go)*(1-R144)-DN144)/(1+DK144)*I144/((1+AH144)*J144),"")</f>
        <v>-1.67667761520725</v>
      </c>
      <c r="DR144" s="92" t="n">
        <f aca="false">IF(AND(AY144*INDEX(in_cus_mpf_rate,1,C144)&gt;INDEX(in_cus_mpf_min,1,C144),AY144*INDEX(in_cus_mpf_rate,1,C144)&lt;INDEX(in_cus_mpf_max,1,C144)),INDEX(in_cus_mpf_rate,1,C144),0)</f>
        <v>0.003464</v>
      </c>
      <c r="DS144" s="88" t="n">
        <f aca="false">IF(AZ144&gt;INDEX(in_oce_ins_min,1,C144),INDEX(in_oce_ins_rate,1,C144)*(1+INDEX(in_oce_ins_uplift,1,C144))*AL144,0)</f>
        <v>0</v>
      </c>
      <c r="DT144" s="88" t="n">
        <f aca="false">(AL144+AN144)*(1+BA144+INDEX(in_cus_hmf,1,C144)+DR144)+DS144</f>
        <v>12986.7179520198</v>
      </c>
      <c r="DU144" s="86" t="n">
        <f aca="false">IF(DT144&gt;0,(CD144*(1-thr_gm_go)-(BM144-DT144))/DT144,0)</f>
        <v>-0.399261666979038</v>
      </c>
      <c r="DV144" s="86" t="n">
        <f aca="false">IF(DT144&gt;0,(CD144-(BM144-DT144))/DT144,0)</f>
        <v>-0.171327402838064</v>
      </c>
      <c r="DW144" s="87" t="n">
        <f aca="false">(1+AH144)*J144*DU144-1</f>
        <v>-1.43918783367694</v>
      </c>
      <c r="DX144" s="87" t="n">
        <f aca="false">(1+AH144)*J144*DV144-1</f>
        <v>-1.18846014312187</v>
      </c>
      <c r="DY144" s="85" t="n">
        <f aca="false">IF(G144&gt;0,(CD144*(1-thr_gm_go)-(BM144-AT144))/G144,"")</f>
        <v>-13071.8166101298</v>
      </c>
      <c r="DZ144" s="90" t="n">
        <f aca="false">IF(AB144&gt;0,(AL144+AN144+BB144+BC144+BD144)/AB144,0)</f>
        <v>0.227816865459809</v>
      </c>
      <c r="EA144" s="88" t="n">
        <f aca="false">BM144-DZ144*AB144</f>
        <v>13998.2642192827</v>
      </c>
      <c r="EB144" s="90" t="n">
        <f aca="false">IF(AB144&gt;0,CD144/AB144,0)</f>
        <v>0.20664</v>
      </c>
      <c r="EC144" s="85" t="str">
        <f aca="false">IF(EB144*(1-thr_gm_go)-DZ144&gt;0,EA144/(EB144*(1-thr_gm_go)-DZ144),"n/a")</f>
        <v>n/a</v>
      </c>
      <c r="ED144" s="85" t="str">
        <f aca="false">IF(EB144-DZ144&gt;0,EA144/(EB144-DZ144),"n/a")</f>
        <v>n/a</v>
      </c>
      <c r="EE144" s="93" t="b">
        <f aca="false">INDEX(cfg_fits,D144,C144)</f>
        <v>1</v>
      </c>
      <c r="EF144" s="87" t="n">
        <f aca="false">IF(F144=4,"",INDEX(cfg_lenutil,D144,C144))</f>
        <v>0.999580888516345</v>
      </c>
      <c r="EG144" s="31" t="str">
        <f aca="false">IF(O144&gt;1,"Check fit (units scaled up)","")</f>
        <v/>
      </c>
    </row>
    <row r="145" customFormat="false" ht="15" hidden="false" customHeight="false" outlineLevel="0" collapsed="false">
      <c r="A145" s="78" t="n">
        <v>3091</v>
      </c>
      <c r="B145" s="9" t="s">
        <v>3293</v>
      </c>
      <c r="C145" s="78" t="n">
        <v>3</v>
      </c>
      <c r="D145" s="78" t="n">
        <v>9</v>
      </c>
      <c r="E145" s="78" t="n">
        <v>1</v>
      </c>
      <c r="F145" s="79" t="n">
        <f aca="false">INDEX(cfg_ct,D145)</f>
        <v>1</v>
      </c>
      <c r="G145" s="79" t="n">
        <f aca="false">INDEX(cfg_n,D145)</f>
        <v>1</v>
      </c>
      <c r="H145" s="79" t="n">
        <f aca="false">INDEX(dest_port,E145)</f>
        <v>1</v>
      </c>
      <c r="I145" s="80" t="n">
        <f aca="false">INDEX(in_fx_cbe,1,C145)*(1-INDEX(in_fx_spread,1,C145))</f>
        <v>48.265</v>
      </c>
      <c r="J145" s="81" t="n">
        <f aca="false">1</f>
        <v>1</v>
      </c>
      <c r="K145" s="82" t="n">
        <f aca="false">INDEX(in_sup_vat_mode,1,C145)</f>
        <v>3</v>
      </c>
      <c r="L145" s="83" t="n">
        <f aca="false">INDEX(in_cus_s301,1,C145)</f>
        <v>0.125</v>
      </c>
      <c r="M145" s="84" t="n">
        <f aca="false">1</f>
        <v>1</v>
      </c>
      <c r="N145" s="81" t="n">
        <f aca="false">1</f>
        <v>1</v>
      </c>
      <c r="O145" s="81" t="n">
        <f aca="false">1</f>
        <v>1</v>
      </c>
      <c r="P145" s="81" t="n">
        <f aca="false">1</f>
        <v>1</v>
      </c>
      <c r="Q145" s="81" t="n">
        <f aca="false">1</f>
        <v>1</v>
      </c>
      <c r="R145" s="83" t="n">
        <f aca="false">INDEX(in_sel_damage,1,C145)</f>
        <v>0.04</v>
      </c>
      <c r="S145" s="83" t="n">
        <f aca="false">INDEX(in_mkt_dist_margin,1,C145)</f>
        <v>0.3</v>
      </c>
      <c r="T145" s="83" t="n">
        <f aca="false">INDEX(in_mkt_eflute_disc,1,C145)</f>
        <v>0.25</v>
      </c>
      <c r="U145" s="82" t="n">
        <f aca="false">INDEX(in_sel_credit_days,1,C145)</f>
        <v>60</v>
      </c>
      <c r="V145" s="81" t="n">
        <f aca="false">1</f>
        <v>1</v>
      </c>
      <c r="W145" s="83" t="n">
        <f aca="false">INDEX(in_sel_commission,1,C145)</f>
        <v>0.07</v>
      </c>
      <c r="X145" s="82" t="n">
        <f aca="false">1</f>
        <v>1</v>
      </c>
      <c r="Y145" s="85" t="n">
        <f aca="false">INDEX(cfg_u_3464,D145,C145)*O145</f>
        <v>9000</v>
      </c>
      <c r="Z145" s="85" t="n">
        <f aca="false">INDEX(cfg_u_3463,D145,C145)*O145</f>
        <v>9000</v>
      </c>
      <c r="AA145" s="85" t="n">
        <f aca="false">INDEX(cfg_u_3460,D145,C145)*O145</f>
        <v>9000</v>
      </c>
      <c r="AB145" s="85" t="n">
        <f aca="false">Y145+Z145+AA145</f>
        <v>27000</v>
      </c>
      <c r="AC145" s="86" t="n">
        <f aca="false">Y145*INDEX(lg_vpu_3464,C145)</f>
        <v>7.202844</v>
      </c>
      <c r="AD145" s="86" t="n">
        <f aca="false">Z145*INDEX(lg_vpu_3463,C145)</f>
        <v>8.811504</v>
      </c>
      <c r="AE145" s="86" t="n">
        <f aca="false">AA145*INDEX(lg_vpu_3460,C145)</f>
        <v>5.756184</v>
      </c>
      <c r="AF145" s="86" t="n">
        <f aca="false">AC145+AD145+AE145</f>
        <v>21.770532</v>
      </c>
      <c r="AG145" s="85" t="n">
        <f aca="false">Y145*INDEX(lg_kpu_3464,C145)+Z145*INDEX(lg_kpu_3463,C145)+AA145*INDEX(lg_kpu_3460,C145)</f>
        <v>5311.097856</v>
      </c>
      <c r="AH145" s="87" t="n">
        <f aca="false">INDEX(in_sup_requote,1,C145)</f>
        <v>0.1</v>
      </c>
      <c r="AI145" s="88" t="n">
        <f aca="false">Y145*q_price_3464*(1+AH145)*J145/I145</f>
        <v>1715.80855692531</v>
      </c>
      <c r="AJ145" s="88" t="n">
        <f aca="false">Z145*q_price_3463*(1+AH145)*J145/I145</f>
        <v>1620.42888221278</v>
      </c>
      <c r="AK145" s="88" t="n">
        <f aca="false">AA145*q_price_3460*(1+AH145)*J145/I145</f>
        <v>1415.31130218585</v>
      </c>
      <c r="AL145" s="88" t="n">
        <f aca="false">AI145+AJ145+AK145</f>
        <v>4751.54874132394</v>
      </c>
      <c r="AM145" s="88" t="n">
        <f aca="false">IF(OR(K145=2,K145=3),AL145*INDEX(in_sup_vat_rate,1,C145),0)</f>
        <v>665.216823785352</v>
      </c>
      <c r="AN145" s="88" t="n">
        <f aca="false">IF(K145=3,AM145,0)</f>
        <v>665.216823785352</v>
      </c>
      <c r="AO145" s="88" t="n">
        <f aca="false">INDEX(in_sup_tooling_egp,1,C145)/I145</f>
        <v>517.973686936704</v>
      </c>
      <c r="AP145" s="88" t="n">
        <f aca="false">IF(F145=4,INDEX(in_ori_lcl_truck,1,C145)*V145/I145+INDEX(in_ori_lcl_cfs_o,1,C145),G145*(IF(F145=1,INDEX(in_ori_truck_20,1,C145),INDEX(in_ori_truck_40,1,C145))*V145/I145+INDEX(in_ori_terminal,1,C145)+IF(F145=1,INDEX(in_ori_othc_20,1,C145),INDEX(in_ori_othc_40,1,C145))*(1-INDEX(in_ori_othc_in_freight,1,C145))+INDEX(in_ori_seal,1,C145)+INDEX(in_ori_inspection,1,C145)+INDEX(in_ori_dd_days,1,C145)*IF(F145=1,INDEX(in_ori_dd_20,1,C145),INDEX(in_ori_dd_40,1,C145))+INDEX(in_ori_loading_egp,1,C145)/I145))</f>
        <v>677.143685900756</v>
      </c>
      <c r="AQ145" s="88" t="n">
        <f aca="false">(INDEX(in_ori_clearance,1,C145)+INDEX(in_ori_coo,1,C145))/I145+INDEX(in_ori_bl_fee,1,C145)+INDEX(in_ori_fwd_fee,1,C145)+INDEX(in_ori_qc,1,C145)+INDEX(in_ori_wires,1,C145)*INDEX(in_ori_wire_fee,1,C145)</f>
        <v>1167.90842225215</v>
      </c>
      <c r="AR145" s="88" t="n">
        <f aca="false">AP145+AQ145</f>
        <v>1845.05210815291</v>
      </c>
      <c r="AS145" s="85" t="n">
        <f aca="false">INDEX(tbl_port_diff,H145,C145)</f>
        <v>0</v>
      </c>
      <c r="AT145" s="88" t="n">
        <f aca="false">IF(F145=4,MAX(AF145*INDEX(in_oce_lcl_factor,1,C145),AG145/1000,1)*INDEX(in_oce_lcl_rate,1,C145)*M145,G145*(INDEX(tbl_ocean_rate,MIN(F145,3),C145)+AS145)*M145)</f>
        <v>3900</v>
      </c>
      <c r="AU145" s="88" t="n">
        <f aca="false">AT145+INDEX(in_oce_ams,1,C145)</f>
        <v>3945</v>
      </c>
      <c r="AV145" s="88" t="n">
        <f aca="false">AI145*(1+IF(K145=3,INDEX(in_sup_vat_rate,1,C145),0))+AO145*Y145/AB145</f>
        <v>2128.67965054042</v>
      </c>
      <c r="AW145" s="88" t="n">
        <f aca="false">AJ145*(1+IF(K145=3,INDEX(in_sup_vat_rate,1,C145),0))+AO145*Z145/AB145</f>
        <v>2019.94682136814</v>
      </c>
      <c r="AX145" s="88" t="n">
        <f aca="false">AK145*(1+IF(K145=3,INDEX(in_sup_vat_rate,1,C145),0))+AO145*AA145/AB145</f>
        <v>1786.11278013744</v>
      </c>
      <c r="AY145" s="88" t="n">
        <f aca="false">AV145+AW145+AX145</f>
        <v>5934.739252046</v>
      </c>
      <c r="AZ145" s="88" t="n">
        <f aca="false">MAX(INDEX(in_oce_ins_min,1,C145),INDEX(in_oce_ins_rate,1,C145)*(1+INDEX(in_oce_ins_uplift,1,C145))*(AL145+AO145+AR145+AU145))*(1-INDEX(in_oce_ins_in_other,1,C145))</f>
        <v>100</v>
      </c>
      <c r="BA145" s="87" t="n">
        <f aca="false">INDEX(in_cus_mfn,1,C145)+L145</f>
        <v>0.125</v>
      </c>
      <c r="BB145" s="88" t="n">
        <f aca="false">AY145*BA145</f>
        <v>741.84240650575</v>
      </c>
      <c r="BC145" s="88" t="n">
        <f aca="false">MIN(MAX(AY145*INDEX(in_cus_mpf_rate,1,C145),INDEX(in_cus_mpf_min,1,C145)),INDEX(in_cus_mpf_max,1,C145))</f>
        <v>34.58</v>
      </c>
      <c r="BD145" s="88" t="n">
        <f aca="false">AY145*INDEX(in_cus_hmf,1,C145)</f>
        <v>7.4184240650575</v>
      </c>
      <c r="BE145" s="88" t="n">
        <f aca="false">MAX(INDEX(in_cus_stb_min,1,C145),INDEX(in_cus_stb_rate,1,C145)/1000*(AY145+BB145+BC145+BD145))</f>
        <v>75</v>
      </c>
      <c r="BF145" s="88" t="n">
        <f aca="false">INDEX(in_cus_broker,1,C145)+INDEX(in_cus_isf,1,C145)+INDEX(in_cus_do_fee,1,C145)+BE145+INDEX(in_cus_isf_bond,1,C145)</f>
        <v>700</v>
      </c>
      <c r="BG145" s="88" t="n">
        <f aca="false">IF(H145=1,INDEX(in_cus_cfc,1,C145)*INDEX(ct_teu,F145)*G145*(1-INDEX(in_cus_cfc_in_freight,1,C145)),0)</f>
        <v>14.8</v>
      </c>
      <c r="BH145" s="88" t="n">
        <f aca="false">IF(F145=4,1,G145)*(INDEX(in_cus_exam,1,C145)+INDEX(in_cus_exam_dray,1,C145))</f>
        <v>600</v>
      </c>
      <c r="BI145" s="88" t="n">
        <f aca="false">IF(F145=4,1,G145)*INDEX(in_cus_dem_days,1,C145)*INDEX(in_cus_dem_rate,1,C145)</f>
        <v>750</v>
      </c>
      <c r="BJ145" s="88" t="n">
        <f aca="false">BG145+BH145+BI145</f>
        <v>1364.8</v>
      </c>
      <c r="BK145" s="88" t="n">
        <f aca="false">IF(F145=4,(INDEX(in_dra_lcl_cfs_d,1,C145)+INDEX(in_dra_lcl_deliv,1,C145))*P145,G145*(INDEX(tbl_dest_line,E145,C145)*P145*(1+INDEX(in_dra_fsc,1,C145))+INDEX(tbl_dest_tolls,E145,C145)+INDEX(in_dra_chassis_days,1,C145)*INDEX(tbl_dest_chassis,E145,C145)*(1-INDEX(in_dra_chassis_in_dray,1,C145))+INDEX(in_dra_wait_hours,1,C145)*INDEX(in_dra_wait_rate,1,C145)+INDEX(in_dra_split,1,C145)+INDEX(in_dra_prepull,1,C145)+INDEX(in_dra_dryrun,1,C145)))</f>
        <v>2280</v>
      </c>
      <c r="BL145" s="88" t="n">
        <f aca="false">IF(F145=4,0,G145*IF(F145=1,INDEX(in_dra_unload_20,1,C145),INDEX(in_dra_unload_40,1,C145))*Q145*(1-INDEX(in_dra_unload_in_dray,1,C145)))</f>
        <v>450</v>
      </c>
      <c r="BM145" s="88" t="n">
        <f aca="false">AL145+AN145+AO145+AR145+AU145+AZ145+BB145+BC145+BD145+BF145+BJ145+BK145+BL145</f>
        <v>17403.4321907697</v>
      </c>
      <c r="BN145" s="88" t="n">
        <f aca="false">AP145+AU145+BJ145+BK145+BL145</f>
        <v>8716.94368590076</v>
      </c>
      <c r="BO145" s="88" t="n">
        <f aca="false">AQ145+BF145</f>
        <v>1867.90842225215</v>
      </c>
      <c r="BP145" s="88" t="n">
        <f aca="false">AI145*(1+IF(K145=3,INDEX(in_sup_vat_rate,1,C145),0))+AO145*Y145/AB145+AV145*BA145+(BC145+BD145)*AV145/AY145+AZ145*AI145/AL145+BN145*AC145/AF145+BO145*Y145/AB145</f>
        <v>5952.60154515654</v>
      </c>
      <c r="BQ145" s="88" t="n">
        <f aca="false">AJ145*(1+IF(K145=3,INDEX(in_sup_vat_rate,1,C145),0))+AO145*Z145/AB145+AW145*BA145+(BC145+BD145)*AW145/AY145+AZ145*AJ145/AL145+BN145*AD145/AF145+BO145*Z145/AB145</f>
        <v>6471.60944241632</v>
      </c>
      <c r="BR145" s="88" t="n">
        <f aca="false">AK145*(1+IF(K145=3,INDEX(in_sup_vat_rate,1,C145),0))+AO145*AA145/AB145+AX145*BA145+(BC145+BD145)*AX145/AY145+AZ145*AK145/AL145+BN145*AE145/AF145+BO145*AA145/AB145</f>
        <v>4979.22120319686</v>
      </c>
      <c r="BS145" s="89" t="n">
        <f aca="false">BP145+BQ145+BR145-BM145</f>
        <v>0</v>
      </c>
      <c r="BT145" s="85" t="n">
        <f aca="false">Y145*(1-R145)</f>
        <v>8640</v>
      </c>
      <c r="BU145" s="85" t="n">
        <f aca="false">Z145*(1-R145)</f>
        <v>8640</v>
      </c>
      <c r="BV145" s="85" t="n">
        <f aca="false">AA145*(1-R145)</f>
        <v>8640</v>
      </c>
      <c r="BW145" s="85" t="n">
        <f aca="false">BT145+BU145+BV145</f>
        <v>25920</v>
      </c>
      <c r="BX145" s="90" t="n">
        <f aca="false">IF(BT145&gt;0,BP145/BT145,0)</f>
        <v>0.688958512170895</v>
      </c>
      <c r="BY145" s="90" t="n">
        <f aca="false">IF(BU145&gt;0,BQ145/BU145,0)</f>
        <v>0.749028870650037</v>
      </c>
      <c r="BZ145" s="90" t="n">
        <f aca="false">IF(BV145&gt;0,BR145/BV145,0)</f>
        <v>0.576298750370006</v>
      </c>
      <c r="CA145" s="90" t="n">
        <f aca="false">INDEX(in_mkt_listing_3464,1,C145)*(1-IF(sku_flute_3464="B",T145,0))*(1-S145)*N145</f>
        <v>0.1995</v>
      </c>
      <c r="CB145" s="90" t="n">
        <f aca="false">INDEX(in_mkt_listing_3463,1,C145)*(1-IF(sku_flute_3463="B",T145,0))*(1-S145)*N145</f>
        <v>0.23625</v>
      </c>
      <c r="CC145" s="90" t="n">
        <f aca="false">INDEX(in_mkt_listing_3460,1,C145)*(1-IF(sku_flute_3460="B",T145,0))*(1-S145)*N145</f>
        <v>0.21</v>
      </c>
      <c r="CD145" s="88" t="n">
        <f aca="false">BT145*CA145+BU145*CB145+BV145*CC145</f>
        <v>5579.28</v>
      </c>
      <c r="CE145" s="88" t="n">
        <f aca="false">CD145-BM145</f>
        <v>-11824.1521907697</v>
      </c>
      <c r="CF145" s="87" t="n">
        <f aca="false">IF(CD145&gt;0,CE145/CD145,0)</f>
        <v>-2.11929714779859</v>
      </c>
      <c r="CG145" s="87" t="n">
        <f aca="false">W145+INDEX(in_sel_processing,1,C145)+INDEX(in_sel_bad_debt,1,C145)</f>
        <v>0.095</v>
      </c>
      <c r="CH145" s="88" t="n">
        <f aca="false">CD145*CG145</f>
        <v>530.0316</v>
      </c>
      <c r="CI145" s="88" t="n">
        <f aca="false">INDEX(in_sel_testing,1,C145)*X145+INDEX(in_sel_admin,1,C145)</f>
        <v>4750</v>
      </c>
      <c r="CJ145" s="79" t="n">
        <f aca="false">INDEX(in_sup_lead_days,1,C145)</f>
        <v>35</v>
      </c>
      <c r="CK145" s="79" t="n">
        <f aca="false">CJ145+INDEX(in_oce_transit,1,C145)+IF(F145=4,INDEX(in_oce_lcl_extra_days,1,C145),0)</f>
        <v>73</v>
      </c>
      <c r="CL145" s="79" t="n">
        <f aca="false">CK145+2+INDEX(in_cus_dem_days,1,C145)</f>
        <v>78</v>
      </c>
      <c r="CM145" s="79" t="n">
        <f aca="false">CL145+U145</f>
        <v>138</v>
      </c>
      <c r="CN145" s="79" t="n">
        <f aca="false">CJ145+INDEX(in_sup_vat_lag,1,C145)</f>
        <v>215</v>
      </c>
      <c r="CO145" s="91" t="n">
        <f aca="false">INDEX(in_sup_advance,1,C145)</f>
        <v>0.5</v>
      </c>
      <c r="CP145" s="88" t="n">
        <f aca="false">CO145*(AL145+AM145)+AO145+INDEX(in_sel_testing,1,C145)*X145</f>
        <v>7226.35646949135</v>
      </c>
      <c r="CQ145" s="88" t="n">
        <f aca="false">(1-CO145)*(AL145+AM145)+AR145+AU145+AZ145</f>
        <v>8598.43489070755</v>
      </c>
      <c r="CR145" s="88" t="n">
        <f aca="false">BB145+BC145+BD145+BF145+BJ145</f>
        <v>2848.64083057081</v>
      </c>
      <c r="CS145" s="88" t="n">
        <f aca="false">BK145+BL145</f>
        <v>2730</v>
      </c>
      <c r="CT145" s="88" t="n">
        <f aca="false">IF(K145=2,AM145,0)</f>
        <v>0</v>
      </c>
      <c r="CU145" s="85" t="n">
        <f aca="false">IF(K145=2,CO145*AM145*(CN145-0)+(1-CO145)*AM145*(CN145-CJ145),0)</f>
        <v>0</v>
      </c>
      <c r="CV145" s="85" t="n">
        <f aca="false">(CP145-CO145*CT145)*(CM145-0)+(CQ145-(1-CO145)*CT145)*(CM145-CJ145)+CR145*(CM145-CK145)+CS145*(CM145-CL145)</f>
        <v>2231837.64051979</v>
      </c>
      <c r="CW145" s="88" t="n">
        <f aca="false">INDEX(in_sel_fin_rate,1,C145)/365*(CU145+CV145)</f>
        <v>856.047314171973</v>
      </c>
      <c r="CX145" s="85" t="n">
        <f aca="false">CP145-IF(CN145&lt;=0,CT145,0)</f>
        <v>7226.35646949135</v>
      </c>
      <c r="CY145" s="85" t="n">
        <f aca="false">CP145+CQ145-IF(CN145&lt;=CJ145,CT145,0)</f>
        <v>15824.7913601989</v>
      </c>
      <c r="CZ145" s="85" t="n">
        <f aca="false">CP145+CQ145+CR145-IF(CN145&lt;=CK145,CT145,0)</f>
        <v>18673.4321907697</v>
      </c>
      <c r="DA145" s="85" t="n">
        <f aca="false">CP145+CQ145+CR145+CS145-IF(CN145&lt;=CL145,CT145,0)</f>
        <v>21403.4321907697</v>
      </c>
      <c r="DB145" s="88" t="n">
        <f aca="false">MAX(CX145,CY145,CZ145,DA145)</f>
        <v>21403.4321907697</v>
      </c>
      <c r="DC145" s="88" t="n">
        <f aca="false">CP145+CQ145+CR145+CS145</f>
        <v>21403.4321907697</v>
      </c>
      <c r="DD145" s="88" t="n">
        <f aca="false">CE145-CH145-CI145-CW145</f>
        <v>-17960.2311049417</v>
      </c>
      <c r="DE145" s="87" t="n">
        <f aca="false">IF(CD145&gt;0,DD145/CD145,0)</f>
        <v>-3.2190947765557</v>
      </c>
      <c r="DF145" s="86" t="n">
        <f aca="false">IF(CD145&gt;0,(BM145+CI145+CW145)/(CD145*(1-CG145)),0)</f>
        <v>4.55701080282398</v>
      </c>
      <c r="DG145" s="90" t="n">
        <f aca="false">IF(BW145&gt;0,BM145/BW145,0)</f>
        <v>0.671428711063646</v>
      </c>
      <c r="DH145" s="90" t="n">
        <f aca="false">IF(BW145&gt;0,CD145/BW145,0)</f>
        <v>0.21525</v>
      </c>
      <c r="DI145" s="90" t="n">
        <f aca="false">IF(AI145&gt;0,(AI145*IF(K145=3,INDEX(in_sup_vat_rate,1,C145),0)+AV145*BA145+(BC145+BD145)*AV145/AY145+AZ145*AI145/AL145)/AI145,0)</f>
        <v>0.324903795661456</v>
      </c>
      <c r="DJ145" s="90" t="n">
        <f aca="false">IF(AJ145&gt;0,(AJ145*IF(K145=3,INDEX(in_sup_vat_rate,1,C145),0)+AW145*BA145+(BC145+BD145)*AW145/AY145+AZ145*AJ145/AL145)/AJ145,0)</f>
        <v>0.325686089149929</v>
      </c>
      <c r="DK145" s="90" t="n">
        <f aca="false">IF(AK145&gt;0,(AK145*IF(K145=3,INDEX(in_sup_vat_rate,1,C145),0)+AX145*BA145+(BC145+BD145)*AX145/AY145+AZ145*AK145/AL145)/AK145,0)</f>
        <v>0.327725635676681</v>
      </c>
      <c r="DL145" s="90" t="n">
        <f aca="false">IF(Y145&gt;0,(BP145-AI145*(1+DI145))/Y145,0)</f>
        <v>0.408813363939754</v>
      </c>
      <c r="DM145" s="90" t="n">
        <f aca="false">IF(Z145&gt;0,(BQ145-AJ145*(1+DJ145))/Z145,0)</f>
        <v>0.480381046090007</v>
      </c>
      <c r="DN145" s="90" t="n">
        <f aca="false">IF(AA145&gt;0,(BR145-AK145*(1+DK145))/AA145,0)</f>
        <v>0.344452900535751</v>
      </c>
      <c r="DO145" s="86" t="n">
        <f aca="false">IF(Y145&gt;0,(CA145*(1-thr_gm_go)*(1-R145)-DL145)/(1+DI145)*I145/((1+AH145)*J145),"")</f>
        <v>-8.78183310191526</v>
      </c>
      <c r="DP145" s="86" t="n">
        <f aca="false">IF(Z145&gt;0,(CB145*(1-thr_gm_go)*(1-R145)-DM145)/(1+DJ145)*I145/((1+AH145)*J145),"")</f>
        <v>-10.2696152526761</v>
      </c>
      <c r="DQ145" s="86" t="n">
        <f aca="false">IF(AA145&gt;0,(CC145*(1-thr_gm_go)*(1-R145)-DN145)/(1+DK145)*I145/((1+AH145)*J145),"")</f>
        <v>-6.38641749040425</v>
      </c>
      <c r="DR145" s="92" t="n">
        <f aca="false">IF(AND(AY145*INDEX(in_cus_mpf_rate,1,C145)&gt;INDEX(in_cus_mpf_min,1,C145),AY145*INDEX(in_cus_mpf_rate,1,C145)&lt;INDEX(in_cus_mpf_max,1,C145)),INDEX(in_cus_mpf_rate,1,C145),0)</f>
        <v>0</v>
      </c>
      <c r="DS145" s="88" t="n">
        <f aca="false">IF(AZ145&gt;INDEX(in_oce_ins_min,1,C145),INDEX(in_oce_ins_rate,1,C145)*(1+INDEX(in_oce_ins_uplift,1,C145))*AL145,0)</f>
        <v>0</v>
      </c>
      <c r="DT145" s="88" t="n">
        <f aca="false">(AL145+AN145)*(1+BA145+INDEX(in_cus_hmf,1,C145)+DR145)+DS145</f>
        <v>6100.63221770434</v>
      </c>
      <c r="DU145" s="86" t="n">
        <f aca="false">IF(DT145&gt;0,(CD145*(1-thr_gm_go)-(BM145-DT145))/DT145,0)</f>
        <v>-1.16682004733994</v>
      </c>
      <c r="DV145" s="86" t="n">
        <f aca="false">IF(DT145&gt;0,(CD145-(BM145-DT145))/DT145,0)</f>
        <v>-0.938184727224734</v>
      </c>
      <c r="DW145" s="87" t="n">
        <f aca="false">(1+AH145)*J145*DU145-1</f>
        <v>-2.28350205207394</v>
      </c>
      <c r="DX145" s="87" t="n">
        <f aca="false">(1+AH145)*J145*DV145-1</f>
        <v>-2.03200319994721</v>
      </c>
      <c r="DY145" s="85" t="n">
        <f aca="false">IF(G145&gt;0,(CD145*(1-thr_gm_go)-(BM145-AT145))/G145,"")</f>
        <v>-9318.97219076971</v>
      </c>
      <c r="DZ145" s="90" t="n">
        <f aca="false">IF(AB145&gt;0,(AL145+AN145+BB145+BC145+BD145)/AB145,0)</f>
        <v>0.229652088728893</v>
      </c>
      <c r="EA145" s="88" t="n">
        <f aca="false">BM145-DZ145*AB145</f>
        <v>11202.8257950896</v>
      </c>
      <c r="EB145" s="90" t="n">
        <f aca="false">IF(AB145&gt;0,CD145/AB145,0)</f>
        <v>0.20664</v>
      </c>
      <c r="EC145" s="85" t="str">
        <f aca="false">IF(EB145*(1-thr_gm_go)-DZ145&gt;0,EA145/(EB145*(1-thr_gm_go)-DZ145),"n/a")</f>
        <v>n/a</v>
      </c>
      <c r="ED145" s="85" t="str">
        <f aca="false">IF(EB145-DZ145&gt;0,EA145/(EB145-DZ145),"n/a")</f>
        <v>n/a</v>
      </c>
      <c r="EE145" s="93" t="b">
        <f aca="false">INDEX(cfg_fits,D145,C145)</f>
        <v>1</v>
      </c>
      <c r="EF145" s="87" t="n">
        <f aca="false">IF(F145=4,"",INDEX(cfg_lenutil,D145,C145))</f>
        <v>0.972413793103448</v>
      </c>
      <c r="EG145" s="31" t="str">
        <f aca="false">IF(O145&gt;1,"Check fit (units scaled up)","")</f>
        <v/>
      </c>
    </row>
    <row r="146" customFormat="false" ht="15" hidden="false" customHeight="false" outlineLevel="0" collapsed="false">
      <c r="A146" s="78" t="n">
        <v>3092</v>
      </c>
      <c r="B146" s="9" t="s">
        <v>3294</v>
      </c>
      <c r="C146" s="78" t="n">
        <v>3</v>
      </c>
      <c r="D146" s="78" t="n">
        <v>9</v>
      </c>
      <c r="E146" s="78" t="n">
        <v>2</v>
      </c>
      <c r="F146" s="79" t="n">
        <f aca="false">INDEX(cfg_ct,D146)</f>
        <v>1</v>
      </c>
      <c r="G146" s="79" t="n">
        <f aca="false">INDEX(cfg_n,D146)</f>
        <v>1</v>
      </c>
      <c r="H146" s="79" t="n">
        <f aca="false">INDEX(dest_port,E146)</f>
        <v>1</v>
      </c>
      <c r="I146" s="80" t="n">
        <f aca="false">INDEX(in_fx_cbe,1,C146)*(1-INDEX(in_fx_spread,1,C146))</f>
        <v>48.265</v>
      </c>
      <c r="J146" s="81" t="n">
        <f aca="false">1</f>
        <v>1</v>
      </c>
      <c r="K146" s="82" t="n">
        <f aca="false">INDEX(in_sup_vat_mode,1,C146)</f>
        <v>3</v>
      </c>
      <c r="L146" s="83" t="n">
        <f aca="false">INDEX(in_cus_s301,1,C146)</f>
        <v>0.125</v>
      </c>
      <c r="M146" s="84" t="n">
        <f aca="false">1</f>
        <v>1</v>
      </c>
      <c r="N146" s="81" t="n">
        <f aca="false">1</f>
        <v>1</v>
      </c>
      <c r="O146" s="81" t="n">
        <f aca="false">1</f>
        <v>1</v>
      </c>
      <c r="P146" s="81" t="n">
        <f aca="false">1</f>
        <v>1</v>
      </c>
      <c r="Q146" s="81" t="n">
        <f aca="false">1</f>
        <v>1</v>
      </c>
      <c r="R146" s="83" t="n">
        <f aca="false">INDEX(in_sel_damage,1,C146)</f>
        <v>0.04</v>
      </c>
      <c r="S146" s="83" t="n">
        <f aca="false">INDEX(in_mkt_dist_margin,1,C146)</f>
        <v>0.3</v>
      </c>
      <c r="T146" s="83" t="n">
        <f aca="false">INDEX(in_mkt_eflute_disc,1,C146)</f>
        <v>0.25</v>
      </c>
      <c r="U146" s="82" t="n">
        <f aca="false">INDEX(in_sel_credit_days,1,C146)</f>
        <v>60</v>
      </c>
      <c r="V146" s="81" t="n">
        <f aca="false">1</f>
        <v>1</v>
      </c>
      <c r="W146" s="83" t="n">
        <f aca="false">INDEX(in_sel_commission,1,C146)</f>
        <v>0.07</v>
      </c>
      <c r="X146" s="82" t="n">
        <f aca="false">1</f>
        <v>1</v>
      </c>
      <c r="Y146" s="85" t="n">
        <f aca="false">INDEX(cfg_u_3464,D146,C146)*O146</f>
        <v>9000</v>
      </c>
      <c r="Z146" s="85" t="n">
        <f aca="false">INDEX(cfg_u_3463,D146,C146)*O146</f>
        <v>9000</v>
      </c>
      <c r="AA146" s="85" t="n">
        <f aca="false">INDEX(cfg_u_3460,D146,C146)*O146</f>
        <v>9000</v>
      </c>
      <c r="AB146" s="85" t="n">
        <f aca="false">Y146+Z146+AA146</f>
        <v>27000</v>
      </c>
      <c r="AC146" s="86" t="n">
        <f aca="false">Y146*INDEX(lg_vpu_3464,C146)</f>
        <v>7.202844</v>
      </c>
      <c r="AD146" s="86" t="n">
        <f aca="false">Z146*INDEX(lg_vpu_3463,C146)</f>
        <v>8.811504</v>
      </c>
      <c r="AE146" s="86" t="n">
        <f aca="false">AA146*INDEX(lg_vpu_3460,C146)</f>
        <v>5.756184</v>
      </c>
      <c r="AF146" s="86" t="n">
        <f aca="false">AC146+AD146+AE146</f>
        <v>21.770532</v>
      </c>
      <c r="AG146" s="85" t="n">
        <f aca="false">Y146*INDEX(lg_kpu_3464,C146)+Z146*INDEX(lg_kpu_3463,C146)+AA146*INDEX(lg_kpu_3460,C146)</f>
        <v>5311.097856</v>
      </c>
      <c r="AH146" s="87" t="n">
        <f aca="false">INDEX(in_sup_requote,1,C146)</f>
        <v>0.1</v>
      </c>
      <c r="AI146" s="88" t="n">
        <f aca="false">Y146*q_price_3464*(1+AH146)*J146/I146</f>
        <v>1715.80855692531</v>
      </c>
      <c r="AJ146" s="88" t="n">
        <f aca="false">Z146*q_price_3463*(1+AH146)*J146/I146</f>
        <v>1620.42888221278</v>
      </c>
      <c r="AK146" s="88" t="n">
        <f aca="false">AA146*q_price_3460*(1+AH146)*J146/I146</f>
        <v>1415.31130218585</v>
      </c>
      <c r="AL146" s="88" t="n">
        <f aca="false">AI146+AJ146+AK146</f>
        <v>4751.54874132394</v>
      </c>
      <c r="AM146" s="88" t="n">
        <f aca="false">IF(OR(K146=2,K146=3),AL146*INDEX(in_sup_vat_rate,1,C146),0)</f>
        <v>665.216823785352</v>
      </c>
      <c r="AN146" s="88" t="n">
        <f aca="false">IF(K146=3,AM146,0)</f>
        <v>665.216823785352</v>
      </c>
      <c r="AO146" s="88" t="n">
        <f aca="false">INDEX(in_sup_tooling_egp,1,C146)/I146</f>
        <v>517.973686936704</v>
      </c>
      <c r="AP146" s="88" t="n">
        <f aca="false">IF(F146=4,INDEX(in_ori_lcl_truck,1,C146)*V146/I146+INDEX(in_ori_lcl_cfs_o,1,C146),G146*(IF(F146=1,INDEX(in_ori_truck_20,1,C146),INDEX(in_ori_truck_40,1,C146))*V146/I146+INDEX(in_ori_terminal,1,C146)+IF(F146=1,INDEX(in_ori_othc_20,1,C146),INDEX(in_ori_othc_40,1,C146))*(1-INDEX(in_ori_othc_in_freight,1,C146))+INDEX(in_ori_seal,1,C146)+INDEX(in_ori_inspection,1,C146)+INDEX(in_ori_dd_days,1,C146)*IF(F146=1,INDEX(in_ori_dd_20,1,C146),INDEX(in_ori_dd_40,1,C146))+INDEX(in_ori_loading_egp,1,C146)/I146))</f>
        <v>677.143685900756</v>
      </c>
      <c r="AQ146" s="88" t="n">
        <f aca="false">(INDEX(in_ori_clearance,1,C146)+INDEX(in_ori_coo,1,C146))/I146+INDEX(in_ori_bl_fee,1,C146)+INDEX(in_ori_fwd_fee,1,C146)+INDEX(in_ori_qc,1,C146)+INDEX(in_ori_wires,1,C146)*INDEX(in_ori_wire_fee,1,C146)</f>
        <v>1167.90842225215</v>
      </c>
      <c r="AR146" s="88" t="n">
        <f aca="false">AP146+AQ146</f>
        <v>1845.05210815291</v>
      </c>
      <c r="AS146" s="85" t="n">
        <f aca="false">INDEX(tbl_port_diff,H146,C146)</f>
        <v>0</v>
      </c>
      <c r="AT146" s="88" t="n">
        <f aca="false">IF(F146=4,MAX(AF146*INDEX(in_oce_lcl_factor,1,C146),AG146/1000,1)*INDEX(in_oce_lcl_rate,1,C146)*M146,G146*(INDEX(tbl_ocean_rate,MIN(F146,3),C146)+AS146)*M146)</f>
        <v>3900</v>
      </c>
      <c r="AU146" s="88" t="n">
        <f aca="false">AT146+INDEX(in_oce_ams,1,C146)</f>
        <v>3945</v>
      </c>
      <c r="AV146" s="88" t="n">
        <f aca="false">AI146*(1+IF(K146=3,INDEX(in_sup_vat_rate,1,C146),0))+AO146*Y146/AB146</f>
        <v>2128.67965054042</v>
      </c>
      <c r="AW146" s="88" t="n">
        <f aca="false">AJ146*(1+IF(K146=3,INDEX(in_sup_vat_rate,1,C146),0))+AO146*Z146/AB146</f>
        <v>2019.94682136814</v>
      </c>
      <c r="AX146" s="88" t="n">
        <f aca="false">AK146*(1+IF(K146=3,INDEX(in_sup_vat_rate,1,C146),0))+AO146*AA146/AB146</f>
        <v>1786.11278013744</v>
      </c>
      <c r="AY146" s="88" t="n">
        <f aca="false">AV146+AW146+AX146</f>
        <v>5934.739252046</v>
      </c>
      <c r="AZ146" s="88" t="n">
        <f aca="false">MAX(INDEX(in_oce_ins_min,1,C146),INDEX(in_oce_ins_rate,1,C146)*(1+INDEX(in_oce_ins_uplift,1,C146))*(AL146+AO146+AR146+AU146))*(1-INDEX(in_oce_ins_in_other,1,C146))</f>
        <v>100</v>
      </c>
      <c r="BA146" s="87" t="n">
        <f aca="false">INDEX(in_cus_mfn,1,C146)+L146</f>
        <v>0.125</v>
      </c>
      <c r="BB146" s="88" t="n">
        <f aca="false">AY146*BA146</f>
        <v>741.84240650575</v>
      </c>
      <c r="BC146" s="88" t="n">
        <f aca="false">MIN(MAX(AY146*INDEX(in_cus_mpf_rate,1,C146),INDEX(in_cus_mpf_min,1,C146)),INDEX(in_cus_mpf_max,1,C146))</f>
        <v>34.58</v>
      </c>
      <c r="BD146" s="88" t="n">
        <f aca="false">AY146*INDEX(in_cus_hmf,1,C146)</f>
        <v>7.4184240650575</v>
      </c>
      <c r="BE146" s="88" t="n">
        <f aca="false">MAX(INDEX(in_cus_stb_min,1,C146),INDEX(in_cus_stb_rate,1,C146)/1000*(AY146+BB146+BC146+BD146))</f>
        <v>75</v>
      </c>
      <c r="BF146" s="88" t="n">
        <f aca="false">INDEX(in_cus_broker,1,C146)+INDEX(in_cus_isf,1,C146)+INDEX(in_cus_do_fee,1,C146)+BE146+INDEX(in_cus_isf_bond,1,C146)</f>
        <v>700</v>
      </c>
      <c r="BG146" s="88" t="n">
        <f aca="false">IF(H146=1,INDEX(in_cus_cfc,1,C146)*INDEX(ct_teu,F146)*G146*(1-INDEX(in_cus_cfc_in_freight,1,C146)),0)</f>
        <v>14.8</v>
      </c>
      <c r="BH146" s="88" t="n">
        <f aca="false">IF(F146=4,1,G146)*(INDEX(in_cus_exam,1,C146)+INDEX(in_cus_exam_dray,1,C146))</f>
        <v>600</v>
      </c>
      <c r="BI146" s="88" t="n">
        <f aca="false">IF(F146=4,1,G146)*INDEX(in_cus_dem_days,1,C146)*INDEX(in_cus_dem_rate,1,C146)</f>
        <v>750</v>
      </c>
      <c r="BJ146" s="88" t="n">
        <f aca="false">BG146+BH146+BI146</f>
        <v>1364.8</v>
      </c>
      <c r="BK146" s="88" t="n">
        <f aca="false">IF(F146=4,(INDEX(in_dra_lcl_cfs_d,1,C146)+INDEX(in_dra_lcl_deliv,1,C146))*P146,G146*(INDEX(tbl_dest_line,E146,C146)*P146*(1+INDEX(in_dra_fsc,1,C146))+INDEX(tbl_dest_tolls,E146,C146)+INDEX(in_dra_chassis_days,1,C146)*INDEX(tbl_dest_chassis,E146,C146)*(1-INDEX(in_dra_chassis_in_dray,1,C146))+INDEX(in_dra_wait_hours,1,C146)*INDEX(in_dra_wait_rate,1,C146)+INDEX(in_dra_split,1,C146)+INDEX(in_dra_prepull,1,C146)+INDEX(in_dra_dryrun,1,C146)))</f>
        <v>2660</v>
      </c>
      <c r="BL146" s="88" t="n">
        <f aca="false">IF(F146=4,0,G146*IF(F146=1,INDEX(in_dra_unload_20,1,C146),INDEX(in_dra_unload_40,1,C146))*Q146*(1-INDEX(in_dra_unload_in_dray,1,C146)))</f>
        <v>450</v>
      </c>
      <c r="BM146" s="88" t="n">
        <f aca="false">AL146+AN146+AO146+AR146+AU146+AZ146+BB146+BC146+BD146+BF146+BJ146+BK146+BL146</f>
        <v>17783.4321907697</v>
      </c>
      <c r="BN146" s="88" t="n">
        <f aca="false">AP146+AU146+BJ146+BK146+BL146</f>
        <v>9096.94368590076</v>
      </c>
      <c r="BO146" s="88" t="n">
        <f aca="false">AQ146+BF146</f>
        <v>1867.90842225215</v>
      </c>
      <c r="BP146" s="88" t="n">
        <f aca="false">AI146*(1+IF(K146=3,INDEX(in_sup_vat_rate,1,C146),0))+AO146*Y146/AB146+AV146*BA146+(BC146+BD146)*AV146/AY146+AZ146*AI146/AL146+BN146*AC146/AF146+BO146*Y146/AB146</f>
        <v>6078.32565332256</v>
      </c>
      <c r="BQ146" s="88" t="n">
        <f aca="false">AJ146*(1+IF(K146=3,INDEX(in_sup_vat_rate,1,C146),0))+AO146*Z146/AB146+AW146*BA146+(BC146+BD146)*AW146/AY146+AZ146*AJ146/AL146+BN146*AD146/AF146+BO146*Z146/AB146</f>
        <v>6625.41236831634</v>
      </c>
      <c r="BR146" s="88" t="n">
        <f aca="false">AK146*(1+IF(K146=3,INDEX(in_sup_vat_rate,1,C146),0))+AO146*AA146/AB146+AX146*BA146+(BC146+BD146)*AX146/AY146+AZ146*AK146/AL146+BN146*AE146/AF146+BO146*AA146/AB146</f>
        <v>5079.69416913081</v>
      </c>
      <c r="BS146" s="89" t="n">
        <f aca="false">BP146+BQ146+BR146-BM146</f>
        <v>0</v>
      </c>
      <c r="BT146" s="85" t="n">
        <f aca="false">Y146*(1-R146)</f>
        <v>8640</v>
      </c>
      <c r="BU146" s="85" t="n">
        <f aca="false">Z146*(1-R146)</f>
        <v>8640</v>
      </c>
      <c r="BV146" s="85" t="n">
        <f aca="false">AA146*(1-R146)</f>
        <v>8640</v>
      </c>
      <c r="BW146" s="85" t="n">
        <f aca="false">BT146+BU146+BV146</f>
        <v>25920</v>
      </c>
      <c r="BX146" s="90" t="n">
        <f aca="false">IF(BT146&gt;0,BP146/BT146,0)</f>
        <v>0.703509913579001</v>
      </c>
      <c r="BY146" s="90" t="n">
        <f aca="false">IF(BU146&gt;0,BQ146/BU146,0)</f>
        <v>0.766830135221798</v>
      </c>
      <c r="BZ146" s="90" t="n">
        <f aca="false">IF(BV146&gt;0,BR146/BV146,0)</f>
        <v>0.587927565871621</v>
      </c>
      <c r="CA146" s="90" t="n">
        <f aca="false">INDEX(in_mkt_listing_3464,1,C146)*(1-IF(sku_flute_3464="B",T146,0))*(1-S146)*N146</f>
        <v>0.1995</v>
      </c>
      <c r="CB146" s="90" t="n">
        <f aca="false">INDEX(in_mkt_listing_3463,1,C146)*(1-IF(sku_flute_3463="B",T146,0))*(1-S146)*N146</f>
        <v>0.23625</v>
      </c>
      <c r="CC146" s="90" t="n">
        <f aca="false">INDEX(in_mkt_listing_3460,1,C146)*(1-IF(sku_flute_3460="B",T146,0))*(1-S146)*N146</f>
        <v>0.21</v>
      </c>
      <c r="CD146" s="88" t="n">
        <f aca="false">BT146*CA146+BU146*CB146+BV146*CC146</f>
        <v>5579.28</v>
      </c>
      <c r="CE146" s="88" t="n">
        <f aca="false">CD146-BM146</f>
        <v>-12204.1521907697</v>
      </c>
      <c r="CF146" s="87" t="n">
        <f aca="false">IF(CD146&gt;0,CE146/CD146,0)</f>
        <v>-2.18740629449852</v>
      </c>
      <c r="CG146" s="87" t="n">
        <f aca="false">W146+INDEX(in_sel_processing,1,C146)+INDEX(in_sel_bad_debt,1,C146)</f>
        <v>0.095</v>
      </c>
      <c r="CH146" s="88" t="n">
        <f aca="false">CD146*CG146</f>
        <v>530.0316</v>
      </c>
      <c r="CI146" s="88" t="n">
        <f aca="false">INDEX(in_sel_testing,1,C146)*X146+INDEX(in_sel_admin,1,C146)</f>
        <v>4750</v>
      </c>
      <c r="CJ146" s="79" t="n">
        <f aca="false">INDEX(in_sup_lead_days,1,C146)</f>
        <v>35</v>
      </c>
      <c r="CK146" s="79" t="n">
        <f aca="false">CJ146+INDEX(in_oce_transit,1,C146)+IF(F146=4,INDEX(in_oce_lcl_extra_days,1,C146),0)</f>
        <v>73</v>
      </c>
      <c r="CL146" s="79" t="n">
        <f aca="false">CK146+2+INDEX(in_cus_dem_days,1,C146)</f>
        <v>78</v>
      </c>
      <c r="CM146" s="79" t="n">
        <f aca="false">CL146+U146</f>
        <v>138</v>
      </c>
      <c r="CN146" s="79" t="n">
        <f aca="false">CJ146+INDEX(in_sup_vat_lag,1,C146)</f>
        <v>215</v>
      </c>
      <c r="CO146" s="91" t="n">
        <f aca="false">INDEX(in_sup_advance,1,C146)</f>
        <v>0.5</v>
      </c>
      <c r="CP146" s="88" t="n">
        <f aca="false">CO146*(AL146+AM146)+AO146+INDEX(in_sel_testing,1,C146)*X146</f>
        <v>7226.35646949135</v>
      </c>
      <c r="CQ146" s="88" t="n">
        <f aca="false">(1-CO146)*(AL146+AM146)+AR146+AU146+AZ146</f>
        <v>8598.43489070755</v>
      </c>
      <c r="CR146" s="88" t="n">
        <f aca="false">BB146+BC146+BD146+BF146+BJ146</f>
        <v>2848.64083057081</v>
      </c>
      <c r="CS146" s="88" t="n">
        <f aca="false">BK146+BL146</f>
        <v>3110</v>
      </c>
      <c r="CT146" s="88" t="n">
        <f aca="false">IF(K146=2,AM146,0)</f>
        <v>0</v>
      </c>
      <c r="CU146" s="85" t="n">
        <f aca="false">IF(K146=2,CO146*AM146*(CN146-0)+(1-CO146)*AM146*(CN146-CJ146),0)</f>
        <v>0</v>
      </c>
      <c r="CV146" s="85" t="n">
        <f aca="false">(CP146-CO146*CT146)*(CM146-0)+(CQ146-(1-CO146)*CT146)*(CM146-CJ146)+CR146*(CM146-CK146)+CS146*(CM146-CL146)</f>
        <v>2254637.64051979</v>
      </c>
      <c r="CW146" s="88" t="n">
        <f aca="false">INDEX(in_sel_fin_rate,1,C146)/365*(CU146+CV146)</f>
        <v>864.792519651425</v>
      </c>
      <c r="CX146" s="85" t="n">
        <f aca="false">CP146-IF(CN146&lt;=0,CT146,0)</f>
        <v>7226.35646949135</v>
      </c>
      <c r="CY146" s="85" t="n">
        <f aca="false">CP146+CQ146-IF(CN146&lt;=CJ146,CT146,0)</f>
        <v>15824.7913601989</v>
      </c>
      <c r="CZ146" s="85" t="n">
        <f aca="false">CP146+CQ146+CR146-IF(CN146&lt;=CK146,CT146,0)</f>
        <v>18673.4321907697</v>
      </c>
      <c r="DA146" s="85" t="n">
        <f aca="false">CP146+CQ146+CR146+CS146-IF(CN146&lt;=CL146,CT146,0)</f>
        <v>21783.4321907697</v>
      </c>
      <c r="DB146" s="88" t="n">
        <f aca="false">MAX(CX146,CY146,CZ146,DA146)</f>
        <v>21783.4321907697</v>
      </c>
      <c r="DC146" s="88" t="n">
        <f aca="false">CP146+CQ146+CR146+CS146</f>
        <v>21783.4321907697</v>
      </c>
      <c r="DD146" s="88" t="n">
        <f aca="false">CE146-CH146-CI146-CW146</f>
        <v>-18348.9763104211</v>
      </c>
      <c r="DE146" s="87" t="n">
        <f aca="false">IF(CD146&gt;0,DD146/CD146,0)</f>
        <v>-3.28877136663174</v>
      </c>
      <c r="DF146" s="86" t="n">
        <f aca="false">IF(CD146&gt;0,(BM146+CI146+CW146)/(CD146*(1-CG146)),0)</f>
        <v>4.63400151009032</v>
      </c>
      <c r="DG146" s="90" t="n">
        <f aca="false">IF(BW146&gt;0,BM146/BW146,0)</f>
        <v>0.686089204890807</v>
      </c>
      <c r="DH146" s="90" t="n">
        <f aca="false">IF(BW146&gt;0,CD146/BW146,0)</f>
        <v>0.21525</v>
      </c>
      <c r="DI146" s="90" t="n">
        <f aca="false">IF(AI146&gt;0,(AI146*IF(K146=3,INDEX(in_sup_vat_rate,1,C146),0)+AV146*BA146+(BC146+BD146)*AV146/AY146+AZ146*AI146/AL146)/AI146,0)</f>
        <v>0.324903795661456</v>
      </c>
      <c r="DJ146" s="90" t="n">
        <f aca="false">IF(AJ146&gt;0,(AJ146*IF(K146=3,INDEX(in_sup_vat_rate,1,C146),0)+AW146*BA146+(BC146+BD146)*AW146/AY146+AZ146*AJ146/AL146)/AJ146,0)</f>
        <v>0.325686089149929</v>
      </c>
      <c r="DK146" s="90" t="n">
        <f aca="false">IF(AK146&gt;0,(AK146*IF(K146=3,INDEX(in_sup_vat_rate,1,C146),0)+AX146*BA146+(BC146+BD146)*AX146/AY146+AZ146*AK146/AL146)/AK146,0)</f>
        <v>0.327725635676681</v>
      </c>
      <c r="DL146" s="90" t="n">
        <f aca="false">IF(Y146&gt;0,(BP146-AI146*(1+DI146))/Y146,0)</f>
        <v>0.422782709291535</v>
      </c>
      <c r="DM146" s="90" t="n">
        <f aca="false">IF(Z146&gt;0,(BQ146-AJ146*(1+DJ146))/Z146,0)</f>
        <v>0.497470260078898</v>
      </c>
      <c r="DN146" s="90" t="n">
        <f aca="false">IF(AA146&gt;0,(BR146-AK146*(1+DK146))/AA146,0)</f>
        <v>0.355616563417301</v>
      </c>
      <c r="DO146" s="86" t="n">
        <f aca="false">IF(Y146&gt;0,(CA146*(1-thr_gm_go)*(1-R146)-DL146)/(1+DI146)*I146/((1+AH146)*J146),"")</f>
        <v>-9.24446048499673</v>
      </c>
      <c r="DP146" s="86" t="n">
        <f aca="false">IF(Z146&gt;0,(CB146*(1-thr_gm_go)*(1-R146)-DM146)/(1+DJ146)*I146/((1+AH146)*J146),"")</f>
        <v>-10.8352303775705</v>
      </c>
      <c r="DQ146" s="86" t="n">
        <f aca="false">IF(AA146&gt;0,(CC146*(1-thr_gm_go)*(1-R146)-DN146)/(1+DK146)*I146/((1+AH146)*J146),"")</f>
        <v>-6.75534241565017</v>
      </c>
      <c r="DR146" s="92" t="n">
        <f aca="false">IF(AND(AY146*INDEX(in_cus_mpf_rate,1,C146)&gt;INDEX(in_cus_mpf_min,1,C146),AY146*INDEX(in_cus_mpf_rate,1,C146)&lt;INDEX(in_cus_mpf_max,1,C146)),INDEX(in_cus_mpf_rate,1,C146),0)</f>
        <v>0</v>
      </c>
      <c r="DS146" s="88" t="n">
        <f aca="false">IF(AZ146&gt;INDEX(in_oce_ins_min,1,C146),INDEX(in_oce_ins_rate,1,C146)*(1+INDEX(in_oce_ins_uplift,1,C146))*AL146,0)</f>
        <v>0</v>
      </c>
      <c r="DT146" s="88" t="n">
        <f aca="false">(AL146+AN146)*(1+BA146+INDEX(in_cus_hmf,1,C146)+DR146)+DS146</f>
        <v>6100.63221770434</v>
      </c>
      <c r="DU146" s="86" t="n">
        <f aca="false">IF(DT146&gt;0,(CD146*(1-thr_gm_go)-(BM146-DT146))/DT146,0)</f>
        <v>-1.229108673574</v>
      </c>
      <c r="DV146" s="86" t="n">
        <f aca="false">IF(DT146&gt;0,(CD146-(BM146-DT146))/DT146,0)</f>
        <v>-1.00047335345879</v>
      </c>
      <c r="DW146" s="87" t="n">
        <f aca="false">(1+AH146)*J146*DU146-1</f>
        <v>-2.3520195409314</v>
      </c>
      <c r="DX146" s="87" t="n">
        <f aca="false">(1+AH146)*J146*DV146-1</f>
        <v>-2.10052068880466</v>
      </c>
      <c r="DY146" s="85" t="n">
        <f aca="false">IF(G146&gt;0,(CD146*(1-thr_gm_go)-(BM146-AT146))/G146,"")</f>
        <v>-9698.97219076971</v>
      </c>
      <c r="DZ146" s="90" t="n">
        <f aca="false">IF(AB146&gt;0,(AL146+AN146+BB146+BC146+BD146)/AB146,0)</f>
        <v>0.229652088728893</v>
      </c>
      <c r="EA146" s="88" t="n">
        <f aca="false">BM146-DZ146*AB146</f>
        <v>11582.8257950896</v>
      </c>
      <c r="EB146" s="90" t="n">
        <f aca="false">IF(AB146&gt;0,CD146/AB146,0)</f>
        <v>0.20664</v>
      </c>
      <c r="EC146" s="85" t="str">
        <f aca="false">IF(EB146*(1-thr_gm_go)-DZ146&gt;0,EA146/(EB146*(1-thr_gm_go)-DZ146),"n/a")</f>
        <v>n/a</v>
      </c>
      <c r="ED146" s="85" t="str">
        <f aca="false">IF(EB146-DZ146&gt;0,EA146/(EB146-DZ146),"n/a")</f>
        <v>n/a</v>
      </c>
      <c r="EE146" s="93" t="b">
        <f aca="false">INDEX(cfg_fits,D146,C146)</f>
        <v>1</v>
      </c>
      <c r="EF146" s="87" t="n">
        <f aca="false">IF(F146=4,"",INDEX(cfg_lenutil,D146,C146))</f>
        <v>0.972413793103448</v>
      </c>
      <c r="EG146" s="31" t="str">
        <f aca="false">IF(O146&gt;1,"Check fit (units scaled up)","")</f>
        <v/>
      </c>
    </row>
    <row r="147" customFormat="false" ht="15" hidden="false" customHeight="false" outlineLevel="0" collapsed="false">
      <c r="A147" s="78" t="n">
        <v>3093</v>
      </c>
      <c r="B147" s="9" t="s">
        <v>3295</v>
      </c>
      <c r="C147" s="78" t="n">
        <v>3</v>
      </c>
      <c r="D147" s="78" t="n">
        <v>9</v>
      </c>
      <c r="E147" s="78" t="n">
        <v>3</v>
      </c>
      <c r="F147" s="79" t="n">
        <f aca="false">INDEX(cfg_ct,D147)</f>
        <v>1</v>
      </c>
      <c r="G147" s="79" t="n">
        <f aca="false">INDEX(cfg_n,D147)</f>
        <v>1</v>
      </c>
      <c r="H147" s="79" t="n">
        <f aca="false">INDEX(dest_port,E147)</f>
        <v>2</v>
      </c>
      <c r="I147" s="80" t="n">
        <f aca="false">INDEX(in_fx_cbe,1,C147)*(1-INDEX(in_fx_spread,1,C147))</f>
        <v>48.265</v>
      </c>
      <c r="J147" s="81" t="n">
        <f aca="false">1</f>
        <v>1</v>
      </c>
      <c r="K147" s="82" t="n">
        <f aca="false">INDEX(in_sup_vat_mode,1,C147)</f>
        <v>3</v>
      </c>
      <c r="L147" s="83" t="n">
        <f aca="false">INDEX(in_cus_s301,1,C147)</f>
        <v>0.125</v>
      </c>
      <c r="M147" s="84" t="n">
        <f aca="false">1</f>
        <v>1</v>
      </c>
      <c r="N147" s="81" t="n">
        <f aca="false">1</f>
        <v>1</v>
      </c>
      <c r="O147" s="81" t="n">
        <f aca="false">1</f>
        <v>1</v>
      </c>
      <c r="P147" s="81" t="n">
        <f aca="false">1</f>
        <v>1</v>
      </c>
      <c r="Q147" s="81" t="n">
        <f aca="false">1</f>
        <v>1</v>
      </c>
      <c r="R147" s="83" t="n">
        <f aca="false">INDEX(in_sel_damage,1,C147)</f>
        <v>0.04</v>
      </c>
      <c r="S147" s="83" t="n">
        <f aca="false">INDEX(in_mkt_dist_margin,1,C147)</f>
        <v>0.3</v>
      </c>
      <c r="T147" s="83" t="n">
        <f aca="false">INDEX(in_mkt_eflute_disc,1,C147)</f>
        <v>0.25</v>
      </c>
      <c r="U147" s="82" t="n">
        <f aca="false">INDEX(in_sel_credit_days,1,C147)</f>
        <v>60</v>
      </c>
      <c r="V147" s="81" t="n">
        <f aca="false">1</f>
        <v>1</v>
      </c>
      <c r="W147" s="83" t="n">
        <f aca="false">INDEX(in_sel_commission,1,C147)</f>
        <v>0.07</v>
      </c>
      <c r="X147" s="82" t="n">
        <f aca="false">1</f>
        <v>1</v>
      </c>
      <c r="Y147" s="85" t="n">
        <f aca="false">INDEX(cfg_u_3464,D147,C147)*O147</f>
        <v>9000</v>
      </c>
      <c r="Z147" s="85" t="n">
        <f aca="false">INDEX(cfg_u_3463,D147,C147)*O147</f>
        <v>9000</v>
      </c>
      <c r="AA147" s="85" t="n">
        <f aca="false">INDEX(cfg_u_3460,D147,C147)*O147</f>
        <v>9000</v>
      </c>
      <c r="AB147" s="85" t="n">
        <f aca="false">Y147+Z147+AA147</f>
        <v>27000</v>
      </c>
      <c r="AC147" s="86" t="n">
        <f aca="false">Y147*INDEX(lg_vpu_3464,C147)</f>
        <v>7.202844</v>
      </c>
      <c r="AD147" s="86" t="n">
        <f aca="false">Z147*INDEX(lg_vpu_3463,C147)</f>
        <v>8.811504</v>
      </c>
      <c r="AE147" s="86" t="n">
        <f aca="false">AA147*INDEX(lg_vpu_3460,C147)</f>
        <v>5.756184</v>
      </c>
      <c r="AF147" s="86" t="n">
        <f aca="false">AC147+AD147+AE147</f>
        <v>21.770532</v>
      </c>
      <c r="AG147" s="85" t="n">
        <f aca="false">Y147*INDEX(lg_kpu_3464,C147)+Z147*INDEX(lg_kpu_3463,C147)+AA147*INDEX(lg_kpu_3460,C147)</f>
        <v>5311.097856</v>
      </c>
      <c r="AH147" s="87" t="n">
        <f aca="false">INDEX(in_sup_requote,1,C147)</f>
        <v>0.1</v>
      </c>
      <c r="AI147" s="88" t="n">
        <f aca="false">Y147*q_price_3464*(1+AH147)*J147/I147</f>
        <v>1715.80855692531</v>
      </c>
      <c r="AJ147" s="88" t="n">
        <f aca="false">Z147*q_price_3463*(1+AH147)*J147/I147</f>
        <v>1620.42888221278</v>
      </c>
      <c r="AK147" s="88" t="n">
        <f aca="false">AA147*q_price_3460*(1+AH147)*J147/I147</f>
        <v>1415.31130218585</v>
      </c>
      <c r="AL147" s="88" t="n">
        <f aca="false">AI147+AJ147+AK147</f>
        <v>4751.54874132394</v>
      </c>
      <c r="AM147" s="88" t="n">
        <f aca="false">IF(OR(K147=2,K147=3),AL147*INDEX(in_sup_vat_rate,1,C147),0)</f>
        <v>665.216823785352</v>
      </c>
      <c r="AN147" s="88" t="n">
        <f aca="false">IF(K147=3,AM147,0)</f>
        <v>665.216823785352</v>
      </c>
      <c r="AO147" s="88" t="n">
        <f aca="false">INDEX(in_sup_tooling_egp,1,C147)/I147</f>
        <v>517.973686936704</v>
      </c>
      <c r="AP147" s="88" t="n">
        <f aca="false">IF(F147=4,INDEX(in_ori_lcl_truck,1,C147)*V147/I147+INDEX(in_ori_lcl_cfs_o,1,C147),G147*(IF(F147=1,INDEX(in_ori_truck_20,1,C147),INDEX(in_ori_truck_40,1,C147))*V147/I147+INDEX(in_ori_terminal,1,C147)+IF(F147=1,INDEX(in_ori_othc_20,1,C147),INDEX(in_ori_othc_40,1,C147))*(1-INDEX(in_ori_othc_in_freight,1,C147))+INDEX(in_ori_seal,1,C147)+INDEX(in_ori_inspection,1,C147)+INDEX(in_ori_dd_days,1,C147)*IF(F147=1,INDEX(in_ori_dd_20,1,C147),INDEX(in_ori_dd_40,1,C147))+INDEX(in_ori_loading_egp,1,C147)/I147))</f>
        <v>677.143685900756</v>
      </c>
      <c r="AQ147" s="88" t="n">
        <f aca="false">(INDEX(in_ori_clearance,1,C147)+INDEX(in_ori_coo,1,C147))/I147+INDEX(in_ori_bl_fee,1,C147)+INDEX(in_ori_fwd_fee,1,C147)+INDEX(in_ori_qc,1,C147)+INDEX(in_ori_wires,1,C147)*INDEX(in_ori_wire_fee,1,C147)</f>
        <v>1167.90842225215</v>
      </c>
      <c r="AR147" s="88" t="n">
        <f aca="false">AP147+AQ147</f>
        <v>1845.05210815291</v>
      </c>
      <c r="AS147" s="85" t="n">
        <f aca="false">INDEX(tbl_port_diff,H147,C147)</f>
        <v>300</v>
      </c>
      <c r="AT147" s="88" t="n">
        <f aca="false">IF(F147=4,MAX(AF147*INDEX(in_oce_lcl_factor,1,C147),AG147/1000,1)*INDEX(in_oce_lcl_rate,1,C147)*M147,G147*(INDEX(tbl_ocean_rate,MIN(F147,3),C147)+AS147)*M147)</f>
        <v>4200</v>
      </c>
      <c r="AU147" s="88" t="n">
        <f aca="false">AT147+INDEX(in_oce_ams,1,C147)</f>
        <v>4245</v>
      </c>
      <c r="AV147" s="88" t="n">
        <f aca="false">AI147*(1+IF(K147=3,INDEX(in_sup_vat_rate,1,C147),0))+AO147*Y147/AB147</f>
        <v>2128.67965054042</v>
      </c>
      <c r="AW147" s="88" t="n">
        <f aca="false">AJ147*(1+IF(K147=3,INDEX(in_sup_vat_rate,1,C147),0))+AO147*Z147/AB147</f>
        <v>2019.94682136814</v>
      </c>
      <c r="AX147" s="88" t="n">
        <f aca="false">AK147*(1+IF(K147=3,INDEX(in_sup_vat_rate,1,C147),0))+AO147*AA147/AB147</f>
        <v>1786.11278013744</v>
      </c>
      <c r="AY147" s="88" t="n">
        <f aca="false">AV147+AW147+AX147</f>
        <v>5934.739252046</v>
      </c>
      <c r="AZ147" s="88" t="n">
        <f aca="false">MAX(INDEX(in_oce_ins_min,1,C147),INDEX(in_oce_ins_rate,1,C147)*(1+INDEX(in_oce_ins_uplift,1,C147))*(AL147+AO147+AR147+AU147))*(1-INDEX(in_oce_ins_in_other,1,C147))</f>
        <v>100</v>
      </c>
      <c r="BA147" s="87" t="n">
        <f aca="false">INDEX(in_cus_mfn,1,C147)+L147</f>
        <v>0.125</v>
      </c>
      <c r="BB147" s="88" t="n">
        <f aca="false">AY147*BA147</f>
        <v>741.84240650575</v>
      </c>
      <c r="BC147" s="88" t="n">
        <f aca="false">MIN(MAX(AY147*INDEX(in_cus_mpf_rate,1,C147),INDEX(in_cus_mpf_min,1,C147)),INDEX(in_cus_mpf_max,1,C147))</f>
        <v>34.58</v>
      </c>
      <c r="BD147" s="88" t="n">
        <f aca="false">AY147*INDEX(in_cus_hmf,1,C147)</f>
        <v>7.4184240650575</v>
      </c>
      <c r="BE147" s="88" t="n">
        <f aca="false">MAX(INDEX(in_cus_stb_min,1,C147),INDEX(in_cus_stb_rate,1,C147)/1000*(AY147+BB147+BC147+BD147))</f>
        <v>75</v>
      </c>
      <c r="BF147" s="88" t="n">
        <f aca="false">INDEX(in_cus_broker,1,C147)+INDEX(in_cus_isf,1,C147)+INDEX(in_cus_do_fee,1,C147)+BE147+INDEX(in_cus_isf_bond,1,C147)</f>
        <v>700</v>
      </c>
      <c r="BG147" s="88" t="n">
        <f aca="false">IF(H147=1,INDEX(in_cus_cfc,1,C147)*INDEX(ct_teu,F147)*G147*(1-INDEX(in_cus_cfc_in_freight,1,C147)),0)</f>
        <v>0</v>
      </c>
      <c r="BH147" s="88" t="n">
        <f aca="false">IF(F147=4,1,G147)*(INDEX(in_cus_exam,1,C147)+INDEX(in_cus_exam_dray,1,C147))</f>
        <v>600</v>
      </c>
      <c r="BI147" s="88" t="n">
        <f aca="false">IF(F147=4,1,G147)*INDEX(in_cus_dem_days,1,C147)*INDEX(in_cus_dem_rate,1,C147)</f>
        <v>750</v>
      </c>
      <c r="BJ147" s="88" t="n">
        <f aca="false">BG147+BH147+BI147</f>
        <v>1350</v>
      </c>
      <c r="BK147" s="88" t="n">
        <f aca="false">IF(F147=4,(INDEX(in_dra_lcl_cfs_d,1,C147)+INDEX(in_dra_lcl_deliv,1,C147))*P147,G147*(INDEX(tbl_dest_line,E147,C147)*P147*(1+INDEX(in_dra_fsc,1,C147))+INDEX(tbl_dest_tolls,E147,C147)+INDEX(in_dra_chassis_days,1,C147)*INDEX(tbl_dest_chassis,E147,C147)*(1-INDEX(in_dra_chassis_in_dray,1,C147))+INDEX(in_dra_wait_hours,1,C147)*INDEX(in_dra_wait_rate,1,C147)+INDEX(in_dra_split,1,C147)+INDEX(in_dra_prepull,1,C147)+INDEX(in_dra_dryrun,1,C147)))</f>
        <v>2100</v>
      </c>
      <c r="BL147" s="88" t="n">
        <f aca="false">IF(F147=4,0,G147*IF(F147=1,INDEX(in_dra_unload_20,1,C147),INDEX(in_dra_unload_40,1,C147))*Q147*(1-INDEX(in_dra_unload_in_dray,1,C147)))</f>
        <v>450</v>
      </c>
      <c r="BM147" s="88" t="n">
        <f aca="false">AL147+AN147+AO147+AR147+AU147+AZ147+BB147+BC147+BD147+BF147+BJ147+BK147+BL147</f>
        <v>17508.6321907697</v>
      </c>
      <c r="BN147" s="88" t="n">
        <f aca="false">AP147+AU147+BJ147+BK147+BL147</f>
        <v>8822.14368590076</v>
      </c>
      <c r="BO147" s="88" t="n">
        <f aca="false">AQ147+BF147</f>
        <v>1867.90842225215</v>
      </c>
      <c r="BP147" s="88" t="n">
        <f aca="false">AI147*(1+IF(K147=3,INDEX(in_sup_vat_rate,1,C147),0))+AO147*Y147/AB147+AV147*BA147+(BC147+BD147)*AV147/AY147+AZ147*AI147/AL147+BN147*AC147/AF147+BO147*Y147/AB147</f>
        <v>5987.40727194355</v>
      </c>
      <c r="BQ147" s="88" t="n">
        <f aca="false">AJ147*(1+IF(K147=3,INDEX(in_sup_vat_rate,1,C147),0))+AO147*Z147/AB147+AW147*BA147+(BC147+BD147)*AW147/AY147+AZ147*AJ147/AL147+BN147*AD147/AF147+BO147*Z147/AB147</f>
        <v>6514.18856821811</v>
      </c>
      <c r="BR147" s="88" t="n">
        <f aca="false">AK147*(1+IF(K147=3,INDEX(in_sup_vat_rate,1,C147),0))+AO147*AA147/AB147+AX147*BA147+(BC147+BD147)*AX147/AY147+AZ147*AK147/AL147+BN147*AE147/AF147+BO147*AA147/AB147</f>
        <v>5007.03635060804</v>
      </c>
      <c r="BS147" s="89" t="n">
        <f aca="false">BP147+BQ147+BR147-BM147</f>
        <v>0</v>
      </c>
      <c r="BT147" s="85" t="n">
        <f aca="false">Y147*(1-R147)</f>
        <v>8640</v>
      </c>
      <c r="BU147" s="85" t="n">
        <f aca="false">Z147*(1-R147)</f>
        <v>8640</v>
      </c>
      <c r="BV147" s="85" t="n">
        <f aca="false">AA147*(1-R147)</f>
        <v>8640</v>
      </c>
      <c r="BW147" s="85" t="n">
        <f aca="false">BT147+BU147+BV147</f>
        <v>25920</v>
      </c>
      <c r="BX147" s="90" t="n">
        <f aca="false">IF(BT147&gt;0,BP147/BT147,0)</f>
        <v>0.692986952771244</v>
      </c>
      <c r="BY147" s="90" t="n">
        <f aca="false">IF(BU147&gt;0,BQ147/BU147,0)</f>
        <v>0.75395701021043</v>
      </c>
      <c r="BZ147" s="90" t="n">
        <f aca="false">IF(BV147&gt;0,BR147/BV147,0)</f>
        <v>0.57951809613519</v>
      </c>
      <c r="CA147" s="90" t="n">
        <f aca="false">INDEX(in_mkt_listing_3464,1,C147)*(1-IF(sku_flute_3464="B",T147,0))*(1-S147)*N147</f>
        <v>0.1995</v>
      </c>
      <c r="CB147" s="90" t="n">
        <f aca="false">INDEX(in_mkt_listing_3463,1,C147)*(1-IF(sku_flute_3463="B",T147,0))*(1-S147)*N147</f>
        <v>0.23625</v>
      </c>
      <c r="CC147" s="90" t="n">
        <f aca="false">INDEX(in_mkt_listing_3460,1,C147)*(1-IF(sku_flute_3460="B",T147,0))*(1-S147)*N147</f>
        <v>0.21</v>
      </c>
      <c r="CD147" s="88" t="n">
        <f aca="false">BT147*CA147+BU147*CB147+BV147*CC147</f>
        <v>5579.28</v>
      </c>
      <c r="CE147" s="88" t="n">
        <f aca="false">CD147-BM147</f>
        <v>-11929.3521907697</v>
      </c>
      <c r="CF147" s="87" t="n">
        <f aca="false">IF(CD147&gt;0,CE147/CD147,0)</f>
        <v>-2.13815262735868</v>
      </c>
      <c r="CG147" s="87" t="n">
        <f aca="false">W147+INDEX(in_sel_processing,1,C147)+INDEX(in_sel_bad_debt,1,C147)</f>
        <v>0.095</v>
      </c>
      <c r="CH147" s="88" t="n">
        <f aca="false">CD147*CG147</f>
        <v>530.0316</v>
      </c>
      <c r="CI147" s="88" t="n">
        <f aca="false">INDEX(in_sel_testing,1,C147)*X147+INDEX(in_sel_admin,1,C147)</f>
        <v>4750</v>
      </c>
      <c r="CJ147" s="79" t="n">
        <f aca="false">INDEX(in_sup_lead_days,1,C147)</f>
        <v>35</v>
      </c>
      <c r="CK147" s="79" t="n">
        <f aca="false">CJ147+INDEX(in_oce_transit,1,C147)+IF(F147=4,INDEX(in_oce_lcl_extra_days,1,C147),0)</f>
        <v>73</v>
      </c>
      <c r="CL147" s="79" t="n">
        <f aca="false">CK147+2+INDEX(in_cus_dem_days,1,C147)</f>
        <v>78</v>
      </c>
      <c r="CM147" s="79" t="n">
        <f aca="false">CL147+U147</f>
        <v>138</v>
      </c>
      <c r="CN147" s="79" t="n">
        <f aca="false">CJ147+INDEX(in_sup_vat_lag,1,C147)</f>
        <v>215</v>
      </c>
      <c r="CO147" s="91" t="n">
        <f aca="false">INDEX(in_sup_advance,1,C147)</f>
        <v>0.5</v>
      </c>
      <c r="CP147" s="88" t="n">
        <f aca="false">CO147*(AL147+AM147)+AO147+INDEX(in_sel_testing,1,C147)*X147</f>
        <v>7226.35646949135</v>
      </c>
      <c r="CQ147" s="88" t="n">
        <f aca="false">(1-CO147)*(AL147+AM147)+AR147+AU147+AZ147</f>
        <v>8898.43489070755</v>
      </c>
      <c r="CR147" s="88" t="n">
        <f aca="false">BB147+BC147+BD147+BF147+BJ147</f>
        <v>2833.84083057081</v>
      </c>
      <c r="CS147" s="88" t="n">
        <f aca="false">BK147+BL147</f>
        <v>2550</v>
      </c>
      <c r="CT147" s="88" t="n">
        <f aca="false">IF(K147=2,AM147,0)</f>
        <v>0</v>
      </c>
      <c r="CU147" s="85" t="n">
        <f aca="false">IF(K147=2,CO147*AM147*(CN147-0)+(1-CO147)*AM147*(CN147-CJ147),0)</f>
        <v>0</v>
      </c>
      <c r="CV147" s="85" t="n">
        <f aca="false">(CP147-CO147*CT147)*(CM147-0)+(CQ147-(1-CO147)*CT147)*(CM147-CJ147)+CR147*(CM147-CK147)+CS147*(CM147-CL147)</f>
        <v>2250975.64051979</v>
      </c>
      <c r="CW147" s="88" t="n">
        <f aca="false">INDEX(in_sel_fin_rate,1,C147)/365*(CU147+CV147)</f>
        <v>863.387916911699</v>
      </c>
      <c r="CX147" s="85" t="n">
        <f aca="false">CP147-IF(CN147&lt;=0,CT147,0)</f>
        <v>7226.35646949135</v>
      </c>
      <c r="CY147" s="85" t="n">
        <f aca="false">CP147+CQ147-IF(CN147&lt;=CJ147,CT147,0)</f>
        <v>16124.7913601989</v>
      </c>
      <c r="CZ147" s="85" t="n">
        <f aca="false">CP147+CQ147+CR147-IF(CN147&lt;=CK147,CT147,0)</f>
        <v>18958.6321907697</v>
      </c>
      <c r="DA147" s="85" t="n">
        <f aca="false">CP147+CQ147+CR147+CS147-IF(CN147&lt;=CL147,CT147,0)</f>
        <v>21508.6321907697</v>
      </c>
      <c r="DB147" s="88" t="n">
        <f aca="false">MAX(CX147,CY147,CZ147,DA147)</f>
        <v>21508.6321907697</v>
      </c>
      <c r="DC147" s="88" t="n">
        <f aca="false">CP147+CQ147+CR147+CS147</f>
        <v>21508.6321907697</v>
      </c>
      <c r="DD147" s="88" t="n">
        <f aca="false">CE147-CH147-CI147-CW147</f>
        <v>-18072.7717076814</v>
      </c>
      <c r="DE147" s="87" t="n">
        <f aca="false">IF(CD147&gt;0,DD147/CD147,0)</f>
        <v>-3.23926594608649</v>
      </c>
      <c r="DF147" s="86" t="n">
        <f aca="false">IF(CD147&gt;0,(BM147+CI147+CW147)/(CD147*(1-CG147)),0)</f>
        <v>4.57929938794087</v>
      </c>
      <c r="DG147" s="90" t="n">
        <f aca="false">IF(BW147&gt;0,BM147/BW147,0)</f>
        <v>0.675487353038955</v>
      </c>
      <c r="DH147" s="90" t="n">
        <f aca="false">IF(BW147&gt;0,CD147/BW147,0)</f>
        <v>0.21525</v>
      </c>
      <c r="DI147" s="90" t="n">
        <f aca="false">IF(AI147&gt;0,(AI147*IF(K147=3,INDEX(in_sup_vat_rate,1,C147),0)+AV147*BA147+(BC147+BD147)*AV147/AY147+AZ147*AI147/AL147)/AI147,0)</f>
        <v>0.324903795661456</v>
      </c>
      <c r="DJ147" s="90" t="n">
        <f aca="false">IF(AJ147&gt;0,(AJ147*IF(K147=3,INDEX(in_sup_vat_rate,1,C147),0)+AW147*BA147+(BC147+BD147)*AW147/AY147+AZ147*AJ147/AL147)/AJ147,0)</f>
        <v>0.325686089149929</v>
      </c>
      <c r="DK147" s="90" t="n">
        <f aca="false">IF(AK147&gt;0,(AK147*IF(K147=3,INDEX(in_sup_vat_rate,1,C147),0)+AX147*BA147+(BC147+BD147)*AX147/AY147+AZ147*AK147/AL147)/AK147,0)</f>
        <v>0.327725635676681</v>
      </c>
      <c r="DL147" s="90" t="n">
        <f aca="false">IF(Y147&gt;0,(BP147-AI147*(1+DI147))/Y147,0)</f>
        <v>0.412680666916089</v>
      </c>
      <c r="DM147" s="90" t="n">
        <f aca="false">IF(Z147&gt;0,(BQ147-AJ147*(1+DJ147))/Z147,0)</f>
        <v>0.485112060067984</v>
      </c>
      <c r="DN147" s="90" t="n">
        <f aca="false">IF(AA147&gt;0,(BR147-AK147*(1+DK147))/AA147,0)</f>
        <v>0.347543472470327</v>
      </c>
      <c r="DO147" s="86" t="n">
        <f aca="false">IF(Y147&gt;0,(CA147*(1-thr_gm_go)*(1-R147)-DL147)/(1+DI147)*I147/((1+AH147)*J147),"")</f>
        <v>-8.90990784059992</v>
      </c>
      <c r="DP147" s="86" t="n">
        <f aca="false">IF(Z147&gt;0,(CB147*(1-thr_gm_go)*(1-R147)-DM147)/(1+DJ147)*I147/((1+AH147)*J147),"")</f>
        <v>-10.4262013346206</v>
      </c>
      <c r="DQ147" s="86" t="n">
        <f aca="false">IF(AA147&gt;0,(CC147*(1-thr_gm_go)*(1-R147)-DN147)/(1+DK147)*I147/((1+AH147)*J147),"")</f>
        <v>-6.48855144339338</v>
      </c>
      <c r="DR147" s="92" t="n">
        <f aca="false">IF(AND(AY147*INDEX(in_cus_mpf_rate,1,C147)&gt;INDEX(in_cus_mpf_min,1,C147),AY147*INDEX(in_cus_mpf_rate,1,C147)&lt;INDEX(in_cus_mpf_max,1,C147)),INDEX(in_cus_mpf_rate,1,C147),0)</f>
        <v>0</v>
      </c>
      <c r="DS147" s="88" t="n">
        <f aca="false">IF(AZ147&gt;INDEX(in_oce_ins_min,1,C147),INDEX(in_oce_ins_rate,1,C147)*(1+INDEX(in_oce_ins_uplift,1,C147))*AL147,0)</f>
        <v>0</v>
      </c>
      <c r="DT147" s="88" t="n">
        <f aca="false">(AL147+AN147)*(1+BA147+INDEX(in_cus_hmf,1,C147)+DR147)+DS147</f>
        <v>6100.63221770434</v>
      </c>
      <c r="DU147" s="86" t="n">
        <f aca="false">IF(DT147&gt;0,(CD147*(1-thr_gm_go)-(BM147-DT147))/DT147,0)</f>
        <v>-1.18406416176053</v>
      </c>
      <c r="DV147" s="86" t="n">
        <f aca="false">IF(DT147&gt;0,(CD147-(BM147-DT147))/DT147,0)</f>
        <v>-0.955428841645319</v>
      </c>
      <c r="DW147" s="87" t="n">
        <f aca="false">(1+AH147)*J147*DU147-1</f>
        <v>-2.30247057793658</v>
      </c>
      <c r="DX147" s="87" t="n">
        <f aca="false">(1+AH147)*J147*DV147-1</f>
        <v>-2.05097172580985</v>
      </c>
      <c r="DY147" s="85" t="n">
        <f aca="false">IF(G147&gt;0,(CD147*(1-thr_gm_go)-(BM147-AT147))/G147,"")</f>
        <v>-9124.17219076971</v>
      </c>
      <c r="DZ147" s="90" t="n">
        <f aca="false">IF(AB147&gt;0,(AL147+AN147+BB147+BC147+BD147)/AB147,0)</f>
        <v>0.229652088728893</v>
      </c>
      <c r="EA147" s="88" t="n">
        <f aca="false">BM147-DZ147*AB147</f>
        <v>11308.0257950896</v>
      </c>
      <c r="EB147" s="90" t="n">
        <f aca="false">IF(AB147&gt;0,CD147/AB147,0)</f>
        <v>0.20664</v>
      </c>
      <c r="EC147" s="85" t="str">
        <f aca="false">IF(EB147*(1-thr_gm_go)-DZ147&gt;0,EA147/(EB147*(1-thr_gm_go)-DZ147),"n/a")</f>
        <v>n/a</v>
      </c>
      <c r="ED147" s="85" t="str">
        <f aca="false">IF(EB147-DZ147&gt;0,EA147/(EB147-DZ147),"n/a")</f>
        <v>n/a</v>
      </c>
      <c r="EE147" s="93" t="b">
        <f aca="false">INDEX(cfg_fits,D147,C147)</f>
        <v>1</v>
      </c>
      <c r="EF147" s="87" t="n">
        <f aca="false">IF(F147=4,"",INDEX(cfg_lenutil,D147,C147))</f>
        <v>0.972413793103448</v>
      </c>
      <c r="EG147" s="31" t="str">
        <f aca="false">IF(O147&gt;1,"Check fit (units scaled up)","")</f>
        <v/>
      </c>
    </row>
    <row r="148" customFormat="false" ht="15" hidden="false" customHeight="false" outlineLevel="0" collapsed="false">
      <c r="A148" s="78" t="n">
        <v>3094</v>
      </c>
      <c r="B148" s="9" t="s">
        <v>3296</v>
      </c>
      <c r="C148" s="78" t="n">
        <v>3</v>
      </c>
      <c r="D148" s="78" t="n">
        <v>9</v>
      </c>
      <c r="E148" s="78" t="n">
        <v>4</v>
      </c>
      <c r="F148" s="79" t="n">
        <f aca="false">INDEX(cfg_ct,D148)</f>
        <v>1</v>
      </c>
      <c r="G148" s="79" t="n">
        <f aca="false">INDEX(cfg_n,D148)</f>
        <v>1</v>
      </c>
      <c r="H148" s="79" t="n">
        <f aca="false">INDEX(dest_port,E148)</f>
        <v>3</v>
      </c>
      <c r="I148" s="80" t="n">
        <f aca="false">INDEX(in_fx_cbe,1,C148)*(1-INDEX(in_fx_spread,1,C148))</f>
        <v>48.265</v>
      </c>
      <c r="J148" s="81" t="n">
        <f aca="false">1</f>
        <v>1</v>
      </c>
      <c r="K148" s="82" t="n">
        <f aca="false">INDEX(in_sup_vat_mode,1,C148)</f>
        <v>3</v>
      </c>
      <c r="L148" s="83" t="n">
        <f aca="false">INDEX(in_cus_s301,1,C148)</f>
        <v>0.125</v>
      </c>
      <c r="M148" s="84" t="n">
        <f aca="false">1</f>
        <v>1</v>
      </c>
      <c r="N148" s="81" t="n">
        <f aca="false">1</f>
        <v>1</v>
      </c>
      <c r="O148" s="81" t="n">
        <f aca="false">1</f>
        <v>1</v>
      </c>
      <c r="P148" s="81" t="n">
        <f aca="false">1</f>
        <v>1</v>
      </c>
      <c r="Q148" s="81" t="n">
        <f aca="false">1</f>
        <v>1</v>
      </c>
      <c r="R148" s="83" t="n">
        <f aca="false">INDEX(in_sel_damage,1,C148)</f>
        <v>0.04</v>
      </c>
      <c r="S148" s="83" t="n">
        <f aca="false">INDEX(in_mkt_dist_margin,1,C148)</f>
        <v>0.3</v>
      </c>
      <c r="T148" s="83" t="n">
        <f aca="false">INDEX(in_mkt_eflute_disc,1,C148)</f>
        <v>0.25</v>
      </c>
      <c r="U148" s="82" t="n">
        <f aca="false">INDEX(in_sel_credit_days,1,C148)</f>
        <v>60</v>
      </c>
      <c r="V148" s="81" t="n">
        <f aca="false">1</f>
        <v>1</v>
      </c>
      <c r="W148" s="83" t="n">
        <f aca="false">INDEX(in_sel_commission,1,C148)</f>
        <v>0.07</v>
      </c>
      <c r="X148" s="82" t="n">
        <f aca="false">1</f>
        <v>1</v>
      </c>
      <c r="Y148" s="85" t="n">
        <f aca="false">INDEX(cfg_u_3464,D148,C148)*O148</f>
        <v>9000</v>
      </c>
      <c r="Z148" s="85" t="n">
        <f aca="false">INDEX(cfg_u_3463,D148,C148)*O148</f>
        <v>9000</v>
      </c>
      <c r="AA148" s="85" t="n">
        <f aca="false">INDEX(cfg_u_3460,D148,C148)*O148</f>
        <v>9000</v>
      </c>
      <c r="AB148" s="85" t="n">
        <f aca="false">Y148+Z148+AA148</f>
        <v>27000</v>
      </c>
      <c r="AC148" s="86" t="n">
        <f aca="false">Y148*INDEX(lg_vpu_3464,C148)</f>
        <v>7.202844</v>
      </c>
      <c r="AD148" s="86" t="n">
        <f aca="false">Z148*INDEX(lg_vpu_3463,C148)</f>
        <v>8.811504</v>
      </c>
      <c r="AE148" s="86" t="n">
        <f aca="false">AA148*INDEX(lg_vpu_3460,C148)</f>
        <v>5.756184</v>
      </c>
      <c r="AF148" s="86" t="n">
        <f aca="false">AC148+AD148+AE148</f>
        <v>21.770532</v>
      </c>
      <c r="AG148" s="85" t="n">
        <f aca="false">Y148*INDEX(lg_kpu_3464,C148)+Z148*INDEX(lg_kpu_3463,C148)+AA148*INDEX(lg_kpu_3460,C148)</f>
        <v>5311.097856</v>
      </c>
      <c r="AH148" s="87" t="n">
        <f aca="false">INDEX(in_sup_requote,1,C148)</f>
        <v>0.1</v>
      </c>
      <c r="AI148" s="88" t="n">
        <f aca="false">Y148*q_price_3464*(1+AH148)*J148/I148</f>
        <v>1715.80855692531</v>
      </c>
      <c r="AJ148" s="88" t="n">
        <f aca="false">Z148*q_price_3463*(1+AH148)*J148/I148</f>
        <v>1620.42888221278</v>
      </c>
      <c r="AK148" s="88" t="n">
        <f aca="false">AA148*q_price_3460*(1+AH148)*J148/I148</f>
        <v>1415.31130218585</v>
      </c>
      <c r="AL148" s="88" t="n">
        <f aca="false">AI148+AJ148+AK148</f>
        <v>4751.54874132394</v>
      </c>
      <c r="AM148" s="88" t="n">
        <f aca="false">IF(OR(K148=2,K148=3),AL148*INDEX(in_sup_vat_rate,1,C148),0)</f>
        <v>665.216823785352</v>
      </c>
      <c r="AN148" s="88" t="n">
        <f aca="false">IF(K148=3,AM148,0)</f>
        <v>665.216823785352</v>
      </c>
      <c r="AO148" s="88" t="n">
        <f aca="false">INDEX(in_sup_tooling_egp,1,C148)/I148</f>
        <v>517.973686936704</v>
      </c>
      <c r="AP148" s="88" t="n">
        <f aca="false">IF(F148=4,INDEX(in_ori_lcl_truck,1,C148)*V148/I148+INDEX(in_ori_lcl_cfs_o,1,C148),G148*(IF(F148=1,INDEX(in_ori_truck_20,1,C148),INDEX(in_ori_truck_40,1,C148))*V148/I148+INDEX(in_ori_terminal,1,C148)+IF(F148=1,INDEX(in_ori_othc_20,1,C148),INDEX(in_ori_othc_40,1,C148))*(1-INDEX(in_ori_othc_in_freight,1,C148))+INDEX(in_ori_seal,1,C148)+INDEX(in_ori_inspection,1,C148)+INDEX(in_ori_dd_days,1,C148)*IF(F148=1,INDEX(in_ori_dd_20,1,C148),INDEX(in_ori_dd_40,1,C148))+INDEX(in_ori_loading_egp,1,C148)/I148))</f>
        <v>677.143685900756</v>
      </c>
      <c r="AQ148" s="88" t="n">
        <f aca="false">(INDEX(in_ori_clearance,1,C148)+INDEX(in_ori_coo,1,C148))/I148+INDEX(in_ori_bl_fee,1,C148)+INDEX(in_ori_fwd_fee,1,C148)+INDEX(in_ori_qc,1,C148)+INDEX(in_ori_wires,1,C148)*INDEX(in_ori_wire_fee,1,C148)</f>
        <v>1167.90842225215</v>
      </c>
      <c r="AR148" s="88" t="n">
        <f aca="false">AP148+AQ148</f>
        <v>1845.05210815291</v>
      </c>
      <c r="AS148" s="85" t="n">
        <f aca="false">INDEX(tbl_port_diff,H148,C148)</f>
        <v>100</v>
      </c>
      <c r="AT148" s="88" t="n">
        <f aca="false">IF(F148=4,MAX(AF148*INDEX(in_oce_lcl_factor,1,C148),AG148/1000,1)*INDEX(in_oce_lcl_rate,1,C148)*M148,G148*(INDEX(tbl_ocean_rate,MIN(F148,3),C148)+AS148)*M148)</f>
        <v>4000</v>
      </c>
      <c r="AU148" s="88" t="n">
        <f aca="false">AT148+INDEX(in_oce_ams,1,C148)</f>
        <v>4045</v>
      </c>
      <c r="AV148" s="88" t="n">
        <f aca="false">AI148*(1+IF(K148=3,INDEX(in_sup_vat_rate,1,C148),0))+AO148*Y148/AB148</f>
        <v>2128.67965054042</v>
      </c>
      <c r="AW148" s="88" t="n">
        <f aca="false">AJ148*(1+IF(K148=3,INDEX(in_sup_vat_rate,1,C148),0))+AO148*Z148/AB148</f>
        <v>2019.94682136814</v>
      </c>
      <c r="AX148" s="88" t="n">
        <f aca="false">AK148*(1+IF(K148=3,INDEX(in_sup_vat_rate,1,C148),0))+AO148*AA148/AB148</f>
        <v>1786.11278013744</v>
      </c>
      <c r="AY148" s="88" t="n">
        <f aca="false">AV148+AW148+AX148</f>
        <v>5934.739252046</v>
      </c>
      <c r="AZ148" s="88" t="n">
        <f aca="false">MAX(INDEX(in_oce_ins_min,1,C148),INDEX(in_oce_ins_rate,1,C148)*(1+INDEX(in_oce_ins_uplift,1,C148))*(AL148+AO148+AR148+AU148))*(1-INDEX(in_oce_ins_in_other,1,C148))</f>
        <v>100</v>
      </c>
      <c r="BA148" s="87" t="n">
        <f aca="false">INDEX(in_cus_mfn,1,C148)+L148</f>
        <v>0.125</v>
      </c>
      <c r="BB148" s="88" t="n">
        <f aca="false">AY148*BA148</f>
        <v>741.84240650575</v>
      </c>
      <c r="BC148" s="88" t="n">
        <f aca="false">MIN(MAX(AY148*INDEX(in_cus_mpf_rate,1,C148),INDEX(in_cus_mpf_min,1,C148)),INDEX(in_cus_mpf_max,1,C148))</f>
        <v>34.58</v>
      </c>
      <c r="BD148" s="88" t="n">
        <f aca="false">AY148*INDEX(in_cus_hmf,1,C148)</f>
        <v>7.4184240650575</v>
      </c>
      <c r="BE148" s="88" t="n">
        <f aca="false">MAX(INDEX(in_cus_stb_min,1,C148),INDEX(in_cus_stb_rate,1,C148)/1000*(AY148+BB148+BC148+BD148))</f>
        <v>75</v>
      </c>
      <c r="BF148" s="88" t="n">
        <f aca="false">INDEX(in_cus_broker,1,C148)+INDEX(in_cus_isf,1,C148)+INDEX(in_cus_do_fee,1,C148)+BE148+INDEX(in_cus_isf_bond,1,C148)</f>
        <v>700</v>
      </c>
      <c r="BG148" s="88" t="n">
        <f aca="false">IF(H148=1,INDEX(in_cus_cfc,1,C148)*INDEX(ct_teu,F148)*G148*(1-INDEX(in_cus_cfc_in_freight,1,C148)),0)</f>
        <v>0</v>
      </c>
      <c r="BH148" s="88" t="n">
        <f aca="false">IF(F148=4,1,G148)*(INDEX(in_cus_exam,1,C148)+INDEX(in_cus_exam_dray,1,C148))</f>
        <v>600</v>
      </c>
      <c r="BI148" s="88" t="n">
        <f aca="false">IF(F148=4,1,G148)*INDEX(in_cus_dem_days,1,C148)*INDEX(in_cus_dem_rate,1,C148)</f>
        <v>750</v>
      </c>
      <c r="BJ148" s="88" t="n">
        <f aca="false">BG148+BH148+BI148</f>
        <v>1350</v>
      </c>
      <c r="BK148" s="88" t="n">
        <f aca="false">IF(F148=4,(INDEX(in_dra_lcl_cfs_d,1,C148)+INDEX(in_dra_lcl_deliv,1,C148))*P148,G148*(INDEX(tbl_dest_line,E148,C148)*P148*(1+INDEX(in_dra_fsc,1,C148))+INDEX(tbl_dest_tolls,E148,C148)+INDEX(in_dra_chassis_days,1,C148)*INDEX(tbl_dest_chassis,E148,C148)*(1-INDEX(in_dra_chassis_in_dray,1,C148))+INDEX(in_dra_wait_hours,1,C148)*INDEX(in_dra_wait_rate,1,C148)+INDEX(in_dra_split,1,C148)+INDEX(in_dra_prepull,1,C148)+INDEX(in_dra_dryrun,1,C148)))</f>
        <v>2850</v>
      </c>
      <c r="BL148" s="88" t="n">
        <f aca="false">IF(F148=4,0,G148*IF(F148=1,INDEX(in_dra_unload_20,1,C148),INDEX(in_dra_unload_40,1,C148))*Q148*(1-INDEX(in_dra_unload_in_dray,1,C148)))</f>
        <v>450</v>
      </c>
      <c r="BM148" s="88" t="n">
        <f aca="false">AL148+AN148+AO148+AR148+AU148+AZ148+BB148+BC148+BD148+BF148+BJ148+BK148+BL148</f>
        <v>18058.6321907697</v>
      </c>
      <c r="BN148" s="88" t="n">
        <f aca="false">AP148+AU148+BJ148+BK148+BL148</f>
        <v>9372.14368590076</v>
      </c>
      <c r="BO148" s="88" t="n">
        <f aca="false">AQ148+BF148</f>
        <v>1867.90842225215</v>
      </c>
      <c r="BP148" s="88" t="n">
        <f aca="false">AI148*(1+IF(K148=3,INDEX(in_sup_vat_rate,1,C148),0))+AO148*Y148/AB148+AV148*BA148+(BC148+BD148)*AV148/AY148+AZ148*AI148/AL148+BN148*AC148/AF148+BO148*Y148/AB148</f>
        <v>6169.37637586807</v>
      </c>
      <c r="BQ148" s="88" t="n">
        <f aca="false">AJ148*(1+IF(K148=3,INDEX(in_sup_vat_rate,1,C148),0))+AO148*Z148/AB148+AW148*BA148+(BC148+BD148)*AW148/AY148+AZ148*AJ148/AL148+BN148*AD148/AF148+BO148*Z148/AB148</f>
        <v>6736.7980662313</v>
      </c>
      <c r="BR148" s="88" t="n">
        <f aca="false">AK148*(1+IF(K148=3,INDEX(in_sup_vat_rate,1,C148),0))+AO148*AA148/AB148+AX148*BA148+(BC148+BD148)*AX148/AY148+AZ148*AK148/AL148+BN148*AE148/AF148+BO148*AA148/AB148</f>
        <v>5152.45774867034</v>
      </c>
      <c r="BS148" s="89" t="n">
        <f aca="false">BP148+BQ148+BR148-BM148</f>
        <v>0</v>
      </c>
      <c r="BT148" s="85" t="n">
        <f aca="false">Y148*(1-R148)</f>
        <v>8640</v>
      </c>
      <c r="BU148" s="85" t="n">
        <f aca="false">Z148*(1-R148)</f>
        <v>8640</v>
      </c>
      <c r="BV148" s="85" t="n">
        <f aca="false">AA148*(1-R148)</f>
        <v>8640</v>
      </c>
      <c r="BW148" s="85" t="n">
        <f aca="false">BT148+BU148+BV148</f>
        <v>25920</v>
      </c>
      <c r="BX148" s="90" t="n">
        <f aca="false">IF(BT148&gt;0,BP148/BT148,0)</f>
        <v>0.714048191651397</v>
      </c>
      <c r="BY148" s="90" t="n">
        <f aca="false">IF(BU148&gt;0,BQ148/BU148,0)</f>
        <v>0.7797219984064</v>
      </c>
      <c r="BZ148" s="90" t="n">
        <f aca="false">IF(BV148&gt;0,BR148/BV148,0)</f>
        <v>0.596349276466475</v>
      </c>
      <c r="CA148" s="90" t="n">
        <f aca="false">INDEX(in_mkt_listing_3464,1,C148)*(1-IF(sku_flute_3464="B",T148,0))*(1-S148)*N148</f>
        <v>0.1995</v>
      </c>
      <c r="CB148" s="90" t="n">
        <f aca="false">INDEX(in_mkt_listing_3463,1,C148)*(1-IF(sku_flute_3463="B",T148,0))*(1-S148)*N148</f>
        <v>0.23625</v>
      </c>
      <c r="CC148" s="90" t="n">
        <f aca="false">INDEX(in_mkt_listing_3460,1,C148)*(1-IF(sku_flute_3460="B",T148,0))*(1-S148)*N148</f>
        <v>0.21</v>
      </c>
      <c r="CD148" s="88" t="n">
        <f aca="false">BT148*CA148+BU148*CB148+BV148*CC148</f>
        <v>5579.28</v>
      </c>
      <c r="CE148" s="88" t="n">
        <f aca="false">CD148-BM148</f>
        <v>-12479.3521907697</v>
      </c>
      <c r="CF148" s="87" t="n">
        <f aca="false">IF(CD148&gt;0,CE148/CD148,0)</f>
        <v>-2.236731655477</v>
      </c>
      <c r="CG148" s="87" t="n">
        <f aca="false">W148+INDEX(in_sel_processing,1,C148)+INDEX(in_sel_bad_debt,1,C148)</f>
        <v>0.095</v>
      </c>
      <c r="CH148" s="88" t="n">
        <f aca="false">CD148*CG148</f>
        <v>530.0316</v>
      </c>
      <c r="CI148" s="88" t="n">
        <f aca="false">INDEX(in_sel_testing,1,C148)*X148+INDEX(in_sel_admin,1,C148)</f>
        <v>4750</v>
      </c>
      <c r="CJ148" s="79" t="n">
        <f aca="false">INDEX(in_sup_lead_days,1,C148)</f>
        <v>35</v>
      </c>
      <c r="CK148" s="79" t="n">
        <f aca="false">CJ148+INDEX(in_oce_transit,1,C148)+IF(F148=4,INDEX(in_oce_lcl_extra_days,1,C148),0)</f>
        <v>73</v>
      </c>
      <c r="CL148" s="79" t="n">
        <f aca="false">CK148+2+INDEX(in_cus_dem_days,1,C148)</f>
        <v>78</v>
      </c>
      <c r="CM148" s="79" t="n">
        <f aca="false">CL148+U148</f>
        <v>138</v>
      </c>
      <c r="CN148" s="79" t="n">
        <f aca="false">CJ148+INDEX(in_sup_vat_lag,1,C148)</f>
        <v>215</v>
      </c>
      <c r="CO148" s="91" t="n">
        <f aca="false">INDEX(in_sup_advance,1,C148)</f>
        <v>0.5</v>
      </c>
      <c r="CP148" s="88" t="n">
        <f aca="false">CO148*(AL148+AM148)+AO148+INDEX(in_sel_testing,1,C148)*X148</f>
        <v>7226.35646949135</v>
      </c>
      <c r="CQ148" s="88" t="n">
        <f aca="false">(1-CO148)*(AL148+AM148)+AR148+AU148+AZ148</f>
        <v>8698.43489070755</v>
      </c>
      <c r="CR148" s="88" t="n">
        <f aca="false">BB148+BC148+BD148+BF148+BJ148</f>
        <v>2833.84083057081</v>
      </c>
      <c r="CS148" s="88" t="n">
        <f aca="false">BK148+BL148</f>
        <v>3300</v>
      </c>
      <c r="CT148" s="88" t="n">
        <f aca="false">IF(K148=2,AM148,0)</f>
        <v>0</v>
      </c>
      <c r="CU148" s="85" t="n">
        <f aca="false">IF(K148=2,CO148*AM148*(CN148-0)+(1-CO148)*AM148*(CN148-CJ148),0)</f>
        <v>0</v>
      </c>
      <c r="CV148" s="85" t="n">
        <f aca="false">(CP148-CO148*CT148)*(CM148-0)+(CQ148-(1-CO148)*CT148)*(CM148-CJ148)+CR148*(CM148-CK148)+CS148*(CM148-CL148)</f>
        <v>2275375.64051979</v>
      </c>
      <c r="CW148" s="88" t="n">
        <f aca="false">INDEX(in_sel_fin_rate,1,C148)/365*(CU148+CV148)</f>
        <v>872.746821021288</v>
      </c>
      <c r="CX148" s="85" t="n">
        <f aca="false">CP148-IF(CN148&lt;=0,CT148,0)</f>
        <v>7226.35646949135</v>
      </c>
      <c r="CY148" s="85" t="n">
        <f aca="false">CP148+CQ148-IF(CN148&lt;=CJ148,CT148,0)</f>
        <v>15924.7913601989</v>
      </c>
      <c r="CZ148" s="85" t="n">
        <f aca="false">CP148+CQ148+CR148-IF(CN148&lt;=CK148,CT148,0)</f>
        <v>18758.6321907697</v>
      </c>
      <c r="DA148" s="85" t="n">
        <f aca="false">CP148+CQ148+CR148+CS148-IF(CN148&lt;=CL148,CT148,0)</f>
        <v>22058.6321907697</v>
      </c>
      <c r="DB148" s="88" t="n">
        <f aca="false">MAX(CX148,CY148,CZ148,DA148)</f>
        <v>22058.6321907697</v>
      </c>
      <c r="DC148" s="88" t="n">
        <f aca="false">CP148+CQ148+CR148+CS148</f>
        <v>22058.6321907697</v>
      </c>
      <c r="DD148" s="88" t="n">
        <f aca="false">CE148-CH148-CI148-CW148</f>
        <v>-18632.130611791</v>
      </c>
      <c r="DE148" s="87" t="n">
        <f aca="false">IF(CD148&gt;0,DD148/CD148,0)</f>
        <v>-3.33952241360731</v>
      </c>
      <c r="DF148" s="86" t="n">
        <f aca="false">IF(CD148&gt;0,(BM148+CI148+CW148)/(CD148*(1-CG148)),0)</f>
        <v>4.6900800150357</v>
      </c>
      <c r="DG148" s="90" t="n">
        <f aca="false">IF(BW148&gt;0,BM148/BW148,0)</f>
        <v>0.696706488841424</v>
      </c>
      <c r="DH148" s="90" t="n">
        <f aca="false">IF(BW148&gt;0,CD148/BW148,0)</f>
        <v>0.21525</v>
      </c>
      <c r="DI148" s="90" t="n">
        <f aca="false">IF(AI148&gt;0,(AI148*IF(K148=3,INDEX(in_sup_vat_rate,1,C148),0)+AV148*BA148+(BC148+BD148)*AV148/AY148+AZ148*AI148/AL148)/AI148,0)</f>
        <v>0.324903795661456</v>
      </c>
      <c r="DJ148" s="90" t="n">
        <f aca="false">IF(AJ148&gt;0,(AJ148*IF(K148=3,INDEX(in_sup_vat_rate,1,C148),0)+AW148*BA148+(BC148+BD148)*AW148/AY148+AZ148*AJ148/AL148)/AJ148,0)</f>
        <v>0.325686089149929</v>
      </c>
      <c r="DK148" s="90" t="n">
        <f aca="false">IF(AK148&gt;0,(AK148*IF(K148=3,INDEX(in_sup_vat_rate,1,C148),0)+AX148*BA148+(BC148+BD148)*AX148/AY148+AZ148*AK148/AL148)/AK148,0)</f>
        <v>0.327725635676681</v>
      </c>
      <c r="DL148" s="90" t="n">
        <f aca="false">IF(Y148&gt;0,(BP148-AI148*(1+DI148))/Y148,0)</f>
        <v>0.432899456241036</v>
      </c>
      <c r="DM148" s="90" t="n">
        <f aca="false">IF(Z148&gt;0,(BQ148-AJ148*(1+DJ148))/Z148,0)</f>
        <v>0.509846448736116</v>
      </c>
      <c r="DN148" s="90" t="n">
        <f aca="false">IF(AA148&gt;0,(BR148-AK148*(1+DK148))/AA148,0)</f>
        <v>0.363701405588361</v>
      </c>
      <c r="DO148" s="86" t="n">
        <f aca="false">IF(Y148&gt;0,(CA148*(1-thr_gm_go)*(1-R148)-DL148)/(1+DI148)*I148/((1+AH148)*J148),"")</f>
        <v>-9.57950010558625</v>
      </c>
      <c r="DP148" s="86" t="n">
        <f aca="false">IF(Z148&gt;0,(CB148*(1-thr_gm_go)*(1-R148)-DM148)/(1+DJ148)*I148/((1+AH148)*J148),"")</f>
        <v>-11.2448548048625</v>
      </c>
      <c r="DQ148" s="86" t="n">
        <f aca="false">IF(AA148&gt;0,(CC148*(1-thr_gm_go)*(1-R148)-DN148)/(1+DK148)*I148/((1+AH148)*J148),"")</f>
        <v>-7.02252172993352</v>
      </c>
      <c r="DR148" s="92" t="n">
        <f aca="false">IF(AND(AY148*INDEX(in_cus_mpf_rate,1,C148)&gt;INDEX(in_cus_mpf_min,1,C148),AY148*INDEX(in_cus_mpf_rate,1,C148)&lt;INDEX(in_cus_mpf_max,1,C148)),INDEX(in_cus_mpf_rate,1,C148),0)</f>
        <v>0</v>
      </c>
      <c r="DS148" s="88" t="n">
        <f aca="false">IF(AZ148&gt;INDEX(in_oce_ins_min,1,C148),INDEX(in_oce_ins_rate,1,C148)*(1+INDEX(in_oce_ins_uplift,1,C148))*AL148,0)</f>
        <v>0</v>
      </c>
      <c r="DT148" s="88" t="n">
        <f aca="false">(AL148+AN148)*(1+BA148+INDEX(in_cus_hmf,1,C148)+DR148)+DS148</f>
        <v>6100.63221770434</v>
      </c>
      <c r="DU148" s="86" t="n">
        <f aca="false">IF(DT148&gt;0,(CD148*(1-thr_gm_go)-(BM148-DT148))/DT148,0)</f>
        <v>-1.27421875236245</v>
      </c>
      <c r="DV148" s="86" t="n">
        <f aca="false">IF(DT148&gt;0,(CD148-(BM148-DT148))/DT148,0)</f>
        <v>-1.04558343224724</v>
      </c>
      <c r="DW148" s="87" t="n">
        <f aca="false">(1+AH148)*J148*DU148-1</f>
        <v>-2.40164062759869</v>
      </c>
      <c r="DX148" s="87" t="n">
        <f aca="false">(1+AH148)*J148*DV148-1</f>
        <v>-2.15014177547196</v>
      </c>
      <c r="DY148" s="85" t="n">
        <f aca="false">IF(G148&gt;0,(CD148*(1-thr_gm_go)-(BM148-AT148))/G148,"")</f>
        <v>-9874.17219076971</v>
      </c>
      <c r="DZ148" s="90" t="n">
        <f aca="false">IF(AB148&gt;0,(AL148+AN148+BB148+BC148+BD148)/AB148,0)</f>
        <v>0.229652088728893</v>
      </c>
      <c r="EA148" s="88" t="n">
        <f aca="false">BM148-DZ148*AB148</f>
        <v>11858.0257950896</v>
      </c>
      <c r="EB148" s="90" t="n">
        <f aca="false">IF(AB148&gt;0,CD148/AB148,0)</f>
        <v>0.20664</v>
      </c>
      <c r="EC148" s="85" t="str">
        <f aca="false">IF(EB148*(1-thr_gm_go)-DZ148&gt;0,EA148/(EB148*(1-thr_gm_go)-DZ148),"n/a")</f>
        <v>n/a</v>
      </c>
      <c r="ED148" s="85" t="str">
        <f aca="false">IF(EB148-DZ148&gt;0,EA148/(EB148-DZ148),"n/a")</f>
        <v>n/a</v>
      </c>
      <c r="EE148" s="93" t="b">
        <f aca="false">INDEX(cfg_fits,D148,C148)</f>
        <v>1</v>
      </c>
      <c r="EF148" s="87" t="n">
        <f aca="false">IF(F148=4,"",INDEX(cfg_lenutil,D148,C148))</f>
        <v>0.972413793103448</v>
      </c>
      <c r="EG148" s="31" t="str">
        <f aca="false">IF(O148&gt;1,"Check fit (units scaled up)","")</f>
        <v/>
      </c>
    </row>
    <row r="149" customFormat="false" ht="15" hidden="false" customHeight="false" outlineLevel="0" collapsed="false">
      <c r="A149" s="78" t="n">
        <v>3095</v>
      </c>
      <c r="B149" s="9" t="s">
        <v>3297</v>
      </c>
      <c r="C149" s="78" t="n">
        <v>3</v>
      </c>
      <c r="D149" s="78" t="n">
        <v>9</v>
      </c>
      <c r="E149" s="78" t="n">
        <v>5</v>
      </c>
      <c r="F149" s="79" t="n">
        <f aca="false">INDEX(cfg_ct,D149)</f>
        <v>1</v>
      </c>
      <c r="G149" s="79" t="n">
        <f aca="false">INDEX(cfg_n,D149)</f>
        <v>1</v>
      </c>
      <c r="H149" s="79" t="n">
        <f aca="false">INDEX(dest_port,E149)</f>
        <v>4</v>
      </c>
      <c r="I149" s="80" t="n">
        <f aca="false">INDEX(in_fx_cbe,1,C149)*(1-INDEX(in_fx_spread,1,C149))</f>
        <v>48.265</v>
      </c>
      <c r="J149" s="81" t="n">
        <f aca="false">1</f>
        <v>1</v>
      </c>
      <c r="K149" s="82" t="n">
        <f aca="false">INDEX(in_sup_vat_mode,1,C149)</f>
        <v>3</v>
      </c>
      <c r="L149" s="83" t="n">
        <f aca="false">INDEX(in_cus_s301,1,C149)</f>
        <v>0.125</v>
      </c>
      <c r="M149" s="84" t="n">
        <f aca="false">1</f>
        <v>1</v>
      </c>
      <c r="N149" s="81" t="n">
        <f aca="false">1</f>
        <v>1</v>
      </c>
      <c r="O149" s="81" t="n">
        <f aca="false">1</f>
        <v>1</v>
      </c>
      <c r="P149" s="81" t="n">
        <f aca="false">1</f>
        <v>1</v>
      </c>
      <c r="Q149" s="81" t="n">
        <f aca="false">1</f>
        <v>1</v>
      </c>
      <c r="R149" s="83" t="n">
        <f aca="false">INDEX(in_sel_damage,1,C149)</f>
        <v>0.04</v>
      </c>
      <c r="S149" s="83" t="n">
        <f aca="false">INDEX(in_mkt_dist_margin,1,C149)</f>
        <v>0.3</v>
      </c>
      <c r="T149" s="83" t="n">
        <f aca="false">INDEX(in_mkt_eflute_disc,1,C149)</f>
        <v>0.25</v>
      </c>
      <c r="U149" s="82" t="n">
        <f aca="false">INDEX(in_sel_credit_days,1,C149)</f>
        <v>60</v>
      </c>
      <c r="V149" s="81" t="n">
        <f aca="false">1</f>
        <v>1</v>
      </c>
      <c r="W149" s="83" t="n">
        <f aca="false">INDEX(in_sel_commission,1,C149)</f>
        <v>0.07</v>
      </c>
      <c r="X149" s="82" t="n">
        <f aca="false">1</f>
        <v>1</v>
      </c>
      <c r="Y149" s="85" t="n">
        <f aca="false">INDEX(cfg_u_3464,D149,C149)*O149</f>
        <v>9000</v>
      </c>
      <c r="Z149" s="85" t="n">
        <f aca="false">INDEX(cfg_u_3463,D149,C149)*O149</f>
        <v>9000</v>
      </c>
      <c r="AA149" s="85" t="n">
        <f aca="false">INDEX(cfg_u_3460,D149,C149)*O149</f>
        <v>9000</v>
      </c>
      <c r="AB149" s="85" t="n">
        <f aca="false">Y149+Z149+AA149</f>
        <v>27000</v>
      </c>
      <c r="AC149" s="86" t="n">
        <f aca="false">Y149*INDEX(lg_vpu_3464,C149)</f>
        <v>7.202844</v>
      </c>
      <c r="AD149" s="86" t="n">
        <f aca="false">Z149*INDEX(lg_vpu_3463,C149)</f>
        <v>8.811504</v>
      </c>
      <c r="AE149" s="86" t="n">
        <f aca="false">AA149*INDEX(lg_vpu_3460,C149)</f>
        <v>5.756184</v>
      </c>
      <c r="AF149" s="86" t="n">
        <f aca="false">AC149+AD149+AE149</f>
        <v>21.770532</v>
      </c>
      <c r="AG149" s="85" t="n">
        <f aca="false">Y149*INDEX(lg_kpu_3464,C149)+Z149*INDEX(lg_kpu_3463,C149)+AA149*INDEX(lg_kpu_3460,C149)</f>
        <v>5311.097856</v>
      </c>
      <c r="AH149" s="87" t="n">
        <f aca="false">INDEX(in_sup_requote,1,C149)</f>
        <v>0.1</v>
      </c>
      <c r="AI149" s="88" t="n">
        <f aca="false">Y149*q_price_3464*(1+AH149)*J149/I149</f>
        <v>1715.80855692531</v>
      </c>
      <c r="AJ149" s="88" t="n">
        <f aca="false">Z149*q_price_3463*(1+AH149)*J149/I149</f>
        <v>1620.42888221278</v>
      </c>
      <c r="AK149" s="88" t="n">
        <f aca="false">AA149*q_price_3460*(1+AH149)*J149/I149</f>
        <v>1415.31130218585</v>
      </c>
      <c r="AL149" s="88" t="n">
        <f aca="false">AI149+AJ149+AK149</f>
        <v>4751.54874132394</v>
      </c>
      <c r="AM149" s="88" t="n">
        <f aca="false">IF(OR(K149=2,K149=3),AL149*INDEX(in_sup_vat_rate,1,C149),0)</f>
        <v>665.216823785352</v>
      </c>
      <c r="AN149" s="88" t="n">
        <f aca="false">IF(K149=3,AM149,0)</f>
        <v>665.216823785352</v>
      </c>
      <c r="AO149" s="88" t="n">
        <f aca="false">INDEX(in_sup_tooling_egp,1,C149)/I149</f>
        <v>517.973686936704</v>
      </c>
      <c r="AP149" s="88" t="n">
        <f aca="false">IF(F149=4,INDEX(in_ori_lcl_truck,1,C149)*V149/I149+INDEX(in_ori_lcl_cfs_o,1,C149),G149*(IF(F149=1,INDEX(in_ori_truck_20,1,C149),INDEX(in_ori_truck_40,1,C149))*V149/I149+INDEX(in_ori_terminal,1,C149)+IF(F149=1,INDEX(in_ori_othc_20,1,C149),INDEX(in_ori_othc_40,1,C149))*(1-INDEX(in_ori_othc_in_freight,1,C149))+INDEX(in_ori_seal,1,C149)+INDEX(in_ori_inspection,1,C149)+INDEX(in_ori_dd_days,1,C149)*IF(F149=1,INDEX(in_ori_dd_20,1,C149),INDEX(in_ori_dd_40,1,C149))+INDEX(in_ori_loading_egp,1,C149)/I149))</f>
        <v>677.143685900756</v>
      </c>
      <c r="AQ149" s="88" t="n">
        <f aca="false">(INDEX(in_ori_clearance,1,C149)+INDEX(in_ori_coo,1,C149))/I149+INDEX(in_ori_bl_fee,1,C149)+INDEX(in_ori_fwd_fee,1,C149)+INDEX(in_ori_qc,1,C149)+INDEX(in_ori_wires,1,C149)*INDEX(in_ori_wire_fee,1,C149)</f>
        <v>1167.90842225215</v>
      </c>
      <c r="AR149" s="88" t="n">
        <f aca="false">AP149+AQ149</f>
        <v>1845.05210815291</v>
      </c>
      <c r="AS149" s="85" t="n">
        <f aca="false">INDEX(tbl_port_diff,H149,C149)</f>
        <v>200</v>
      </c>
      <c r="AT149" s="88" t="n">
        <f aca="false">IF(F149=4,MAX(AF149*INDEX(in_oce_lcl_factor,1,C149),AG149/1000,1)*INDEX(in_oce_lcl_rate,1,C149)*M149,G149*(INDEX(tbl_ocean_rate,MIN(F149,3),C149)+AS149)*M149)</f>
        <v>4100</v>
      </c>
      <c r="AU149" s="88" t="n">
        <f aca="false">AT149+INDEX(in_oce_ams,1,C149)</f>
        <v>4145</v>
      </c>
      <c r="AV149" s="88" t="n">
        <f aca="false">AI149*(1+IF(K149=3,INDEX(in_sup_vat_rate,1,C149),0))+AO149*Y149/AB149</f>
        <v>2128.67965054042</v>
      </c>
      <c r="AW149" s="88" t="n">
        <f aca="false">AJ149*(1+IF(K149=3,INDEX(in_sup_vat_rate,1,C149),0))+AO149*Z149/AB149</f>
        <v>2019.94682136814</v>
      </c>
      <c r="AX149" s="88" t="n">
        <f aca="false">AK149*(1+IF(K149=3,INDEX(in_sup_vat_rate,1,C149),0))+AO149*AA149/AB149</f>
        <v>1786.11278013744</v>
      </c>
      <c r="AY149" s="88" t="n">
        <f aca="false">AV149+AW149+AX149</f>
        <v>5934.739252046</v>
      </c>
      <c r="AZ149" s="88" t="n">
        <f aca="false">MAX(INDEX(in_oce_ins_min,1,C149),INDEX(in_oce_ins_rate,1,C149)*(1+INDEX(in_oce_ins_uplift,1,C149))*(AL149+AO149+AR149+AU149))*(1-INDEX(in_oce_ins_in_other,1,C149))</f>
        <v>100</v>
      </c>
      <c r="BA149" s="87" t="n">
        <f aca="false">INDEX(in_cus_mfn,1,C149)+L149</f>
        <v>0.125</v>
      </c>
      <c r="BB149" s="88" t="n">
        <f aca="false">AY149*BA149</f>
        <v>741.84240650575</v>
      </c>
      <c r="BC149" s="88" t="n">
        <f aca="false">MIN(MAX(AY149*INDEX(in_cus_mpf_rate,1,C149),INDEX(in_cus_mpf_min,1,C149)),INDEX(in_cus_mpf_max,1,C149))</f>
        <v>34.58</v>
      </c>
      <c r="BD149" s="88" t="n">
        <f aca="false">AY149*INDEX(in_cus_hmf,1,C149)</f>
        <v>7.4184240650575</v>
      </c>
      <c r="BE149" s="88" t="n">
        <f aca="false">MAX(INDEX(in_cus_stb_min,1,C149),INDEX(in_cus_stb_rate,1,C149)/1000*(AY149+BB149+BC149+BD149))</f>
        <v>75</v>
      </c>
      <c r="BF149" s="88" t="n">
        <f aca="false">INDEX(in_cus_broker,1,C149)+INDEX(in_cus_isf,1,C149)+INDEX(in_cus_do_fee,1,C149)+BE149+INDEX(in_cus_isf_bond,1,C149)</f>
        <v>700</v>
      </c>
      <c r="BG149" s="88" t="n">
        <f aca="false">IF(H149=1,INDEX(in_cus_cfc,1,C149)*INDEX(ct_teu,F149)*G149*(1-INDEX(in_cus_cfc_in_freight,1,C149)),0)</f>
        <v>0</v>
      </c>
      <c r="BH149" s="88" t="n">
        <f aca="false">IF(F149=4,1,G149)*(INDEX(in_cus_exam,1,C149)+INDEX(in_cus_exam_dray,1,C149))</f>
        <v>600</v>
      </c>
      <c r="BI149" s="88" t="n">
        <f aca="false">IF(F149=4,1,G149)*INDEX(in_cus_dem_days,1,C149)*INDEX(in_cus_dem_rate,1,C149)</f>
        <v>750</v>
      </c>
      <c r="BJ149" s="88" t="n">
        <f aca="false">BG149+BH149+BI149</f>
        <v>1350</v>
      </c>
      <c r="BK149" s="88" t="n">
        <f aca="false">IF(F149=4,(INDEX(in_dra_lcl_cfs_d,1,C149)+INDEX(in_dra_lcl_deliv,1,C149))*P149,G149*(INDEX(tbl_dest_line,E149,C149)*P149*(1+INDEX(in_dra_fsc,1,C149))+INDEX(tbl_dest_tolls,E149,C149)+INDEX(in_dra_chassis_days,1,C149)*INDEX(tbl_dest_chassis,E149,C149)*(1-INDEX(in_dra_chassis_in_dray,1,C149))+INDEX(in_dra_wait_hours,1,C149)*INDEX(in_dra_wait_rate,1,C149)+INDEX(in_dra_split,1,C149)+INDEX(in_dra_prepull,1,C149)+INDEX(in_dra_dryrun,1,C149)))</f>
        <v>3465</v>
      </c>
      <c r="BL149" s="88" t="n">
        <f aca="false">IF(F149=4,0,G149*IF(F149=1,INDEX(in_dra_unload_20,1,C149),INDEX(in_dra_unload_40,1,C149))*Q149*(1-INDEX(in_dra_unload_in_dray,1,C149)))</f>
        <v>450</v>
      </c>
      <c r="BM149" s="88" t="n">
        <f aca="false">AL149+AN149+AO149+AR149+AU149+AZ149+BB149+BC149+BD149+BF149+BJ149+BK149+BL149</f>
        <v>18773.6321907697</v>
      </c>
      <c r="BN149" s="88" t="n">
        <f aca="false">AP149+AU149+BJ149+BK149+BL149</f>
        <v>10087.1436859008</v>
      </c>
      <c r="BO149" s="88" t="n">
        <f aca="false">AQ149+BF149</f>
        <v>1867.90842225215</v>
      </c>
      <c r="BP149" s="88" t="n">
        <f aca="false">AI149*(1+IF(K149=3,INDEX(in_sup_vat_rate,1,C149),0))+AO149*Y149/AB149+AV149*BA149+(BC149+BD149)*AV149/AY149+AZ149*AI149/AL149+BN149*AC149/AF149+BO149*Y149/AB149</f>
        <v>6405.93621096994</v>
      </c>
      <c r="BQ149" s="88" t="n">
        <f aca="false">AJ149*(1+IF(K149=3,INDEX(in_sup_vat_rate,1,C149),0))+AO149*Z149/AB149+AW149*BA149+(BC149+BD149)*AW149/AY149+AZ149*AJ149/AL149+BN149*AD149/AF149+BO149*Z149/AB149</f>
        <v>7026.19041364844</v>
      </c>
      <c r="BR149" s="88" t="n">
        <f aca="false">AK149*(1+IF(K149=3,INDEX(in_sup_vat_rate,1,C149),0))+AO149*AA149/AB149+AX149*BA149+(BC149+BD149)*AX149/AY149+AZ149*AK149/AL149+BN149*AE149/AF149+BO149*AA149/AB149</f>
        <v>5341.50556615133</v>
      </c>
      <c r="BS149" s="89" t="n">
        <f aca="false">BP149+BQ149+BR149-BM149</f>
        <v>0</v>
      </c>
      <c r="BT149" s="85" t="n">
        <f aca="false">Y149*(1-R149)</f>
        <v>8640</v>
      </c>
      <c r="BU149" s="85" t="n">
        <f aca="false">Z149*(1-R149)</f>
        <v>8640</v>
      </c>
      <c r="BV149" s="85" t="n">
        <f aca="false">AA149*(1-R149)</f>
        <v>8640</v>
      </c>
      <c r="BW149" s="85" t="n">
        <f aca="false">BT149+BU149+BV149</f>
        <v>25920</v>
      </c>
      <c r="BX149" s="90" t="n">
        <f aca="false">IF(BT149&gt;0,BP149/BT149,0)</f>
        <v>0.741427802195595</v>
      </c>
      <c r="BY149" s="90" t="n">
        <f aca="false">IF(BU149&gt;0,BQ149/BU149,0)</f>
        <v>0.813216483061162</v>
      </c>
      <c r="BZ149" s="90" t="n">
        <f aca="false">IF(BV149&gt;0,BR149/BV149,0)</f>
        <v>0.618229810897145</v>
      </c>
      <c r="CA149" s="90" t="n">
        <f aca="false">INDEX(in_mkt_listing_3464,1,C149)*(1-IF(sku_flute_3464="B",T149,0))*(1-S149)*N149</f>
        <v>0.1995</v>
      </c>
      <c r="CB149" s="90" t="n">
        <f aca="false">INDEX(in_mkt_listing_3463,1,C149)*(1-IF(sku_flute_3463="B",T149,0))*(1-S149)*N149</f>
        <v>0.23625</v>
      </c>
      <c r="CC149" s="90" t="n">
        <f aca="false">INDEX(in_mkt_listing_3460,1,C149)*(1-IF(sku_flute_3460="B",T149,0))*(1-S149)*N149</f>
        <v>0.21</v>
      </c>
      <c r="CD149" s="88" t="n">
        <f aca="false">BT149*CA149+BU149*CB149+BV149*CC149</f>
        <v>5579.28</v>
      </c>
      <c r="CE149" s="88" t="n">
        <f aca="false">CD149-BM149</f>
        <v>-13194.3521907697</v>
      </c>
      <c r="CF149" s="87" t="n">
        <f aca="false">IF(CD149&gt;0,CE149/CD149,0)</f>
        <v>-2.36488439203082</v>
      </c>
      <c r="CG149" s="87" t="n">
        <f aca="false">W149+INDEX(in_sel_processing,1,C149)+INDEX(in_sel_bad_debt,1,C149)</f>
        <v>0.095</v>
      </c>
      <c r="CH149" s="88" t="n">
        <f aca="false">CD149*CG149</f>
        <v>530.0316</v>
      </c>
      <c r="CI149" s="88" t="n">
        <f aca="false">INDEX(in_sel_testing,1,C149)*X149+INDEX(in_sel_admin,1,C149)</f>
        <v>4750</v>
      </c>
      <c r="CJ149" s="79" t="n">
        <f aca="false">INDEX(in_sup_lead_days,1,C149)</f>
        <v>35</v>
      </c>
      <c r="CK149" s="79" t="n">
        <f aca="false">CJ149+INDEX(in_oce_transit,1,C149)+IF(F149=4,INDEX(in_oce_lcl_extra_days,1,C149),0)</f>
        <v>73</v>
      </c>
      <c r="CL149" s="79" t="n">
        <f aca="false">CK149+2+INDEX(in_cus_dem_days,1,C149)</f>
        <v>78</v>
      </c>
      <c r="CM149" s="79" t="n">
        <f aca="false">CL149+U149</f>
        <v>138</v>
      </c>
      <c r="CN149" s="79" t="n">
        <f aca="false">CJ149+INDEX(in_sup_vat_lag,1,C149)</f>
        <v>215</v>
      </c>
      <c r="CO149" s="91" t="n">
        <f aca="false">INDEX(in_sup_advance,1,C149)</f>
        <v>0.5</v>
      </c>
      <c r="CP149" s="88" t="n">
        <f aca="false">CO149*(AL149+AM149)+AO149+INDEX(in_sel_testing,1,C149)*X149</f>
        <v>7226.35646949135</v>
      </c>
      <c r="CQ149" s="88" t="n">
        <f aca="false">(1-CO149)*(AL149+AM149)+AR149+AU149+AZ149</f>
        <v>8798.43489070755</v>
      </c>
      <c r="CR149" s="88" t="n">
        <f aca="false">BB149+BC149+BD149+BF149+BJ149</f>
        <v>2833.84083057081</v>
      </c>
      <c r="CS149" s="88" t="n">
        <f aca="false">BK149+BL149</f>
        <v>3915</v>
      </c>
      <c r="CT149" s="88" t="n">
        <f aca="false">IF(K149=2,AM149,0)</f>
        <v>0</v>
      </c>
      <c r="CU149" s="85" t="n">
        <f aca="false">IF(K149=2,CO149*AM149*(CN149-0)+(1-CO149)*AM149*(CN149-CJ149),0)</f>
        <v>0</v>
      </c>
      <c r="CV149" s="85" t="n">
        <f aca="false">(CP149-CO149*CT149)*(CM149-0)+(CQ149-(1-CO149)*CT149)*(CM149-CJ149)+CR149*(CM149-CK149)+CS149*(CM149-CL149)</f>
        <v>2322575.64051979</v>
      </c>
      <c r="CW149" s="88" t="n">
        <f aca="false">INDEX(in_sel_fin_rate,1,C149)/365*(CU149+CV149)</f>
        <v>890.850930610329</v>
      </c>
      <c r="CX149" s="85" t="n">
        <f aca="false">CP149-IF(CN149&lt;=0,CT149,0)</f>
        <v>7226.35646949135</v>
      </c>
      <c r="CY149" s="85" t="n">
        <f aca="false">CP149+CQ149-IF(CN149&lt;=CJ149,CT149,0)</f>
        <v>16024.7913601989</v>
      </c>
      <c r="CZ149" s="85" t="n">
        <f aca="false">CP149+CQ149+CR149-IF(CN149&lt;=CK149,CT149,0)</f>
        <v>18858.6321907697</v>
      </c>
      <c r="DA149" s="85" t="n">
        <f aca="false">CP149+CQ149+CR149+CS149-IF(CN149&lt;=CL149,CT149,0)</f>
        <v>22773.6321907697</v>
      </c>
      <c r="DB149" s="88" t="n">
        <f aca="false">MAX(CX149,CY149,CZ149,DA149)</f>
        <v>22773.6321907697</v>
      </c>
      <c r="DC149" s="88" t="n">
        <f aca="false">CP149+CQ149+CR149+CS149</f>
        <v>22773.6321907697</v>
      </c>
      <c r="DD149" s="88" t="n">
        <f aca="false">CE149-CH149-CI149-CW149</f>
        <v>-19365.23472138</v>
      </c>
      <c r="DE149" s="87" t="n">
        <f aca="false">IF(CD149&gt;0,DD149/CD149,0)</f>
        <v>-3.47092003293974</v>
      </c>
      <c r="DF149" s="86" t="n">
        <f aca="false">IF(CD149&gt;0,(BM149+CI149+CW149)/(CD149*(1-CG149)),0)</f>
        <v>4.83527075462955</v>
      </c>
      <c r="DG149" s="90" t="n">
        <f aca="false">IF(BW149&gt;0,BM149/BW149,0)</f>
        <v>0.724291365384634</v>
      </c>
      <c r="DH149" s="90" t="n">
        <f aca="false">IF(BW149&gt;0,CD149/BW149,0)</f>
        <v>0.21525</v>
      </c>
      <c r="DI149" s="90" t="n">
        <f aca="false">IF(AI149&gt;0,(AI149*IF(K149=3,INDEX(in_sup_vat_rate,1,C149),0)+AV149*BA149+(BC149+BD149)*AV149/AY149+AZ149*AI149/AL149)/AI149,0)</f>
        <v>0.324903795661456</v>
      </c>
      <c r="DJ149" s="90" t="n">
        <f aca="false">IF(AJ149&gt;0,(AJ149*IF(K149=3,INDEX(in_sup_vat_rate,1,C149),0)+AW149*BA149+(BC149+BD149)*AW149/AY149+AZ149*AJ149/AL149)/AJ149,0)</f>
        <v>0.325686089149929</v>
      </c>
      <c r="DK149" s="90" t="n">
        <f aca="false">IF(AK149&gt;0,(AK149*IF(K149=3,INDEX(in_sup_vat_rate,1,C149),0)+AX149*BA149+(BC149+BD149)*AX149/AY149+AZ149*AK149/AL149)/AK149,0)</f>
        <v>0.327725635676681</v>
      </c>
      <c r="DL149" s="90" t="n">
        <f aca="false">IF(Y149&gt;0,(BP149-AI149*(1+DI149))/Y149,0)</f>
        <v>0.459183882363466</v>
      </c>
      <c r="DM149" s="90" t="n">
        <f aca="false">IF(Z149&gt;0,(BQ149-AJ149*(1+DJ149))/Z149,0)</f>
        <v>0.542001154004687</v>
      </c>
      <c r="DN149" s="90" t="n">
        <f aca="false">IF(AA149&gt;0,(BR149-AK149*(1+DK149))/AA149,0)</f>
        <v>0.384706718641804</v>
      </c>
      <c r="DO149" s="86" t="n">
        <f aca="false">IF(Y149&gt;0,(CA149*(1-thr_gm_go)*(1-R149)-DL149)/(1+DI149)*I149/((1+AH149)*J149),"")</f>
        <v>-10.4499700500685</v>
      </c>
      <c r="DP149" s="86" t="n">
        <f aca="false">IF(Z149&gt;0,(CB149*(1-thr_gm_go)*(1-R149)-DM149)/(1+DJ149)*I149/((1+AH149)*J149),"")</f>
        <v>-12.3091043161769</v>
      </c>
      <c r="DQ149" s="86" t="n">
        <f aca="false">IF(AA149&gt;0,(CC149*(1-thr_gm_go)*(1-R149)-DN149)/(1+DK149)*I149/((1+AH149)*J149),"")</f>
        <v>-7.71668310243571</v>
      </c>
      <c r="DR149" s="92" t="n">
        <f aca="false">IF(AND(AY149*INDEX(in_cus_mpf_rate,1,C149)&gt;INDEX(in_cus_mpf_min,1,C149),AY149*INDEX(in_cus_mpf_rate,1,C149)&lt;INDEX(in_cus_mpf_max,1,C149)),INDEX(in_cus_mpf_rate,1,C149),0)</f>
        <v>0</v>
      </c>
      <c r="DS149" s="88" t="n">
        <f aca="false">IF(AZ149&gt;INDEX(in_oce_ins_min,1,C149),INDEX(in_oce_ins_rate,1,C149)*(1+INDEX(in_oce_ins_uplift,1,C149))*AL149,0)</f>
        <v>0</v>
      </c>
      <c r="DT149" s="88" t="n">
        <f aca="false">(AL149+AN149)*(1+BA149+INDEX(in_cus_hmf,1,C149)+DR149)+DS149</f>
        <v>6100.63221770434</v>
      </c>
      <c r="DU149" s="86" t="n">
        <f aca="false">IF(DT149&gt;0,(CD149*(1-thr_gm_go)-(BM149-DT149))/DT149,0)</f>
        <v>-1.39141972014494</v>
      </c>
      <c r="DV149" s="86" t="n">
        <f aca="false">IF(DT149&gt;0,(CD149-(BM149-DT149))/DT149,0)</f>
        <v>-1.16278440002973</v>
      </c>
      <c r="DW149" s="87" t="n">
        <f aca="false">(1+AH149)*J149*DU149-1</f>
        <v>-2.53056169215943</v>
      </c>
      <c r="DX149" s="87" t="n">
        <f aca="false">(1+AH149)*J149*DV149-1</f>
        <v>-2.2790628400327</v>
      </c>
      <c r="DY149" s="85" t="n">
        <f aca="false">IF(G149&gt;0,(CD149*(1-thr_gm_go)-(BM149-AT149))/G149,"")</f>
        <v>-10489.1721907697</v>
      </c>
      <c r="DZ149" s="90" t="n">
        <f aca="false">IF(AB149&gt;0,(AL149+AN149+BB149+BC149+BD149)/AB149,0)</f>
        <v>0.229652088728893</v>
      </c>
      <c r="EA149" s="88" t="n">
        <f aca="false">BM149-DZ149*AB149</f>
        <v>12573.0257950896</v>
      </c>
      <c r="EB149" s="90" t="n">
        <f aca="false">IF(AB149&gt;0,CD149/AB149,0)</f>
        <v>0.20664</v>
      </c>
      <c r="EC149" s="85" t="str">
        <f aca="false">IF(EB149*(1-thr_gm_go)-DZ149&gt;0,EA149/(EB149*(1-thr_gm_go)-DZ149),"n/a")</f>
        <v>n/a</v>
      </c>
      <c r="ED149" s="85" t="str">
        <f aca="false">IF(EB149-DZ149&gt;0,EA149/(EB149-DZ149),"n/a")</f>
        <v>n/a</v>
      </c>
      <c r="EE149" s="93" t="b">
        <f aca="false">INDEX(cfg_fits,D149,C149)</f>
        <v>1</v>
      </c>
      <c r="EF149" s="87" t="n">
        <f aca="false">IF(F149=4,"",INDEX(cfg_lenutil,D149,C149))</f>
        <v>0.972413793103448</v>
      </c>
      <c r="EG149" s="31" t="str">
        <f aca="false">IF(O149&gt;1,"Check fit (units scaled up)","")</f>
        <v/>
      </c>
    </row>
    <row r="150" customFormat="false" ht="15" hidden="false" customHeight="false" outlineLevel="0" collapsed="false">
      <c r="A150" s="78" t="n">
        <v>3101</v>
      </c>
      <c r="B150" s="9" t="s">
        <v>3298</v>
      </c>
      <c r="C150" s="78" t="n">
        <v>3</v>
      </c>
      <c r="D150" s="78" t="n">
        <v>10</v>
      </c>
      <c r="E150" s="78" t="n">
        <v>1</v>
      </c>
      <c r="F150" s="79" t="n">
        <f aca="false">INDEX(cfg_ct,D150)</f>
        <v>4</v>
      </c>
      <c r="G150" s="79" t="n">
        <f aca="false">INDEX(cfg_n,D150)</f>
        <v>0</v>
      </c>
      <c r="H150" s="79" t="n">
        <f aca="false">INDEX(dest_port,E150)</f>
        <v>1</v>
      </c>
      <c r="I150" s="80" t="n">
        <f aca="false">INDEX(in_fx_cbe,1,C150)*(1-INDEX(in_fx_spread,1,C150))</f>
        <v>48.265</v>
      </c>
      <c r="J150" s="81" t="n">
        <f aca="false">1</f>
        <v>1</v>
      </c>
      <c r="K150" s="82" t="n">
        <f aca="false">INDEX(in_sup_vat_mode,1,C150)</f>
        <v>3</v>
      </c>
      <c r="L150" s="83" t="n">
        <f aca="false">INDEX(in_cus_s301,1,C150)</f>
        <v>0.125</v>
      </c>
      <c r="M150" s="84" t="n">
        <f aca="false">1</f>
        <v>1</v>
      </c>
      <c r="N150" s="81" t="n">
        <f aca="false">1</f>
        <v>1</v>
      </c>
      <c r="O150" s="81" t="n">
        <f aca="false">1</f>
        <v>1</v>
      </c>
      <c r="P150" s="81" t="n">
        <f aca="false">1</f>
        <v>1</v>
      </c>
      <c r="Q150" s="81" t="n">
        <f aca="false">1</f>
        <v>1</v>
      </c>
      <c r="R150" s="83" t="n">
        <f aca="false">INDEX(in_sel_damage,1,C150)</f>
        <v>0.04</v>
      </c>
      <c r="S150" s="83" t="n">
        <f aca="false">INDEX(in_mkt_dist_margin,1,C150)</f>
        <v>0.3</v>
      </c>
      <c r="T150" s="83" t="n">
        <f aca="false">INDEX(in_mkt_eflute_disc,1,C150)</f>
        <v>0.25</v>
      </c>
      <c r="U150" s="82" t="n">
        <f aca="false">INDEX(in_sel_credit_days,1,C150)</f>
        <v>60</v>
      </c>
      <c r="V150" s="81" t="n">
        <f aca="false">1</f>
        <v>1</v>
      </c>
      <c r="W150" s="83" t="n">
        <f aca="false">INDEX(in_sel_commission,1,C150)</f>
        <v>0.07</v>
      </c>
      <c r="X150" s="82" t="n">
        <f aca="false">1</f>
        <v>1</v>
      </c>
      <c r="Y150" s="85" t="n">
        <f aca="false">INDEX(cfg_u_3464,D150,C150)*O150</f>
        <v>3350</v>
      </c>
      <c r="Z150" s="85" t="n">
        <f aca="false">INDEX(cfg_u_3463,D150,C150)*O150</f>
        <v>3350</v>
      </c>
      <c r="AA150" s="85" t="n">
        <f aca="false">INDEX(cfg_u_3460,D150,C150)*O150</f>
        <v>3300</v>
      </c>
      <c r="AB150" s="85" t="n">
        <f aca="false">Y150+Z150+AA150</f>
        <v>10000</v>
      </c>
      <c r="AC150" s="86" t="n">
        <f aca="false">Y150*INDEX(lg_vpu_3464,C150)</f>
        <v>2.6810586</v>
      </c>
      <c r="AD150" s="86" t="n">
        <f aca="false">Z150*INDEX(lg_vpu_3463,C150)</f>
        <v>3.2798376</v>
      </c>
      <c r="AE150" s="86" t="n">
        <f aca="false">AA150*INDEX(lg_vpu_3460,C150)</f>
        <v>2.1106008</v>
      </c>
      <c r="AF150" s="86" t="n">
        <f aca="false">AC150+AD150+AE150</f>
        <v>8.071497</v>
      </c>
      <c r="AG150" s="85" t="n">
        <f aca="false">Y150*INDEX(lg_kpu_3464,C150)+Z150*INDEX(lg_kpu_3463,C150)+AA150*INDEX(lg_kpu_3460,C150)</f>
        <v>1969.102064</v>
      </c>
      <c r="AH150" s="87" t="n">
        <f aca="false">INDEX(in_sup_requote,1,C150)</f>
        <v>0.1</v>
      </c>
      <c r="AI150" s="88" t="n">
        <f aca="false">Y150*q_price_3464*(1+AH150)*J150/I150</f>
        <v>638.662073966643</v>
      </c>
      <c r="AJ150" s="88" t="n">
        <f aca="false">Z150*q_price_3463*(1+AH150)*J150/I150</f>
        <v>603.159639490314</v>
      </c>
      <c r="AK150" s="88" t="n">
        <f aca="false">AA150*q_price_3460*(1+AH150)*J150/I150</f>
        <v>518.947477468145</v>
      </c>
      <c r="AL150" s="88" t="n">
        <f aca="false">AI150+AJ150+AK150</f>
        <v>1760.7691909251</v>
      </c>
      <c r="AM150" s="88" t="n">
        <f aca="false">IF(OR(K150=2,K150=3),AL150*INDEX(in_sup_vat_rate,1,C150),0)</f>
        <v>246.507686729514</v>
      </c>
      <c r="AN150" s="88" t="n">
        <f aca="false">IF(K150=3,AM150,0)</f>
        <v>246.507686729514</v>
      </c>
      <c r="AO150" s="88" t="n">
        <f aca="false">INDEX(in_sup_tooling_egp,1,C150)/I150</f>
        <v>517.973686936704</v>
      </c>
      <c r="AP150" s="88" t="n">
        <f aca="false">IF(F150=4,INDEX(in_ori_lcl_truck,1,C150)*V150/I150+INDEX(in_ori_lcl_cfs_o,1,C150),G150*(IF(F150=1,INDEX(in_ori_truck_20,1,C150),INDEX(in_ori_truck_40,1,C150))*V150/I150+INDEX(in_ori_terminal,1,C150)+IF(F150=1,INDEX(in_ori_othc_20,1,C150),INDEX(in_ori_othc_40,1,C150))*(1-INDEX(in_ori_othc_in_freight,1,C150))+INDEX(in_ori_seal,1,C150)+INDEX(in_ori_inspection,1,C150)+INDEX(in_ori_dd_days,1,C150)*IF(F150=1,INDEX(in_ori_dd_20,1,C150),INDEX(in_ori_dd_40,1,C150))+INDEX(in_ori_loading_egp,1,C150)/I150))</f>
        <v>386.470527297213</v>
      </c>
      <c r="AQ150" s="88" t="n">
        <f aca="false">(INDEX(in_ori_clearance,1,C150)+INDEX(in_ori_coo,1,C150))/I150+INDEX(in_ori_bl_fee,1,C150)+INDEX(in_ori_fwd_fee,1,C150)+INDEX(in_ori_qc,1,C150)+INDEX(in_ori_wires,1,C150)*INDEX(in_ori_wire_fee,1,C150)</f>
        <v>1167.90842225215</v>
      </c>
      <c r="AR150" s="88" t="n">
        <f aca="false">AP150+AQ150</f>
        <v>1554.37894954936</v>
      </c>
      <c r="AS150" s="85" t="n">
        <f aca="false">INDEX(tbl_port_diff,H150,C150)</f>
        <v>0</v>
      </c>
      <c r="AT150" s="88" t="n">
        <f aca="false">IF(F150=4,MAX(AF150*INDEX(in_oce_lcl_factor,1,C150),AG150/1000,1)*INDEX(in_oce_lcl_rate,1,C150)*M150,G150*(INDEX(tbl_ocean_rate,MIN(F150,3),C150)+AS150)*M150)</f>
        <v>2134.9109565</v>
      </c>
      <c r="AU150" s="88" t="n">
        <f aca="false">AT150+INDEX(in_oce_ams,1,C150)</f>
        <v>2179.9109565</v>
      </c>
      <c r="AV150" s="88" t="n">
        <f aca="false">AI150*(1+IF(K150=3,INDEX(in_sup_vat_rate,1,C150),0))+AO150*Y150/AB150</f>
        <v>901.595949445768</v>
      </c>
      <c r="AW150" s="88" t="n">
        <f aca="false">AJ150*(1+IF(K150=3,INDEX(in_sup_vat_rate,1,C150),0))+AO150*Z150/AB150</f>
        <v>861.123174142754</v>
      </c>
      <c r="AX150" s="88" t="n">
        <f aca="false">AK150*(1+IF(K150=3,INDEX(in_sup_vat_rate,1,C150),0))+AO150*AA150/AB150</f>
        <v>762.531441002797</v>
      </c>
      <c r="AY150" s="88" t="n">
        <f aca="false">AV150+AW150+AX150</f>
        <v>2525.25056459132</v>
      </c>
      <c r="AZ150" s="88" t="n">
        <f aca="false">MAX(INDEX(in_oce_ins_min,1,C150),INDEX(in_oce_ins_rate,1,C150)*(1+INDEX(in_oce_ins_uplift,1,C150))*(AL150+AO150+AR150+AU150))*(1-INDEX(in_oce_ins_in_other,1,C150))</f>
        <v>100</v>
      </c>
      <c r="BA150" s="87" t="n">
        <f aca="false">INDEX(in_cus_mfn,1,C150)+L150</f>
        <v>0.125</v>
      </c>
      <c r="BB150" s="88" t="n">
        <f aca="false">AY150*BA150</f>
        <v>315.656320573915</v>
      </c>
      <c r="BC150" s="88" t="n">
        <f aca="false">MIN(MAX(AY150*INDEX(in_cus_mpf_rate,1,C150),INDEX(in_cus_mpf_min,1,C150)),INDEX(in_cus_mpf_max,1,C150))</f>
        <v>34.58</v>
      </c>
      <c r="BD150" s="88" t="n">
        <f aca="false">AY150*INDEX(in_cus_hmf,1,C150)</f>
        <v>3.15656320573915</v>
      </c>
      <c r="BE150" s="88" t="n">
        <f aca="false">MAX(INDEX(in_cus_stb_min,1,C150),INDEX(in_cus_stb_rate,1,C150)/1000*(AY150+BB150+BC150+BD150))</f>
        <v>75</v>
      </c>
      <c r="BF150" s="88" t="n">
        <f aca="false">INDEX(in_cus_broker,1,C150)+INDEX(in_cus_isf,1,C150)+INDEX(in_cus_do_fee,1,C150)+BE150+INDEX(in_cus_isf_bond,1,C150)</f>
        <v>700</v>
      </c>
      <c r="BG150" s="88" t="n">
        <f aca="false">IF(H150=1,INDEX(in_cus_cfc,1,C150)*INDEX(ct_teu,F150)*G150*(1-INDEX(in_cus_cfc_in_freight,1,C150)),0)</f>
        <v>0</v>
      </c>
      <c r="BH150" s="88" t="n">
        <f aca="false">IF(F150=4,1,G150)*(INDEX(in_cus_exam,1,C150)+INDEX(in_cus_exam_dray,1,C150))</f>
        <v>600</v>
      </c>
      <c r="BI150" s="88" t="n">
        <f aca="false">IF(F150=4,1,G150)*INDEX(in_cus_dem_days,1,C150)*INDEX(in_cus_dem_rate,1,C150)</f>
        <v>750</v>
      </c>
      <c r="BJ150" s="88" t="n">
        <f aca="false">BG150+BH150+BI150</f>
        <v>1350</v>
      </c>
      <c r="BK150" s="88" t="n">
        <f aca="false">IF(F150=4,(INDEX(in_dra_lcl_cfs_d,1,C150)+INDEX(in_dra_lcl_deliv,1,C150))*P150,G150*(INDEX(tbl_dest_line,E150,C150)*P150*(1+INDEX(in_dra_fsc,1,C150))+INDEX(tbl_dest_tolls,E150,C150)+INDEX(in_dra_chassis_days,1,C150)*INDEX(tbl_dest_chassis,E150,C150)*(1-INDEX(in_dra_chassis_in_dray,1,C150))+INDEX(in_dra_wait_hours,1,C150)*INDEX(in_dra_wait_rate,1,C150)+INDEX(in_dra_split,1,C150)+INDEX(in_dra_prepull,1,C150)+INDEX(in_dra_dryrun,1,C150)))</f>
        <v>1000</v>
      </c>
      <c r="BL150" s="88" t="n">
        <f aca="false">IF(F150=4,0,G150*IF(F150=1,INDEX(in_dra_unload_20,1,C150),INDEX(in_dra_unload_40,1,C150))*Q150*(1-INDEX(in_dra_unload_in_dray,1,C150)))</f>
        <v>0</v>
      </c>
      <c r="BM150" s="88" t="n">
        <f aca="false">AL150+AN150+AO150+AR150+AU150+AZ150+BB150+BC150+BD150+BF150+BJ150+BK150+BL150</f>
        <v>9762.93335442034</v>
      </c>
      <c r="BN150" s="88" t="n">
        <f aca="false">AP150+AU150+BJ150+BK150+BL150</f>
        <v>4916.38148379721</v>
      </c>
      <c r="BO150" s="88" t="n">
        <f aca="false">AQ150+BF150</f>
        <v>1867.90842225215</v>
      </c>
      <c r="BP150" s="88" t="n">
        <f aca="false">AI150*(1+IF(K150=3,INDEX(in_sup_vat_rate,1,C150),0))+AO150*Y150/AB150+AV150*BA150+(BC150+BD150)*AV150/AY150+AZ150*AI150/AL150+BN150*AC150/AF150+BO150*Y150/AB150</f>
        <v>3322.83334323244</v>
      </c>
      <c r="BQ150" s="88" t="n">
        <f aca="false">AJ150*(1+IF(K150=3,INDEX(in_sup_vat_rate,1,C150),0))+AO150*Z150/AB150+AW150*BA150+(BC150+BD150)*AW150/AY150+AZ150*AJ150/AL150+BN150*AD150/AF150+BO150*Z150/AB150</f>
        <v>3639.39906765505</v>
      </c>
      <c r="BR150" s="88" t="n">
        <f aca="false">AK150*(1+IF(K150=3,INDEX(in_sup_vat_rate,1,C150),0))+AO150*AA150/AB150+AX150*BA150+(BC150+BD150)*AX150/AY150+AZ150*AK150/AL150+BN150*AE150/AF150+BO150*AA150/AB150</f>
        <v>2800.70094353284</v>
      </c>
      <c r="BS150" s="89" t="n">
        <f aca="false">BP150+BQ150+BR150-BM150</f>
        <v>0</v>
      </c>
      <c r="BT150" s="85" t="n">
        <f aca="false">Y150*(1-R150)</f>
        <v>3216</v>
      </c>
      <c r="BU150" s="85" t="n">
        <f aca="false">Z150*(1-R150)</f>
        <v>3216</v>
      </c>
      <c r="BV150" s="85" t="n">
        <f aca="false">AA150*(1-R150)</f>
        <v>3168</v>
      </c>
      <c r="BW150" s="85" t="n">
        <f aca="false">BT150+BU150+BV150</f>
        <v>9600</v>
      </c>
      <c r="BX150" s="90" t="n">
        <f aca="false">IF(BT150&gt;0,BP150/BT150,0)</f>
        <v>1.03321932314442</v>
      </c>
      <c r="BY150" s="90" t="n">
        <f aca="false">IF(BU150&gt;0,BQ150/BU150,0)</f>
        <v>1.13165393894747</v>
      </c>
      <c r="BZ150" s="90" t="n">
        <f aca="false">IF(BV150&gt;0,BR150/BV150,0)</f>
        <v>0.88405964126668</v>
      </c>
      <c r="CA150" s="90" t="n">
        <f aca="false">INDEX(in_mkt_listing_3464,1,C150)*(1-IF(sku_flute_3464="B",T150,0))*(1-S150)*N150</f>
        <v>0.1995</v>
      </c>
      <c r="CB150" s="90" t="n">
        <f aca="false">INDEX(in_mkt_listing_3463,1,C150)*(1-IF(sku_flute_3463="B",T150,0))*(1-S150)*N150</f>
        <v>0.23625</v>
      </c>
      <c r="CC150" s="90" t="n">
        <f aca="false">INDEX(in_mkt_listing_3460,1,C150)*(1-IF(sku_flute_3460="B",T150,0))*(1-S150)*N150</f>
        <v>0.21</v>
      </c>
      <c r="CD150" s="88" t="n">
        <f aca="false">BT150*CA150+BU150*CB150+BV150*CC150</f>
        <v>2066.652</v>
      </c>
      <c r="CE150" s="88" t="n">
        <f aca="false">CD150-BM150</f>
        <v>-7696.28135442033</v>
      </c>
      <c r="CF150" s="87" t="n">
        <f aca="false">IF(CD150&gt;0,CE150/CD150,0)</f>
        <v>-3.72403353560267</v>
      </c>
      <c r="CG150" s="87" t="n">
        <f aca="false">W150+INDEX(in_sel_processing,1,C150)+INDEX(in_sel_bad_debt,1,C150)</f>
        <v>0.095</v>
      </c>
      <c r="CH150" s="88" t="n">
        <f aca="false">CD150*CG150</f>
        <v>196.33194</v>
      </c>
      <c r="CI150" s="88" t="n">
        <f aca="false">INDEX(in_sel_testing,1,C150)*X150+INDEX(in_sel_admin,1,C150)</f>
        <v>4750</v>
      </c>
      <c r="CJ150" s="79" t="n">
        <f aca="false">INDEX(in_sup_lead_days,1,C150)</f>
        <v>35</v>
      </c>
      <c r="CK150" s="79" t="n">
        <f aca="false">CJ150+INDEX(in_oce_transit,1,C150)+IF(F150=4,INDEX(in_oce_lcl_extra_days,1,C150),0)</f>
        <v>85</v>
      </c>
      <c r="CL150" s="79" t="n">
        <f aca="false">CK150+2+INDEX(in_cus_dem_days,1,C150)</f>
        <v>90</v>
      </c>
      <c r="CM150" s="79" t="n">
        <f aca="false">CL150+U150</f>
        <v>150</v>
      </c>
      <c r="CN150" s="79" t="n">
        <f aca="false">CJ150+INDEX(in_sup_vat_lag,1,C150)</f>
        <v>215</v>
      </c>
      <c r="CO150" s="91" t="n">
        <f aca="false">INDEX(in_sup_advance,1,C150)</f>
        <v>0.5</v>
      </c>
      <c r="CP150" s="88" t="n">
        <f aca="false">CO150*(AL150+AM150)+AO150+INDEX(in_sel_testing,1,C150)*X150</f>
        <v>5521.61212576401</v>
      </c>
      <c r="CQ150" s="88" t="n">
        <f aca="false">(1-CO150)*(AL150+AM150)+AR150+AU150+AZ150</f>
        <v>4837.92834487667</v>
      </c>
      <c r="CR150" s="88" t="n">
        <f aca="false">BB150+BC150+BD150+BF150+BJ150</f>
        <v>2403.39288377965</v>
      </c>
      <c r="CS150" s="88" t="n">
        <f aca="false">BK150+BL150</f>
        <v>1000</v>
      </c>
      <c r="CT150" s="88" t="n">
        <f aca="false">IF(K150=2,AM150,0)</f>
        <v>0</v>
      </c>
      <c r="CU150" s="85" t="n">
        <f aca="false">IF(K150=2,CO150*AM150*(CN150-0)+(1-CO150)*AM150*(CN150-CJ150),0)</f>
        <v>0</v>
      </c>
      <c r="CV150" s="85" t="n">
        <f aca="false">(CP150-CO150*CT150)*(CM150-0)+(CQ150-(1-CO150)*CT150)*(CM150-CJ150)+CR150*(CM150-CK150)+CS150*(CM150-CL150)</f>
        <v>1600824.1159711</v>
      </c>
      <c r="CW150" s="88" t="n">
        <f aca="false">INDEX(in_sel_fin_rate,1,C150)/365*(CU150+CV150)</f>
        <v>614.014729413571</v>
      </c>
      <c r="CX150" s="85" t="n">
        <f aca="false">CP150-IF(CN150&lt;=0,CT150,0)</f>
        <v>5521.61212576401</v>
      </c>
      <c r="CY150" s="85" t="n">
        <f aca="false">CP150+CQ150-IF(CN150&lt;=CJ150,CT150,0)</f>
        <v>10359.5404706407</v>
      </c>
      <c r="CZ150" s="85" t="n">
        <f aca="false">CP150+CQ150+CR150-IF(CN150&lt;=CK150,CT150,0)</f>
        <v>12762.9333544203</v>
      </c>
      <c r="DA150" s="85" t="n">
        <f aca="false">CP150+CQ150+CR150+CS150-IF(CN150&lt;=CL150,CT150,0)</f>
        <v>13762.9333544203</v>
      </c>
      <c r="DB150" s="88" t="n">
        <f aca="false">MAX(CX150,CY150,CZ150,DA150)</f>
        <v>13762.9333544203</v>
      </c>
      <c r="DC150" s="88" t="n">
        <f aca="false">CP150+CQ150+CR150+CS150</f>
        <v>13762.9333544203</v>
      </c>
      <c r="DD150" s="88" t="n">
        <f aca="false">CE150-CH150-CI150-CW150</f>
        <v>-13256.6280238339</v>
      </c>
      <c r="DE150" s="87" t="n">
        <f aca="false">IF(CD150&gt;0,DD150/CD150,0)</f>
        <v>-6.41454295345027</v>
      </c>
      <c r="DF150" s="86" t="n">
        <f aca="false">IF(CD150&gt;0,(BM150+CI150+CW150)/(CD150*(1-CG150)),0)</f>
        <v>8.08789276624339</v>
      </c>
      <c r="DG150" s="90" t="n">
        <f aca="false">IF(BW150&gt;0,BM150/BW150,0)</f>
        <v>1.01697222441878</v>
      </c>
      <c r="DH150" s="90" t="n">
        <f aca="false">IF(BW150&gt;0,CD150/BW150,0)</f>
        <v>0.21527625</v>
      </c>
      <c r="DI150" s="90" t="n">
        <f aca="false">IF(AI150&gt;0,(AI150*IF(K150=3,INDEX(in_sup_vat_rate,1,C150),0)+AV150*BA150+(BC150+BD150)*AV150/AY150+AZ150*AI150/AL150)/AI150,0)</f>
        <v>0.394351145718114</v>
      </c>
      <c r="DJ150" s="90" t="n">
        <f aca="false">IF(AJ150&gt;0,(AJ150*IF(K150=3,INDEX(in_sup_vat_rate,1,C150),0)+AW150*BA150+(BC150+BD150)*AW150/AY150+AZ150*AJ150/AL150)/AJ150,0)</f>
        <v>0.396589148195143</v>
      </c>
      <c r="DK150" s="90" t="n">
        <f aca="false">IF(AK150&gt;0,(AK150*IF(K150=3,INDEX(in_sup_vat_rate,1,C150),0)+AX150*BA150+(BC150+BD150)*AX150/AY150+AZ150*AK150/AL150)/AK150,0)</f>
        <v>0.402423927911629</v>
      </c>
      <c r="DL150" s="90" t="n">
        <f aca="false">IF(Y150&gt;0,(BP150-AI150*(1+DI150))/Y150,0)</f>
        <v>0.726063924976222</v>
      </c>
      <c r="DM150" s="90" t="n">
        <f aca="false">IF(Z150&gt;0,(BQ150-AJ150*(1+DJ150))/Z150,0)</f>
        <v>0.834935182242862</v>
      </c>
      <c r="DN150" s="90" t="n">
        <f aca="false">IF(AA150&gt;0,(BR150-AK150*(1+DK150))/AA150,0)</f>
        <v>0.628156540546102</v>
      </c>
      <c r="DO150" s="86" t="n">
        <f aca="false">IF(Y150&gt;0,(CA150*(1-thr_gm_go)*(1-R150)-DL150)/(1+DI150)*I150/((1+AH150)*J150),"")</f>
        <v>-18.3276454267257</v>
      </c>
      <c r="DP150" s="86" t="n">
        <f aca="false">IF(Z150&gt;0,(CB150*(1-thr_gm_go)*(1-R150)-DM150)/(1+DJ150)*I150/((1+AH150)*J150),"")</f>
        <v>-20.8874275212971</v>
      </c>
      <c r="DQ150" s="86" t="n">
        <f aca="false">IF(AA150&gt;0,(CC150*(1-thr_gm_go)*(1-R150)-DN150)/(1+DK150)*I150/((1+AH150)*J150),"")</f>
        <v>-14.922415249832</v>
      </c>
      <c r="DR150" s="92" t="n">
        <f aca="false">IF(AND(AY150*INDEX(in_cus_mpf_rate,1,C150)&gt;INDEX(in_cus_mpf_min,1,C150),AY150*INDEX(in_cus_mpf_rate,1,C150)&lt;INDEX(in_cus_mpf_max,1,C150)),INDEX(in_cus_mpf_rate,1,C150),0)</f>
        <v>0</v>
      </c>
      <c r="DS150" s="88" t="n">
        <f aca="false">IF(AZ150&gt;INDEX(in_oce_ins_min,1,C150),INDEX(in_oce_ins_rate,1,C150)*(1+INDEX(in_oce_ins_uplift,1,C150))*AL150,0)</f>
        <v>0</v>
      </c>
      <c r="DT150" s="88" t="n">
        <f aca="false">(AL150+AN150)*(1+BA150+INDEX(in_cus_hmf,1,C150)+DR150)+DS150</f>
        <v>2260.69558345851</v>
      </c>
      <c r="DU150" s="86" t="n">
        <f aca="false">IF(DT150&gt;0,(CD150*(1-thr_gm_go)-(BM150-DT150))/DT150,0)</f>
        <v>-2.63292803087438</v>
      </c>
      <c r="DV150" s="86" t="n">
        <f aca="false">IF(DT150&gt;0,(CD150-(BM150-DT150))/DT150,0)</f>
        <v>-2.4043864245739</v>
      </c>
      <c r="DW150" s="87" t="n">
        <f aca="false">(1+AH150)*J150*DU150-1</f>
        <v>-3.89622083396182</v>
      </c>
      <c r="DX150" s="87" t="n">
        <f aca="false">(1+AH150)*J150*DV150-1</f>
        <v>-3.64482506703129</v>
      </c>
      <c r="DY150" s="85" t="str">
        <f aca="false">IF(G150&gt;0,(CD150*(1-thr_gm_go)-(BM150-AT150))/G150,"")</f>
        <v/>
      </c>
      <c r="DZ150" s="90" t="n">
        <f aca="false">IF(AB150&gt;0,(AL150+AN150+BB150+BC150+BD150)/AB150,0)</f>
        <v>0.236066976143427</v>
      </c>
      <c r="EA150" s="88" t="n">
        <f aca="false">BM150-DZ150*AB150</f>
        <v>7402.26359298607</v>
      </c>
      <c r="EB150" s="90" t="n">
        <f aca="false">IF(AB150&gt;0,CD150/AB150,0)</f>
        <v>0.2066652</v>
      </c>
      <c r="EC150" s="85" t="str">
        <f aca="false">IF(EB150*(1-thr_gm_go)-DZ150&gt;0,EA150/(EB150*(1-thr_gm_go)-DZ150),"n/a")</f>
        <v>n/a</v>
      </c>
      <c r="ED150" s="85" t="str">
        <f aca="false">IF(EB150-DZ150&gt;0,EA150/(EB150-DZ150),"n/a")</f>
        <v>n/a</v>
      </c>
      <c r="EE150" s="93" t="b">
        <f aca="false">INDEX(cfg_fits,D150,C150)</f>
        <v>1</v>
      </c>
      <c r="EF150" s="87" t="str">
        <f aca="false">IF(F150=4,"",INDEX(cfg_lenutil,D150,C150))</f>
        <v/>
      </c>
      <c r="EG150" s="31" t="str">
        <f aca="false">IF(O150&gt;1,"Check fit (units scaled up)","")</f>
        <v/>
      </c>
    </row>
    <row r="151" customFormat="false" ht="15" hidden="false" customHeight="false" outlineLevel="0" collapsed="false">
      <c r="A151" s="78" t="n">
        <v>3102</v>
      </c>
      <c r="B151" s="9" t="s">
        <v>3299</v>
      </c>
      <c r="C151" s="78" t="n">
        <v>3</v>
      </c>
      <c r="D151" s="78" t="n">
        <v>10</v>
      </c>
      <c r="E151" s="78" t="n">
        <v>2</v>
      </c>
      <c r="F151" s="79" t="n">
        <f aca="false">INDEX(cfg_ct,D151)</f>
        <v>4</v>
      </c>
      <c r="G151" s="79" t="n">
        <f aca="false">INDEX(cfg_n,D151)</f>
        <v>0</v>
      </c>
      <c r="H151" s="79" t="n">
        <f aca="false">INDEX(dest_port,E151)</f>
        <v>1</v>
      </c>
      <c r="I151" s="80" t="n">
        <f aca="false">INDEX(in_fx_cbe,1,C151)*(1-INDEX(in_fx_spread,1,C151))</f>
        <v>48.265</v>
      </c>
      <c r="J151" s="81" t="n">
        <f aca="false">1</f>
        <v>1</v>
      </c>
      <c r="K151" s="82" t="n">
        <f aca="false">INDEX(in_sup_vat_mode,1,C151)</f>
        <v>3</v>
      </c>
      <c r="L151" s="83" t="n">
        <f aca="false">INDEX(in_cus_s301,1,C151)</f>
        <v>0.125</v>
      </c>
      <c r="M151" s="84" t="n">
        <f aca="false">1</f>
        <v>1</v>
      </c>
      <c r="N151" s="81" t="n">
        <f aca="false">1</f>
        <v>1</v>
      </c>
      <c r="O151" s="81" t="n">
        <f aca="false">1</f>
        <v>1</v>
      </c>
      <c r="P151" s="81" t="n">
        <f aca="false">1</f>
        <v>1</v>
      </c>
      <c r="Q151" s="81" t="n">
        <f aca="false">1</f>
        <v>1</v>
      </c>
      <c r="R151" s="83" t="n">
        <f aca="false">INDEX(in_sel_damage,1,C151)</f>
        <v>0.04</v>
      </c>
      <c r="S151" s="83" t="n">
        <f aca="false">INDEX(in_mkt_dist_margin,1,C151)</f>
        <v>0.3</v>
      </c>
      <c r="T151" s="83" t="n">
        <f aca="false">INDEX(in_mkt_eflute_disc,1,C151)</f>
        <v>0.25</v>
      </c>
      <c r="U151" s="82" t="n">
        <f aca="false">INDEX(in_sel_credit_days,1,C151)</f>
        <v>60</v>
      </c>
      <c r="V151" s="81" t="n">
        <f aca="false">1</f>
        <v>1</v>
      </c>
      <c r="W151" s="83" t="n">
        <f aca="false">INDEX(in_sel_commission,1,C151)</f>
        <v>0.07</v>
      </c>
      <c r="X151" s="82" t="n">
        <f aca="false">1</f>
        <v>1</v>
      </c>
      <c r="Y151" s="85" t="n">
        <f aca="false">INDEX(cfg_u_3464,D151,C151)*O151</f>
        <v>3350</v>
      </c>
      <c r="Z151" s="85" t="n">
        <f aca="false">INDEX(cfg_u_3463,D151,C151)*O151</f>
        <v>3350</v>
      </c>
      <c r="AA151" s="85" t="n">
        <f aca="false">INDEX(cfg_u_3460,D151,C151)*O151</f>
        <v>3300</v>
      </c>
      <c r="AB151" s="85" t="n">
        <f aca="false">Y151+Z151+AA151</f>
        <v>10000</v>
      </c>
      <c r="AC151" s="86" t="n">
        <f aca="false">Y151*INDEX(lg_vpu_3464,C151)</f>
        <v>2.6810586</v>
      </c>
      <c r="AD151" s="86" t="n">
        <f aca="false">Z151*INDEX(lg_vpu_3463,C151)</f>
        <v>3.2798376</v>
      </c>
      <c r="AE151" s="86" t="n">
        <f aca="false">AA151*INDEX(lg_vpu_3460,C151)</f>
        <v>2.1106008</v>
      </c>
      <c r="AF151" s="86" t="n">
        <f aca="false">AC151+AD151+AE151</f>
        <v>8.071497</v>
      </c>
      <c r="AG151" s="85" t="n">
        <f aca="false">Y151*INDEX(lg_kpu_3464,C151)+Z151*INDEX(lg_kpu_3463,C151)+AA151*INDEX(lg_kpu_3460,C151)</f>
        <v>1969.102064</v>
      </c>
      <c r="AH151" s="87" t="n">
        <f aca="false">INDEX(in_sup_requote,1,C151)</f>
        <v>0.1</v>
      </c>
      <c r="AI151" s="88" t="n">
        <f aca="false">Y151*q_price_3464*(1+AH151)*J151/I151</f>
        <v>638.662073966643</v>
      </c>
      <c r="AJ151" s="88" t="n">
        <f aca="false">Z151*q_price_3463*(1+AH151)*J151/I151</f>
        <v>603.159639490314</v>
      </c>
      <c r="AK151" s="88" t="n">
        <f aca="false">AA151*q_price_3460*(1+AH151)*J151/I151</f>
        <v>518.947477468145</v>
      </c>
      <c r="AL151" s="88" t="n">
        <f aca="false">AI151+AJ151+AK151</f>
        <v>1760.7691909251</v>
      </c>
      <c r="AM151" s="88" t="n">
        <f aca="false">IF(OR(K151=2,K151=3),AL151*INDEX(in_sup_vat_rate,1,C151),0)</f>
        <v>246.507686729514</v>
      </c>
      <c r="AN151" s="88" t="n">
        <f aca="false">IF(K151=3,AM151,0)</f>
        <v>246.507686729514</v>
      </c>
      <c r="AO151" s="88" t="n">
        <f aca="false">INDEX(in_sup_tooling_egp,1,C151)/I151</f>
        <v>517.973686936704</v>
      </c>
      <c r="AP151" s="88" t="n">
        <f aca="false">IF(F151=4,INDEX(in_ori_lcl_truck,1,C151)*V151/I151+INDEX(in_ori_lcl_cfs_o,1,C151),G151*(IF(F151=1,INDEX(in_ori_truck_20,1,C151),INDEX(in_ori_truck_40,1,C151))*V151/I151+INDEX(in_ori_terminal,1,C151)+IF(F151=1,INDEX(in_ori_othc_20,1,C151),INDEX(in_ori_othc_40,1,C151))*(1-INDEX(in_ori_othc_in_freight,1,C151))+INDEX(in_ori_seal,1,C151)+INDEX(in_ori_inspection,1,C151)+INDEX(in_ori_dd_days,1,C151)*IF(F151=1,INDEX(in_ori_dd_20,1,C151),INDEX(in_ori_dd_40,1,C151))+INDEX(in_ori_loading_egp,1,C151)/I151))</f>
        <v>386.470527297213</v>
      </c>
      <c r="AQ151" s="88" t="n">
        <f aca="false">(INDEX(in_ori_clearance,1,C151)+INDEX(in_ori_coo,1,C151))/I151+INDEX(in_ori_bl_fee,1,C151)+INDEX(in_ori_fwd_fee,1,C151)+INDEX(in_ori_qc,1,C151)+INDEX(in_ori_wires,1,C151)*INDEX(in_ori_wire_fee,1,C151)</f>
        <v>1167.90842225215</v>
      </c>
      <c r="AR151" s="88" t="n">
        <f aca="false">AP151+AQ151</f>
        <v>1554.37894954936</v>
      </c>
      <c r="AS151" s="85" t="n">
        <f aca="false">INDEX(tbl_port_diff,H151,C151)</f>
        <v>0</v>
      </c>
      <c r="AT151" s="88" t="n">
        <f aca="false">IF(F151=4,MAX(AF151*INDEX(in_oce_lcl_factor,1,C151),AG151/1000,1)*INDEX(in_oce_lcl_rate,1,C151)*M151,G151*(INDEX(tbl_ocean_rate,MIN(F151,3),C151)+AS151)*M151)</f>
        <v>2134.9109565</v>
      </c>
      <c r="AU151" s="88" t="n">
        <f aca="false">AT151+INDEX(in_oce_ams,1,C151)</f>
        <v>2179.9109565</v>
      </c>
      <c r="AV151" s="88" t="n">
        <f aca="false">AI151*(1+IF(K151=3,INDEX(in_sup_vat_rate,1,C151),0))+AO151*Y151/AB151</f>
        <v>901.595949445768</v>
      </c>
      <c r="AW151" s="88" t="n">
        <f aca="false">AJ151*(1+IF(K151=3,INDEX(in_sup_vat_rate,1,C151),0))+AO151*Z151/AB151</f>
        <v>861.123174142754</v>
      </c>
      <c r="AX151" s="88" t="n">
        <f aca="false">AK151*(1+IF(K151=3,INDEX(in_sup_vat_rate,1,C151),0))+AO151*AA151/AB151</f>
        <v>762.531441002797</v>
      </c>
      <c r="AY151" s="88" t="n">
        <f aca="false">AV151+AW151+AX151</f>
        <v>2525.25056459132</v>
      </c>
      <c r="AZ151" s="88" t="n">
        <f aca="false">MAX(INDEX(in_oce_ins_min,1,C151),INDEX(in_oce_ins_rate,1,C151)*(1+INDEX(in_oce_ins_uplift,1,C151))*(AL151+AO151+AR151+AU151))*(1-INDEX(in_oce_ins_in_other,1,C151))</f>
        <v>100</v>
      </c>
      <c r="BA151" s="87" t="n">
        <f aca="false">INDEX(in_cus_mfn,1,C151)+L151</f>
        <v>0.125</v>
      </c>
      <c r="BB151" s="88" t="n">
        <f aca="false">AY151*BA151</f>
        <v>315.656320573915</v>
      </c>
      <c r="BC151" s="88" t="n">
        <f aca="false">MIN(MAX(AY151*INDEX(in_cus_mpf_rate,1,C151),INDEX(in_cus_mpf_min,1,C151)),INDEX(in_cus_mpf_max,1,C151))</f>
        <v>34.58</v>
      </c>
      <c r="BD151" s="88" t="n">
        <f aca="false">AY151*INDEX(in_cus_hmf,1,C151)</f>
        <v>3.15656320573915</v>
      </c>
      <c r="BE151" s="88" t="n">
        <f aca="false">MAX(INDEX(in_cus_stb_min,1,C151),INDEX(in_cus_stb_rate,1,C151)/1000*(AY151+BB151+BC151+BD151))</f>
        <v>75</v>
      </c>
      <c r="BF151" s="88" t="n">
        <f aca="false">INDEX(in_cus_broker,1,C151)+INDEX(in_cus_isf,1,C151)+INDEX(in_cus_do_fee,1,C151)+BE151+INDEX(in_cus_isf_bond,1,C151)</f>
        <v>700</v>
      </c>
      <c r="BG151" s="88" t="n">
        <f aca="false">IF(H151=1,INDEX(in_cus_cfc,1,C151)*INDEX(ct_teu,F151)*G151*(1-INDEX(in_cus_cfc_in_freight,1,C151)),0)</f>
        <v>0</v>
      </c>
      <c r="BH151" s="88" t="n">
        <f aca="false">IF(F151=4,1,G151)*(INDEX(in_cus_exam,1,C151)+INDEX(in_cus_exam_dray,1,C151))</f>
        <v>600</v>
      </c>
      <c r="BI151" s="88" t="n">
        <f aca="false">IF(F151=4,1,G151)*INDEX(in_cus_dem_days,1,C151)*INDEX(in_cus_dem_rate,1,C151)</f>
        <v>750</v>
      </c>
      <c r="BJ151" s="88" t="n">
        <f aca="false">BG151+BH151+BI151</f>
        <v>1350</v>
      </c>
      <c r="BK151" s="88" t="n">
        <f aca="false">IF(F151=4,(INDEX(in_dra_lcl_cfs_d,1,C151)+INDEX(in_dra_lcl_deliv,1,C151))*P151,G151*(INDEX(tbl_dest_line,E151,C151)*P151*(1+INDEX(in_dra_fsc,1,C151))+INDEX(tbl_dest_tolls,E151,C151)+INDEX(in_dra_chassis_days,1,C151)*INDEX(tbl_dest_chassis,E151,C151)*(1-INDEX(in_dra_chassis_in_dray,1,C151))+INDEX(in_dra_wait_hours,1,C151)*INDEX(in_dra_wait_rate,1,C151)+INDEX(in_dra_split,1,C151)+INDEX(in_dra_prepull,1,C151)+INDEX(in_dra_dryrun,1,C151)))</f>
        <v>1000</v>
      </c>
      <c r="BL151" s="88" t="n">
        <f aca="false">IF(F151=4,0,G151*IF(F151=1,INDEX(in_dra_unload_20,1,C151),INDEX(in_dra_unload_40,1,C151))*Q151*(1-INDEX(in_dra_unload_in_dray,1,C151)))</f>
        <v>0</v>
      </c>
      <c r="BM151" s="88" t="n">
        <f aca="false">AL151+AN151+AO151+AR151+AU151+AZ151+BB151+BC151+BD151+BF151+BJ151+BK151+BL151</f>
        <v>9762.93335442034</v>
      </c>
      <c r="BN151" s="88" t="n">
        <f aca="false">AP151+AU151+BJ151+BK151+BL151</f>
        <v>4916.38148379721</v>
      </c>
      <c r="BO151" s="88" t="n">
        <f aca="false">AQ151+BF151</f>
        <v>1867.90842225215</v>
      </c>
      <c r="BP151" s="88" t="n">
        <f aca="false">AI151*(1+IF(K151=3,INDEX(in_sup_vat_rate,1,C151),0))+AO151*Y151/AB151+AV151*BA151+(BC151+BD151)*AV151/AY151+AZ151*AI151/AL151+BN151*AC151/AF151+BO151*Y151/AB151</f>
        <v>3322.83334323244</v>
      </c>
      <c r="BQ151" s="88" t="n">
        <f aca="false">AJ151*(1+IF(K151=3,INDEX(in_sup_vat_rate,1,C151),0))+AO151*Z151/AB151+AW151*BA151+(BC151+BD151)*AW151/AY151+AZ151*AJ151/AL151+BN151*AD151/AF151+BO151*Z151/AB151</f>
        <v>3639.39906765505</v>
      </c>
      <c r="BR151" s="88" t="n">
        <f aca="false">AK151*(1+IF(K151=3,INDEX(in_sup_vat_rate,1,C151),0))+AO151*AA151/AB151+AX151*BA151+(BC151+BD151)*AX151/AY151+AZ151*AK151/AL151+BN151*AE151/AF151+BO151*AA151/AB151</f>
        <v>2800.70094353284</v>
      </c>
      <c r="BS151" s="89" t="n">
        <f aca="false">BP151+BQ151+BR151-BM151</f>
        <v>0</v>
      </c>
      <c r="BT151" s="85" t="n">
        <f aca="false">Y151*(1-R151)</f>
        <v>3216</v>
      </c>
      <c r="BU151" s="85" t="n">
        <f aca="false">Z151*(1-R151)</f>
        <v>3216</v>
      </c>
      <c r="BV151" s="85" t="n">
        <f aca="false">AA151*(1-R151)</f>
        <v>3168</v>
      </c>
      <c r="BW151" s="85" t="n">
        <f aca="false">BT151+BU151+BV151</f>
        <v>9600</v>
      </c>
      <c r="BX151" s="90" t="n">
        <f aca="false">IF(BT151&gt;0,BP151/BT151,0)</f>
        <v>1.03321932314442</v>
      </c>
      <c r="BY151" s="90" t="n">
        <f aca="false">IF(BU151&gt;0,BQ151/BU151,0)</f>
        <v>1.13165393894747</v>
      </c>
      <c r="BZ151" s="90" t="n">
        <f aca="false">IF(BV151&gt;0,BR151/BV151,0)</f>
        <v>0.88405964126668</v>
      </c>
      <c r="CA151" s="90" t="n">
        <f aca="false">INDEX(in_mkt_listing_3464,1,C151)*(1-IF(sku_flute_3464="B",T151,0))*(1-S151)*N151</f>
        <v>0.1995</v>
      </c>
      <c r="CB151" s="90" t="n">
        <f aca="false">INDEX(in_mkt_listing_3463,1,C151)*(1-IF(sku_flute_3463="B",T151,0))*(1-S151)*N151</f>
        <v>0.23625</v>
      </c>
      <c r="CC151" s="90" t="n">
        <f aca="false">INDEX(in_mkt_listing_3460,1,C151)*(1-IF(sku_flute_3460="B",T151,0))*(1-S151)*N151</f>
        <v>0.21</v>
      </c>
      <c r="CD151" s="88" t="n">
        <f aca="false">BT151*CA151+BU151*CB151+BV151*CC151</f>
        <v>2066.652</v>
      </c>
      <c r="CE151" s="88" t="n">
        <f aca="false">CD151-BM151</f>
        <v>-7696.28135442033</v>
      </c>
      <c r="CF151" s="87" t="n">
        <f aca="false">IF(CD151&gt;0,CE151/CD151,0)</f>
        <v>-3.72403353560267</v>
      </c>
      <c r="CG151" s="87" t="n">
        <f aca="false">W151+INDEX(in_sel_processing,1,C151)+INDEX(in_sel_bad_debt,1,C151)</f>
        <v>0.095</v>
      </c>
      <c r="CH151" s="88" t="n">
        <f aca="false">CD151*CG151</f>
        <v>196.33194</v>
      </c>
      <c r="CI151" s="88" t="n">
        <f aca="false">INDEX(in_sel_testing,1,C151)*X151+INDEX(in_sel_admin,1,C151)</f>
        <v>4750</v>
      </c>
      <c r="CJ151" s="79" t="n">
        <f aca="false">INDEX(in_sup_lead_days,1,C151)</f>
        <v>35</v>
      </c>
      <c r="CK151" s="79" t="n">
        <f aca="false">CJ151+INDEX(in_oce_transit,1,C151)+IF(F151=4,INDEX(in_oce_lcl_extra_days,1,C151),0)</f>
        <v>85</v>
      </c>
      <c r="CL151" s="79" t="n">
        <f aca="false">CK151+2+INDEX(in_cus_dem_days,1,C151)</f>
        <v>90</v>
      </c>
      <c r="CM151" s="79" t="n">
        <f aca="false">CL151+U151</f>
        <v>150</v>
      </c>
      <c r="CN151" s="79" t="n">
        <f aca="false">CJ151+INDEX(in_sup_vat_lag,1,C151)</f>
        <v>215</v>
      </c>
      <c r="CO151" s="91" t="n">
        <f aca="false">INDEX(in_sup_advance,1,C151)</f>
        <v>0.5</v>
      </c>
      <c r="CP151" s="88" t="n">
        <f aca="false">CO151*(AL151+AM151)+AO151+INDEX(in_sel_testing,1,C151)*X151</f>
        <v>5521.61212576401</v>
      </c>
      <c r="CQ151" s="88" t="n">
        <f aca="false">(1-CO151)*(AL151+AM151)+AR151+AU151+AZ151</f>
        <v>4837.92834487667</v>
      </c>
      <c r="CR151" s="88" t="n">
        <f aca="false">BB151+BC151+BD151+BF151+BJ151</f>
        <v>2403.39288377965</v>
      </c>
      <c r="CS151" s="88" t="n">
        <f aca="false">BK151+BL151</f>
        <v>1000</v>
      </c>
      <c r="CT151" s="88" t="n">
        <f aca="false">IF(K151=2,AM151,0)</f>
        <v>0</v>
      </c>
      <c r="CU151" s="85" t="n">
        <f aca="false">IF(K151=2,CO151*AM151*(CN151-0)+(1-CO151)*AM151*(CN151-CJ151),0)</f>
        <v>0</v>
      </c>
      <c r="CV151" s="85" t="n">
        <f aca="false">(CP151-CO151*CT151)*(CM151-0)+(CQ151-(1-CO151)*CT151)*(CM151-CJ151)+CR151*(CM151-CK151)+CS151*(CM151-CL151)</f>
        <v>1600824.1159711</v>
      </c>
      <c r="CW151" s="88" t="n">
        <f aca="false">INDEX(in_sel_fin_rate,1,C151)/365*(CU151+CV151)</f>
        <v>614.014729413571</v>
      </c>
      <c r="CX151" s="85" t="n">
        <f aca="false">CP151-IF(CN151&lt;=0,CT151,0)</f>
        <v>5521.61212576401</v>
      </c>
      <c r="CY151" s="85" t="n">
        <f aca="false">CP151+CQ151-IF(CN151&lt;=CJ151,CT151,0)</f>
        <v>10359.5404706407</v>
      </c>
      <c r="CZ151" s="85" t="n">
        <f aca="false">CP151+CQ151+CR151-IF(CN151&lt;=CK151,CT151,0)</f>
        <v>12762.9333544203</v>
      </c>
      <c r="DA151" s="85" t="n">
        <f aca="false">CP151+CQ151+CR151+CS151-IF(CN151&lt;=CL151,CT151,0)</f>
        <v>13762.9333544203</v>
      </c>
      <c r="DB151" s="88" t="n">
        <f aca="false">MAX(CX151,CY151,CZ151,DA151)</f>
        <v>13762.9333544203</v>
      </c>
      <c r="DC151" s="88" t="n">
        <f aca="false">CP151+CQ151+CR151+CS151</f>
        <v>13762.9333544203</v>
      </c>
      <c r="DD151" s="88" t="n">
        <f aca="false">CE151-CH151-CI151-CW151</f>
        <v>-13256.6280238339</v>
      </c>
      <c r="DE151" s="87" t="n">
        <f aca="false">IF(CD151&gt;0,DD151/CD151,0)</f>
        <v>-6.41454295345027</v>
      </c>
      <c r="DF151" s="86" t="n">
        <f aca="false">IF(CD151&gt;0,(BM151+CI151+CW151)/(CD151*(1-CG151)),0)</f>
        <v>8.08789276624339</v>
      </c>
      <c r="DG151" s="90" t="n">
        <f aca="false">IF(BW151&gt;0,BM151/BW151,0)</f>
        <v>1.01697222441878</v>
      </c>
      <c r="DH151" s="90" t="n">
        <f aca="false">IF(BW151&gt;0,CD151/BW151,0)</f>
        <v>0.21527625</v>
      </c>
      <c r="DI151" s="90" t="n">
        <f aca="false">IF(AI151&gt;0,(AI151*IF(K151=3,INDEX(in_sup_vat_rate,1,C151),0)+AV151*BA151+(BC151+BD151)*AV151/AY151+AZ151*AI151/AL151)/AI151,0)</f>
        <v>0.394351145718114</v>
      </c>
      <c r="DJ151" s="90" t="n">
        <f aca="false">IF(AJ151&gt;0,(AJ151*IF(K151=3,INDEX(in_sup_vat_rate,1,C151),0)+AW151*BA151+(BC151+BD151)*AW151/AY151+AZ151*AJ151/AL151)/AJ151,0)</f>
        <v>0.396589148195143</v>
      </c>
      <c r="DK151" s="90" t="n">
        <f aca="false">IF(AK151&gt;0,(AK151*IF(K151=3,INDEX(in_sup_vat_rate,1,C151),0)+AX151*BA151+(BC151+BD151)*AX151/AY151+AZ151*AK151/AL151)/AK151,0)</f>
        <v>0.402423927911629</v>
      </c>
      <c r="DL151" s="90" t="n">
        <f aca="false">IF(Y151&gt;0,(BP151-AI151*(1+DI151))/Y151,0)</f>
        <v>0.726063924976222</v>
      </c>
      <c r="DM151" s="90" t="n">
        <f aca="false">IF(Z151&gt;0,(BQ151-AJ151*(1+DJ151))/Z151,0)</f>
        <v>0.834935182242862</v>
      </c>
      <c r="DN151" s="90" t="n">
        <f aca="false">IF(AA151&gt;0,(BR151-AK151*(1+DK151))/AA151,0)</f>
        <v>0.628156540546102</v>
      </c>
      <c r="DO151" s="86" t="n">
        <f aca="false">IF(Y151&gt;0,(CA151*(1-thr_gm_go)*(1-R151)-DL151)/(1+DI151)*I151/((1+AH151)*J151),"")</f>
        <v>-18.3276454267257</v>
      </c>
      <c r="DP151" s="86" t="n">
        <f aca="false">IF(Z151&gt;0,(CB151*(1-thr_gm_go)*(1-R151)-DM151)/(1+DJ151)*I151/((1+AH151)*J151),"")</f>
        <v>-20.8874275212971</v>
      </c>
      <c r="DQ151" s="86" t="n">
        <f aca="false">IF(AA151&gt;0,(CC151*(1-thr_gm_go)*(1-R151)-DN151)/(1+DK151)*I151/((1+AH151)*J151),"")</f>
        <v>-14.922415249832</v>
      </c>
      <c r="DR151" s="92" t="n">
        <f aca="false">IF(AND(AY151*INDEX(in_cus_mpf_rate,1,C151)&gt;INDEX(in_cus_mpf_min,1,C151),AY151*INDEX(in_cus_mpf_rate,1,C151)&lt;INDEX(in_cus_mpf_max,1,C151)),INDEX(in_cus_mpf_rate,1,C151),0)</f>
        <v>0</v>
      </c>
      <c r="DS151" s="88" t="n">
        <f aca="false">IF(AZ151&gt;INDEX(in_oce_ins_min,1,C151),INDEX(in_oce_ins_rate,1,C151)*(1+INDEX(in_oce_ins_uplift,1,C151))*AL151,0)</f>
        <v>0</v>
      </c>
      <c r="DT151" s="88" t="n">
        <f aca="false">(AL151+AN151)*(1+BA151+INDEX(in_cus_hmf,1,C151)+DR151)+DS151</f>
        <v>2260.69558345851</v>
      </c>
      <c r="DU151" s="86" t="n">
        <f aca="false">IF(DT151&gt;0,(CD151*(1-thr_gm_go)-(BM151-DT151))/DT151,0)</f>
        <v>-2.63292803087438</v>
      </c>
      <c r="DV151" s="86" t="n">
        <f aca="false">IF(DT151&gt;0,(CD151-(BM151-DT151))/DT151,0)</f>
        <v>-2.4043864245739</v>
      </c>
      <c r="DW151" s="87" t="n">
        <f aca="false">(1+AH151)*J151*DU151-1</f>
        <v>-3.89622083396182</v>
      </c>
      <c r="DX151" s="87" t="n">
        <f aca="false">(1+AH151)*J151*DV151-1</f>
        <v>-3.64482506703129</v>
      </c>
      <c r="DY151" s="85" t="str">
        <f aca="false">IF(G151&gt;0,(CD151*(1-thr_gm_go)-(BM151-AT151))/G151,"")</f>
        <v/>
      </c>
      <c r="DZ151" s="90" t="n">
        <f aca="false">IF(AB151&gt;0,(AL151+AN151+BB151+BC151+BD151)/AB151,0)</f>
        <v>0.236066976143427</v>
      </c>
      <c r="EA151" s="88" t="n">
        <f aca="false">BM151-DZ151*AB151</f>
        <v>7402.26359298607</v>
      </c>
      <c r="EB151" s="90" t="n">
        <f aca="false">IF(AB151&gt;0,CD151/AB151,0)</f>
        <v>0.2066652</v>
      </c>
      <c r="EC151" s="85" t="str">
        <f aca="false">IF(EB151*(1-thr_gm_go)-DZ151&gt;0,EA151/(EB151*(1-thr_gm_go)-DZ151),"n/a")</f>
        <v>n/a</v>
      </c>
      <c r="ED151" s="85" t="str">
        <f aca="false">IF(EB151-DZ151&gt;0,EA151/(EB151-DZ151),"n/a")</f>
        <v>n/a</v>
      </c>
      <c r="EE151" s="93" t="b">
        <f aca="false">INDEX(cfg_fits,D151,C151)</f>
        <v>1</v>
      </c>
      <c r="EF151" s="87" t="str">
        <f aca="false">IF(F151=4,"",INDEX(cfg_lenutil,D151,C151))</f>
        <v/>
      </c>
      <c r="EG151" s="31" t="str">
        <f aca="false">IF(O151&gt;1,"Check fit (units scaled up)","")</f>
        <v/>
      </c>
    </row>
    <row r="152" customFormat="false" ht="15" hidden="false" customHeight="false" outlineLevel="0" collapsed="false">
      <c r="A152" s="78" t="n">
        <v>3103</v>
      </c>
      <c r="B152" s="9" t="s">
        <v>3300</v>
      </c>
      <c r="C152" s="78" t="n">
        <v>3</v>
      </c>
      <c r="D152" s="78" t="n">
        <v>10</v>
      </c>
      <c r="E152" s="78" t="n">
        <v>3</v>
      </c>
      <c r="F152" s="79" t="n">
        <f aca="false">INDEX(cfg_ct,D152)</f>
        <v>4</v>
      </c>
      <c r="G152" s="79" t="n">
        <f aca="false">INDEX(cfg_n,D152)</f>
        <v>0</v>
      </c>
      <c r="H152" s="79" t="n">
        <f aca="false">INDEX(dest_port,E152)</f>
        <v>2</v>
      </c>
      <c r="I152" s="80" t="n">
        <f aca="false">INDEX(in_fx_cbe,1,C152)*(1-INDEX(in_fx_spread,1,C152))</f>
        <v>48.265</v>
      </c>
      <c r="J152" s="81" t="n">
        <f aca="false">1</f>
        <v>1</v>
      </c>
      <c r="K152" s="82" t="n">
        <f aca="false">INDEX(in_sup_vat_mode,1,C152)</f>
        <v>3</v>
      </c>
      <c r="L152" s="83" t="n">
        <f aca="false">INDEX(in_cus_s301,1,C152)</f>
        <v>0.125</v>
      </c>
      <c r="M152" s="84" t="n">
        <f aca="false">1</f>
        <v>1</v>
      </c>
      <c r="N152" s="81" t="n">
        <f aca="false">1</f>
        <v>1</v>
      </c>
      <c r="O152" s="81" t="n">
        <f aca="false">1</f>
        <v>1</v>
      </c>
      <c r="P152" s="81" t="n">
        <f aca="false">1</f>
        <v>1</v>
      </c>
      <c r="Q152" s="81" t="n">
        <f aca="false">1</f>
        <v>1</v>
      </c>
      <c r="R152" s="83" t="n">
        <f aca="false">INDEX(in_sel_damage,1,C152)</f>
        <v>0.04</v>
      </c>
      <c r="S152" s="83" t="n">
        <f aca="false">INDEX(in_mkt_dist_margin,1,C152)</f>
        <v>0.3</v>
      </c>
      <c r="T152" s="83" t="n">
        <f aca="false">INDEX(in_mkt_eflute_disc,1,C152)</f>
        <v>0.25</v>
      </c>
      <c r="U152" s="82" t="n">
        <f aca="false">INDEX(in_sel_credit_days,1,C152)</f>
        <v>60</v>
      </c>
      <c r="V152" s="81" t="n">
        <f aca="false">1</f>
        <v>1</v>
      </c>
      <c r="W152" s="83" t="n">
        <f aca="false">INDEX(in_sel_commission,1,C152)</f>
        <v>0.07</v>
      </c>
      <c r="X152" s="82" t="n">
        <f aca="false">1</f>
        <v>1</v>
      </c>
      <c r="Y152" s="85" t="n">
        <f aca="false">INDEX(cfg_u_3464,D152,C152)*O152</f>
        <v>3350</v>
      </c>
      <c r="Z152" s="85" t="n">
        <f aca="false">INDEX(cfg_u_3463,D152,C152)*O152</f>
        <v>3350</v>
      </c>
      <c r="AA152" s="85" t="n">
        <f aca="false">INDEX(cfg_u_3460,D152,C152)*O152</f>
        <v>3300</v>
      </c>
      <c r="AB152" s="85" t="n">
        <f aca="false">Y152+Z152+AA152</f>
        <v>10000</v>
      </c>
      <c r="AC152" s="86" t="n">
        <f aca="false">Y152*INDEX(lg_vpu_3464,C152)</f>
        <v>2.6810586</v>
      </c>
      <c r="AD152" s="86" t="n">
        <f aca="false">Z152*INDEX(lg_vpu_3463,C152)</f>
        <v>3.2798376</v>
      </c>
      <c r="AE152" s="86" t="n">
        <f aca="false">AA152*INDEX(lg_vpu_3460,C152)</f>
        <v>2.1106008</v>
      </c>
      <c r="AF152" s="86" t="n">
        <f aca="false">AC152+AD152+AE152</f>
        <v>8.071497</v>
      </c>
      <c r="AG152" s="85" t="n">
        <f aca="false">Y152*INDEX(lg_kpu_3464,C152)+Z152*INDEX(lg_kpu_3463,C152)+AA152*INDEX(lg_kpu_3460,C152)</f>
        <v>1969.102064</v>
      </c>
      <c r="AH152" s="87" t="n">
        <f aca="false">INDEX(in_sup_requote,1,C152)</f>
        <v>0.1</v>
      </c>
      <c r="AI152" s="88" t="n">
        <f aca="false">Y152*q_price_3464*(1+AH152)*J152/I152</f>
        <v>638.662073966643</v>
      </c>
      <c r="AJ152" s="88" t="n">
        <f aca="false">Z152*q_price_3463*(1+AH152)*J152/I152</f>
        <v>603.159639490314</v>
      </c>
      <c r="AK152" s="88" t="n">
        <f aca="false">AA152*q_price_3460*(1+AH152)*J152/I152</f>
        <v>518.947477468145</v>
      </c>
      <c r="AL152" s="88" t="n">
        <f aca="false">AI152+AJ152+AK152</f>
        <v>1760.7691909251</v>
      </c>
      <c r="AM152" s="88" t="n">
        <f aca="false">IF(OR(K152=2,K152=3),AL152*INDEX(in_sup_vat_rate,1,C152),0)</f>
        <v>246.507686729514</v>
      </c>
      <c r="AN152" s="88" t="n">
        <f aca="false">IF(K152=3,AM152,0)</f>
        <v>246.507686729514</v>
      </c>
      <c r="AO152" s="88" t="n">
        <f aca="false">INDEX(in_sup_tooling_egp,1,C152)/I152</f>
        <v>517.973686936704</v>
      </c>
      <c r="AP152" s="88" t="n">
        <f aca="false">IF(F152=4,INDEX(in_ori_lcl_truck,1,C152)*V152/I152+INDEX(in_ori_lcl_cfs_o,1,C152),G152*(IF(F152=1,INDEX(in_ori_truck_20,1,C152),INDEX(in_ori_truck_40,1,C152))*V152/I152+INDEX(in_ori_terminal,1,C152)+IF(F152=1,INDEX(in_ori_othc_20,1,C152),INDEX(in_ori_othc_40,1,C152))*(1-INDEX(in_ori_othc_in_freight,1,C152))+INDEX(in_ori_seal,1,C152)+INDEX(in_ori_inspection,1,C152)+INDEX(in_ori_dd_days,1,C152)*IF(F152=1,INDEX(in_ori_dd_20,1,C152),INDEX(in_ori_dd_40,1,C152))+INDEX(in_ori_loading_egp,1,C152)/I152))</f>
        <v>386.470527297213</v>
      </c>
      <c r="AQ152" s="88" t="n">
        <f aca="false">(INDEX(in_ori_clearance,1,C152)+INDEX(in_ori_coo,1,C152))/I152+INDEX(in_ori_bl_fee,1,C152)+INDEX(in_ori_fwd_fee,1,C152)+INDEX(in_ori_qc,1,C152)+INDEX(in_ori_wires,1,C152)*INDEX(in_ori_wire_fee,1,C152)</f>
        <v>1167.90842225215</v>
      </c>
      <c r="AR152" s="88" t="n">
        <f aca="false">AP152+AQ152</f>
        <v>1554.37894954936</v>
      </c>
      <c r="AS152" s="85" t="n">
        <f aca="false">INDEX(tbl_port_diff,H152,C152)</f>
        <v>300</v>
      </c>
      <c r="AT152" s="88" t="n">
        <f aca="false">IF(F152=4,MAX(AF152*INDEX(in_oce_lcl_factor,1,C152),AG152/1000,1)*INDEX(in_oce_lcl_rate,1,C152)*M152,G152*(INDEX(tbl_ocean_rate,MIN(F152,3),C152)+AS152)*M152)</f>
        <v>2134.9109565</v>
      </c>
      <c r="AU152" s="88" t="n">
        <f aca="false">AT152+INDEX(in_oce_ams,1,C152)</f>
        <v>2179.9109565</v>
      </c>
      <c r="AV152" s="88" t="n">
        <f aca="false">AI152*(1+IF(K152=3,INDEX(in_sup_vat_rate,1,C152),0))+AO152*Y152/AB152</f>
        <v>901.595949445768</v>
      </c>
      <c r="AW152" s="88" t="n">
        <f aca="false">AJ152*(1+IF(K152=3,INDEX(in_sup_vat_rate,1,C152),0))+AO152*Z152/AB152</f>
        <v>861.123174142754</v>
      </c>
      <c r="AX152" s="88" t="n">
        <f aca="false">AK152*(1+IF(K152=3,INDEX(in_sup_vat_rate,1,C152),0))+AO152*AA152/AB152</f>
        <v>762.531441002797</v>
      </c>
      <c r="AY152" s="88" t="n">
        <f aca="false">AV152+AW152+AX152</f>
        <v>2525.25056459132</v>
      </c>
      <c r="AZ152" s="88" t="n">
        <f aca="false">MAX(INDEX(in_oce_ins_min,1,C152),INDEX(in_oce_ins_rate,1,C152)*(1+INDEX(in_oce_ins_uplift,1,C152))*(AL152+AO152+AR152+AU152))*(1-INDEX(in_oce_ins_in_other,1,C152))</f>
        <v>100</v>
      </c>
      <c r="BA152" s="87" t="n">
        <f aca="false">INDEX(in_cus_mfn,1,C152)+L152</f>
        <v>0.125</v>
      </c>
      <c r="BB152" s="88" t="n">
        <f aca="false">AY152*BA152</f>
        <v>315.656320573915</v>
      </c>
      <c r="BC152" s="88" t="n">
        <f aca="false">MIN(MAX(AY152*INDEX(in_cus_mpf_rate,1,C152),INDEX(in_cus_mpf_min,1,C152)),INDEX(in_cus_mpf_max,1,C152))</f>
        <v>34.58</v>
      </c>
      <c r="BD152" s="88" t="n">
        <f aca="false">AY152*INDEX(in_cus_hmf,1,C152)</f>
        <v>3.15656320573915</v>
      </c>
      <c r="BE152" s="88" t="n">
        <f aca="false">MAX(INDEX(in_cus_stb_min,1,C152),INDEX(in_cus_stb_rate,1,C152)/1000*(AY152+BB152+BC152+BD152))</f>
        <v>75</v>
      </c>
      <c r="BF152" s="88" t="n">
        <f aca="false">INDEX(in_cus_broker,1,C152)+INDEX(in_cus_isf,1,C152)+INDEX(in_cus_do_fee,1,C152)+BE152+INDEX(in_cus_isf_bond,1,C152)</f>
        <v>700</v>
      </c>
      <c r="BG152" s="88" t="n">
        <f aca="false">IF(H152=1,INDEX(in_cus_cfc,1,C152)*INDEX(ct_teu,F152)*G152*(1-INDEX(in_cus_cfc_in_freight,1,C152)),0)</f>
        <v>0</v>
      </c>
      <c r="BH152" s="88" t="n">
        <f aca="false">IF(F152=4,1,G152)*(INDEX(in_cus_exam,1,C152)+INDEX(in_cus_exam_dray,1,C152))</f>
        <v>600</v>
      </c>
      <c r="BI152" s="88" t="n">
        <f aca="false">IF(F152=4,1,G152)*INDEX(in_cus_dem_days,1,C152)*INDEX(in_cus_dem_rate,1,C152)</f>
        <v>750</v>
      </c>
      <c r="BJ152" s="88" t="n">
        <f aca="false">BG152+BH152+BI152</f>
        <v>1350</v>
      </c>
      <c r="BK152" s="88" t="n">
        <f aca="false">IF(F152=4,(INDEX(in_dra_lcl_cfs_d,1,C152)+INDEX(in_dra_lcl_deliv,1,C152))*P152,G152*(INDEX(tbl_dest_line,E152,C152)*P152*(1+INDEX(in_dra_fsc,1,C152))+INDEX(tbl_dest_tolls,E152,C152)+INDEX(in_dra_chassis_days,1,C152)*INDEX(tbl_dest_chassis,E152,C152)*(1-INDEX(in_dra_chassis_in_dray,1,C152))+INDEX(in_dra_wait_hours,1,C152)*INDEX(in_dra_wait_rate,1,C152)+INDEX(in_dra_split,1,C152)+INDEX(in_dra_prepull,1,C152)+INDEX(in_dra_dryrun,1,C152)))</f>
        <v>1000</v>
      </c>
      <c r="BL152" s="88" t="n">
        <f aca="false">IF(F152=4,0,G152*IF(F152=1,INDEX(in_dra_unload_20,1,C152),INDEX(in_dra_unload_40,1,C152))*Q152*(1-INDEX(in_dra_unload_in_dray,1,C152)))</f>
        <v>0</v>
      </c>
      <c r="BM152" s="88" t="n">
        <f aca="false">AL152+AN152+AO152+AR152+AU152+AZ152+BB152+BC152+BD152+BF152+BJ152+BK152+BL152</f>
        <v>9762.93335442034</v>
      </c>
      <c r="BN152" s="88" t="n">
        <f aca="false">AP152+AU152+BJ152+BK152+BL152</f>
        <v>4916.38148379721</v>
      </c>
      <c r="BO152" s="88" t="n">
        <f aca="false">AQ152+BF152</f>
        <v>1867.90842225215</v>
      </c>
      <c r="BP152" s="88" t="n">
        <f aca="false">AI152*(1+IF(K152=3,INDEX(in_sup_vat_rate,1,C152),0))+AO152*Y152/AB152+AV152*BA152+(BC152+BD152)*AV152/AY152+AZ152*AI152/AL152+BN152*AC152/AF152+BO152*Y152/AB152</f>
        <v>3322.83334323244</v>
      </c>
      <c r="BQ152" s="88" t="n">
        <f aca="false">AJ152*(1+IF(K152=3,INDEX(in_sup_vat_rate,1,C152),0))+AO152*Z152/AB152+AW152*BA152+(BC152+BD152)*AW152/AY152+AZ152*AJ152/AL152+BN152*AD152/AF152+BO152*Z152/AB152</f>
        <v>3639.39906765505</v>
      </c>
      <c r="BR152" s="88" t="n">
        <f aca="false">AK152*(1+IF(K152=3,INDEX(in_sup_vat_rate,1,C152),0))+AO152*AA152/AB152+AX152*BA152+(BC152+BD152)*AX152/AY152+AZ152*AK152/AL152+BN152*AE152/AF152+BO152*AA152/AB152</f>
        <v>2800.70094353284</v>
      </c>
      <c r="BS152" s="89" t="n">
        <f aca="false">BP152+BQ152+BR152-BM152</f>
        <v>0</v>
      </c>
      <c r="BT152" s="85" t="n">
        <f aca="false">Y152*(1-R152)</f>
        <v>3216</v>
      </c>
      <c r="BU152" s="85" t="n">
        <f aca="false">Z152*(1-R152)</f>
        <v>3216</v>
      </c>
      <c r="BV152" s="85" t="n">
        <f aca="false">AA152*(1-R152)</f>
        <v>3168</v>
      </c>
      <c r="BW152" s="85" t="n">
        <f aca="false">BT152+BU152+BV152</f>
        <v>9600</v>
      </c>
      <c r="BX152" s="90" t="n">
        <f aca="false">IF(BT152&gt;0,BP152/BT152,0)</f>
        <v>1.03321932314442</v>
      </c>
      <c r="BY152" s="90" t="n">
        <f aca="false">IF(BU152&gt;0,BQ152/BU152,0)</f>
        <v>1.13165393894747</v>
      </c>
      <c r="BZ152" s="90" t="n">
        <f aca="false">IF(BV152&gt;0,BR152/BV152,0)</f>
        <v>0.88405964126668</v>
      </c>
      <c r="CA152" s="90" t="n">
        <f aca="false">INDEX(in_mkt_listing_3464,1,C152)*(1-IF(sku_flute_3464="B",T152,0))*(1-S152)*N152</f>
        <v>0.1995</v>
      </c>
      <c r="CB152" s="90" t="n">
        <f aca="false">INDEX(in_mkt_listing_3463,1,C152)*(1-IF(sku_flute_3463="B",T152,0))*(1-S152)*N152</f>
        <v>0.23625</v>
      </c>
      <c r="CC152" s="90" t="n">
        <f aca="false">INDEX(in_mkt_listing_3460,1,C152)*(1-IF(sku_flute_3460="B",T152,0))*(1-S152)*N152</f>
        <v>0.21</v>
      </c>
      <c r="CD152" s="88" t="n">
        <f aca="false">BT152*CA152+BU152*CB152+BV152*CC152</f>
        <v>2066.652</v>
      </c>
      <c r="CE152" s="88" t="n">
        <f aca="false">CD152-BM152</f>
        <v>-7696.28135442033</v>
      </c>
      <c r="CF152" s="87" t="n">
        <f aca="false">IF(CD152&gt;0,CE152/CD152,0)</f>
        <v>-3.72403353560267</v>
      </c>
      <c r="CG152" s="87" t="n">
        <f aca="false">W152+INDEX(in_sel_processing,1,C152)+INDEX(in_sel_bad_debt,1,C152)</f>
        <v>0.095</v>
      </c>
      <c r="CH152" s="88" t="n">
        <f aca="false">CD152*CG152</f>
        <v>196.33194</v>
      </c>
      <c r="CI152" s="88" t="n">
        <f aca="false">INDEX(in_sel_testing,1,C152)*X152+INDEX(in_sel_admin,1,C152)</f>
        <v>4750</v>
      </c>
      <c r="CJ152" s="79" t="n">
        <f aca="false">INDEX(in_sup_lead_days,1,C152)</f>
        <v>35</v>
      </c>
      <c r="CK152" s="79" t="n">
        <f aca="false">CJ152+INDEX(in_oce_transit,1,C152)+IF(F152=4,INDEX(in_oce_lcl_extra_days,1,C152),0)</f>
        <v>85</v>
      </c>
      <c r="CL152" s="79" t="n">
        <f aca="false">CK152+2+INDEX(in_cus_dem_days,1,C152)</f>
        <v>90</v>
      </c>
      <c r="CM152" s="79" t="n">
        <f aca="false">CL152+U152</f>
        <v>150</v>
      </c>
      <c r="CN152" s="79" t="n">
        <f aca="false">CJ152+INDEX(in_sup_vat_lag,1,C152)</f>
        <v>215</v>
      </c>
      <c r="CO152" s="91" t="n">
        <f aca="false">INDEX(in_sup_advance,1,C152)</f>
        <v>0.5</v>
      </c>
      <c r="CP152" s="88" t="n">
        <f aca="false">CO152*(AL152+AM152)+AO152+INDEX(in_sel_testing,1,C152)*X152</f>
        <v>5521.61212576401</v>
      </c>
      <c r="CQ152" s="88" t="n">
        <f aca="false">(1-CO152)*(AL152+AM152)+AR152+AU152+AZ152</f>
        <v>4837.92834487667</v>
      </c>
      <c r="CR152" s="88" t="n">
        <f aca="false">BB152+BC152+BD152+BF152+BJ152</f>
        <v>2403.39288377965</v>
      </c>
      <c r="CS152" s="88" t="n">
        <f aca="false">BK152+BL152</f>
        <v>1000</v>
      </c>
      <c r="CT152" s="88" t="n">
        <f aca="false">IF(K152=2,AM152,0)</f>
        <v>0</v>
      </c>
      <c r="CU152" s="85" t="n">
        <f aca="false">IF(K152=2,CO152*AM152*(CN152-0)+(1-CO152)*AM152*(CN152-CJ152),0)</f>
        <v>0</v>
      </c>
      <c r="CV152" s="85" t="n">
        <f aca="false">(CP152-CO152*CT152)*(CM152-0)+(CQ152-(1-CO152)*CT152)*(CM152-CJ152)+CR152*(CM152-CK152)+CS152*(CM152-CL152)</f>
        <v>1600824.1159711</v>
      </c>
      <c r="CW152" s="88" t="n">
        <f aca="false">INDEX(in_sel_fin_rate,1,C152)/365*(CU152+CV152)</f>
        <v>614.014729413571</v>
      </c>
      <c r="CX152" s="85" t="n">
        <f aca="false">CP152-IF(CN152&lt;=0,CT152,0)</f>
        <v>5521.61212576401</v>
      </c>
      <c r="CY152" s="85" t="n">
        <f aca="false">CP152+CQ152-IF(CN152&lt;=CJ152,CT152,0)</f>
        <v>10359.5404706407</v>
      </c>
      <c r="CZ152" s="85" t="n">
        <f aca="false">CP152+CQ152+CR152-IF(CN152&lt;=CK152,CT152,0)</f>
        <v>12762.9333544203</v>
      </c>
      <c r="DA152" s="85" t="n">
        <f aca="false">CP152+CQ152+CR152+CS152-IF(CN152&lt;=CL152,CT152,0)</f>
        <v>13762.9333544203</v>
      </c>
      <c r="DB152" s="88" t="n">
        <f aca="false">MAX(CX152,CY152,CZ152,DA152)</f>
        <v>13762.9333544203</v>
      </c>
      <c r="DC152" s="88" t="n">
        <f aca="false">CP152+CQ152+CR152+CS152</f>
        <v>13762.9333544203</v>
      </c>
      <c r="DD152" s="88" t="n">
        <f aca="false">CE152-CH152-CI152-CW152</f>
        <v>-13256.6280238339</v>
      </c>
      <c r="DE152" s="87" t="n">
        <f aca="false">IF(CD152&gt;0,DD152/CD152,0)</f>
        <v>-6.41454295345027</v>
      </c>
      <c r="DF152" s="86" t="n">
        <f aca="false">IF(CD152&gt;0,(BM152+CI152+CW152)/(CD152*(1-CG152)),0)</f>
        <v>8.08789276624339</v>
      </c>
      <c r="DG152" s="90" t="n">
        <f aca="false">IF(BW152&gt;0,BM152/BW152,0)</f>
        <v>1.01697222441878</v>
      </c>
      <c r="DH152" s="90" t="n">
        <f aca="false">IF(BW152&gt;0,CD152/BW152,0)</f>
        <v>0.21527625</v>
      </c>
      <c r="DI152" s="90" t="n">
        <f aca="false">IF(AI152&gt;0,(AI152*IF(K152=3,INDEX(in_sup_vat_rate,1,C152),0)+AV152*BA152+(BC152+BD152)*AV152/AY152+AZ152*AI152/AL152)/AI152,0)</f>
        <v>0.394351145718114</v>
      </c>
      <c r="DJ152" s="90" t="n">
        <f aca="false">IF(AJ152&gt;0,(AJ152*IF(K152=3,INDEX(in_sup_vat_rate,1,C152),0)+AW152*BA152+(BC152+BD152)*AW152/AY152+AZ152*AJ152/AL152)/AJ152,0)</f>
        <v>0.396589148195143</v>
      </c>
      <c r="DK152" s="90" t="n">
        <f aca="false">IF(AK152&gt;0,(AK152*IF(K152=3,INDEX(in_sup_vat_rate,1,C152),0)+AX152*BA152+(BC152+BD152)*AX152/AY152+AZ152*AK152/AL152)/AK152,0)</f>
        <v>0.402423927911629</v>
      </c>
      <c r="DL152" s="90" t="n">
        <f aca="false">IF(Y152&gt;0,(BP152-AI152*(1+DI152))/Y152,0)</f>
        <v>0.726063924976222</v>
      </c>
      <c r="DM152" s="90" t="n">
        <f aca="false">IF(Z152&gt;0,(BQ152-AJ152*(1+DJ152))/Z152,0)</f>
        <v>0.834935182242862</v>
      </c>
      <c r="DN152" s="90" t="n">
        <f aca="false">IF(AA152&gt;0,(BR152-AK152*(1+DK152))/AA152,0)</f>
        <v>0.628156540546102</v>
      </c>
      <c r="DO152" s="86" t="n">
        <f aca="false">IF(Y152&gt;0,(CA152*(1-thr_gm_go)*(1-R152)-DL152)/(1+DI152)*I152/((1+AH152)*J152),"")</f>
        <v>-18.3276454267257</v>
      </c>
      <c r="DP152" s="86" t="n">
        <f aca="false">IF(Z152&gt;0,(CB152*(1-thr_gm_go)*(1-R152)-DM152)/(1+DJ152)*I152/((1+AH152)*J152),"")</f>
        <v>-20.8874275212971</v>
      </c>
      <c r="DQ152" s="86" t="n">
        <f aca="false">IF(AA152&gt;0,(CC152*(1-thr_gm_go)*(1-R152)-DN152)/(1+DK152)*I152/((1+AH152)*J152),"")</f>
        <v>-14.922415249832</v>
      </c>
      <c r="DR152" s="92" t="n">
        <f aca="false">IF(AND(AY152*INDEX(in_cus_mpf_rate,1,C152)&gt;INDEX(in_cus_mpf_min,1,C152),AY152*INDEX(in_cus_mpf_rate,1,C152)&lt;INDEX(in_cus_mpf_max,1,C152)),INDEX(in_cus_mpf_rate,1,C152),0)</f>
        <v>0</v>
      </c>
      <c r="DS152" s="88" t="n">
        <f aca="false">IF(AZ152&gt;INDEX(in_oce_ins_min,1,C152),INDEX(in_oce_ins_rate,1,C152)*(1+INDEX(in_oce_ins_uplift,1,C152))*AL152,0)</f>
        <v>0</v>
      </c>
      <c r="DT152" s="88" t="n">
        <f aca="false">(AL152+AN152)*(1+BA152+INDEX(in_cus_hmf,1,C152)+DR152)+DS152</f>
        <v>2260.69558345851</v>
      </c>
      <c r="DU152" s="86" t="n">
        <f aca="false">IF(DT152&gt;0,(CD152*(1-thr_gm_go)-(BM152-DT152))/DT152,0)</f>
        <v>-2.63292803087438</v>
      </c>
      <c r="DV152" s="86" t="n">
        <f aca="false">IF(DT152&gt;0,(CD152-(BM152-DT152))/DT152,0)</f>
        <v>-2.4043864245739</v>
      </c>
      <c r="DW152" s="87" t="n">
        <f aca="false">(1+AH152)*J152*DU152-1</f>
        <v>-3.89622083396182</v>
      </c>
      <c r="DX152" s="87" t="n">
        <f aca="false">(1+AH152)*J152*DV152-1</f>
        <v>-3.64482506703129</v>
      </c>
      <c r="DY152" s="85" t="str">
        <f aca="false">IF(G152&gt;0,(CD152*(1-thr_gm_go)-(BM152-AT152))/G152,"")</f>
        <v/>
      </c>
      <c r="DZ152" s="90" t="n">
        <f aca="false">IF(AB152&gt;0,(AL152+AN152+BB152+BC152+BD152)/AB152,0)</f>
        <v>0.236066976143427</v>
      </c>
      <c r="EA152" s="88" t="n">
        <f aca="false">BM152-DZ152*AB152</f>
        <v>7402.26359298607</v>
      </c>
      <c r="EB152" s="90" t="n">
        <f aca="false">IF(AB152&gt;0,CD152/AB152,0)</f>
        <v>0.2066652</v>
      </c>
      <c r="EC152" s="85" t="str">
        <f aca="false">IF(EB152*(1-thr_gm_go)-DZ152&gt;0,EA152/(EB152*(1-thr_gm_go)-DZ152),"n/a")</f>
        <v>n/a</v>
      </c>
      <c r="ED152" s="85" t="str">
        <f aca="false">IF(EB152-DZ152&gt;0,EA152/(EB152-DZ152),"n/a")</f>
        <v>n/a</v>
      </c>
      <c r="EE152" s="93" t="b">
        <f aca="false">INDEX(cfg_fits,D152,C152)</f>
        <v>1</v>
      </c>
      <c r="EF152" s="87" t="str">
        <f aca="false">IF(F152=4,"",INDEX(cfg_lenutil,D152,C152))</f>
        <v/>
      </c>
      <c r="EG152" s="31" t="str">
        <f aca="false">IF(O152&gt;1,"Check fit (units scaled up)","")</f>
        <v/>
      </c>
    </row>
    <row r="153" customFormat="false" ht="15" hidden="false" customHeight="false" outlineLevel="0" collapsed="false">
      <c r="A153" s="78" t="n">
        <v>3104</v>
      </c>
      <c r="B153" s="9" t="s">
        <v>3301</v>
      </c>
      <c r="C153" s="78" t="n">
        <v>3</v>
      </c>
      <c r="D153" s="78" t="n">
        <v>10</v>
      </c>
      <c r="E153" s="78" t="n">
        <v>4</v>
      </c>
      <c r="F153" s="79" t="n">
        <f aca="false">INDEX(cfg_ct,D153)</f>
        <v>4</v>
      </c>
      <c r="G153" s="79" t="n">
        <f aca="false">INDEX(cfg_n,D153)</f>
        <v>0</v>
      </c>
      <c r="H153" s="79" t="n">
        <f aca="false">INDEX(dest_port,E153)</f>
        <v>3</v>
      </c>
      <c r="I153" s="80" t="n">
        <f aca="false">INDEX(in_fx_cbe,1,C153)*(1-INDEX(in_fx_spread,1,C153))</f>
        <v>48.265</v>
      </c>
      <c r="J153" s="81" t="n">
        <f aca="false">1</f>
        <v>1</v>
      </c>
      <c r="K153" s="82" t="n">
        <f aca="false">INDEX(in_sup_vat_mode,1,C153)</f>
        <v>3</v>
      </c>
      <c r="L153" s="83" t="n">
        <f aca="false">INDEX(in_cus_s301,1,C153)</f>
        <v>0.125</v>
      </c>
      <c r="M153" s="84" t="n">
        <f aca="false">1</f>
        <v>1</v>
      </c>
      <c r="N153" s="81" t="n">
        <f aca="false">1</f>
        <v>1</v>
      </c>
      <c r="O153" s="81" t="n">
        <f aca="false">1</f>
        <v>1</v>
      </c>
      <c r="P153" s="81" t="n">
        <f aca="false">1</f>
        <v>1</v>
      </c>
      <c r="Q153" s="81" t="n">
        <f aca="false">1</f>
        <v>1</v>
      </c>
      <c r="R153" s="83" t="n">
        <f aca="false">INDEX(in_sel_damage,1,C153)</f>
        <v>0.04</v>
      </c>
      <c r="S153" s="83" t="n">
        <f aca="false">INDEX(in_mkt_dist_margin,1,C153)</f>
        <v>0.3</v>
      </c>
      <c r="T153" s="83" t="n">
        <f aca="false">INDEX(in_mkt_eflute_disc,1,C153)</f>
        <v>0.25</v>
      </c>
      <c r="U153" s="82" t="n">
        <f aca="false">INDEX(in_sel_credit_days,1,C153)</f>
        <v>60</v>
      </c>
      <c r="V153" s="81" t="n">
        <f aca="false">1</f>
        <v>1</v>
      </c>
      <c r="W153" s="83" t="n">
        <f aca="false">INDEX(in_sel_commission,1,C153)</f>
        <v>0.07</v>
      </c>
      <c r="X153" s="82" t="n">
        <f aca="false">1</f>
        <v>1</v>
      </c>
      <c r="Y153" s="85" t="n">
        <f aca="false">INDEX(cfg_u_3464,D153,C153)*O153</f>
        <v>3350</v>
      </c>
      <c r="Z153" s="85" t="n">
        <f aca="false">INDEX(cfg_u_3463,D153,C153)*O153</f>
        <v>3350</v>
      </c>
      <c r="AA153" s="85" t="n">
        <f aca="false">INDEX(cfg_u_3460,D153,C153)*O153</f>
        <v>3300</v>
      </c>
      <c r="AB153" s="85" t="n">
        <f aca="false">Y153+Z153+AA153</f>
        <v>10000</v>
      </c>
      <c r="AC153" s="86" t="n">
        <f aca="false">Y153*INDEX(lg_vpu_3464,C153)</f>
        <v>2.6810586</v>
      </c>
      <c r="AD153" s="86" t="n">
        <f aca="false">Z153*INDEX(lg_vpu_3463,C153)</f>
        <v>3.2798376</v>
      </c>
      <c r="AE153" s="86" t="n">
        <f aca="false">AA153*INDEX(lg_vpu_3460,C153)</f>
        <v>2.1106008</v>
      </c>
      <c r="AF153" s="86" t="n">
        <f aca="false">AC153+AD153+AE153</f>
        <v>8.071497</v>
      </c>
      <c r="AG153" s="85" t="n">
        <f aca="false">Y153*INDEX(lg_kpu_3464,C153)+Z153*INDEX(lg_kpu_3463,C153)+AA153*INDEX(lg_kpu_3460,C153)</f>
        <v>1969.102064</v>
      </c>
      <c r="AH153" s="87" t="n">
        <f aca="false">INDEX(in_sup_requote,1,C153)</f>
        <v>0.1</v>
      </c>
      <c r="AI153" s="88" t="n">
        <f aca="false">Y153*q_price_3464*(1+AH153)*J153/I153</f>
        <v>638.662073966643</v>
      </c>
      <c r="AJ153" s="88" t="n">
        <f aca="false">Z153*q_price_3463*(1+AH153)*J153/I153</f>
        <v>603.159639490314</v>
      </c>
      <c r="AK153" s="88" t="n">
        <f aca="false">AA153*q_price_3460*(1+AH153)*J153/I153</f>
        <v>518.947477468145</v>
      </c>
      <c r="AL153" s="88" t="n">
        <f aca="false">AI153+AJ153+AK153</f>
        <v>1760.7691909251</v>
      </c>
      <c r="AM153" s="88" t="n">
        <f aca="false">IF(OR(K153=2,K153=3),AL153*INDEX(in_sup_vat_rate,1,C153),0)</f>
        <v>246.507686729514</v>
      </c>
      <c r="AN153" s="88" t="n">
        <f aca="false">IF(K153=3,AM153,0)</f>
        <v>246.507686729514</v>
      </c>
      <c r="AO153" s="88" t="n">
        <f aca="false">INDEX(in_sup_tooling_egp,1,C153)/I153</f>
        <v>517.973686936704</v>
      </c>
      <c r="AP153" s="88" t="n">
        <f aca="false">IF(F153=4,INDEX(in_ori_lcl_truck,1,C153)*V153/I153+INDEX(in_ori_lcl_cfs_o,1,C153),G153*(IF(F153=1,INDEX(in_ori_truck_20,1,C153),INDEX(in_ori_truck_40,1,C153))*V153/I153+INDEX(in_ori_terminal,1,C153)+IF(F153=1,INDEX(in_ori_othc_20,1,C153),INDEX(in_ori_othc_40,1,C153))*(1-INDEX(in_ori_othc_in_freight,1,C153))+INDEX(in_ori_seal,1,C153)+INDEX(in_ori_inspection,1,C153)+INDEX(in_ori_dd_days,1,C153)*IF(F153=1,INDEX(in_ori_dd_20,1,C153),INDEX(in_ori_dd_40,1,C153))+INDEX(in_ori_loading_egp,1,C153)/I153))</f>
        <v>386.470527297213</v>
      </c>
      <c r="AQ153" s="88" t="n">
        <f aca="false">(INDEX(in_ori_clearance,1,C153)+INDEX(in_ori_coo,1,C153))/I153+INDEX(in_ori_bl_fee,1,C153)+INDEX(in_ori_fwd_fee,1,C153)+INDEX(in_ori_qc,1,C153)+INDEX(in_ori_wires,1,C153)*INDEX(in_ori_wire_fee,1,C153)</f>
        <v>1167.90842225215</v>
      </c>
      <c r="AR153" s="88" t="n">
        <f aca="false">AP153+AQ153</f>
        <v>1554.37894954936</v>
      </c>
      <c r="AS153" s="85" t="n">
        <f aca="false">INDEX(tbl_port_diff,H153,C153)</f>
        <v>100</v>
      </c>
      <c r="AT153" s="88" t="n">
        <f aca="false">IF(F153=4,MAX(AF153*INDEX(in_oce_lcl_factor,1,C153),AG153/1000,1)*INDEX(in_oce_lcl_rate,1,C153)*M153,G153*(INDEX(tbl_ocean_rate,MIN(F153,3),C153)+AS153)*M153)</f>
        <v>2134.9109565</v>
      </c>
      <c r="AU153" s="88" t="n">
        <f aca="false">AT153+INDEX(in_oce_ams,1,C153)</f>
        <v>2179.9109565</v>
      </c>
      <c r="AV153" s="88" t="n">
        <f aca="false">AI153*(1+IF(K153=3,INDEX(in_sup_vat_rate,1,C153),0))+AO153*Y153/AB153</f>
        <v>901.595949445768</v>
      </c>
      <c r="AW153" s="88" t="n">
        <f aca="false">AJ153*(1+IF(K153=3,INDEX(in_sup_vat_rate,1,C153),0))+AO153*Z153/AB153</f>
        <v>861.123174142754</v>
      </c>
      <c r="AX153" s="88" t="n">
        <f aca="false">AK153*(1+IF(K153=3,INDEX(in_sup_vat_rate,1,C153),0))+AO153*AA153/AB153</f>
        <v>762.531441002797</v>
      </c>
      <c r="AY153" s="88" t="n">
        <f aca="false">AV153+AW153+AX153</f>
        <v>2525.25056459132</v>
      </c>
      <c r="AZ153" s="88" t="n">
        <f aca="false">MAX(INDEX(in_oce_ins_min,1,C153),INDEX(in_oce_ins_rate,1,C153)*(1+INDEX(in_oce_ins_uplift,1,C153))*(AL153+AO153+AR153+AU153))*(1-INDEX(in_oce_ins_in_other,1,C153))</f>
        <v>100</v>
      </c>
      <c r="BA153" s="87" t="n">
        <f aca="false">INDEX(in_cus_mfn,1,C153)+L153</f>
        <v>0.125</v>
      </c>
      <c r="BB153" s="88" t="n">
        <f aca="false">AY153*BA153</f>
        <v>315.656320573915</v>
      </c>
      <c r="BC153" s="88" t="n">
        <f aca="false">MIN(MAX(AY153*INDEX(in_cus_mpf_rate,1,C153),INDEX(in_cus_mpf_min,1,C153)),INDEX(in_cus_mpf_max,1,C153))</f>
        <v>34.58</v>
      </c>
      <c r="BD153" s="88" t="n">
        <f aca="false">AY153*INDEX(in_cus_hmf,1,C153)</f>
        <v>3.15656320573915</v>
      </c>
      <c r="BE153" s="88" t="n">
        <f aca="false">MAX(INDEX(in_cus_stb_min,1,C153),INDEX(in_cus_stb_rate,1,C153)/1000*(AY153+BB153+BC153+BD153))</f>
        <v>75</v>
      </c>
      <c r="BF153" s="88" t="n">
        <f aca="false">INDEX(in_cus_broker,1,C153)+INDEX(in_cus_isf,1,C153)+INDEX(in_cus_do_fee,1,C153)+BE153+INDEX(in_cus_isf_bond,1,C153)</f>
        <v>700</v>
      </c>
      <c r="BG153" s="88" t="n">
        <f aca="false">IF(H153=1,INDEX(in_cus_cfc,1,C153)*INDEX(ct_teu,F153)*G153*(1-INDEX(in_cus_cfc_in_freight,1,C153)),0)</f>
        <v>0</v>
      </c>
      <c r="BH153" s="88" t="n">
        <f aca="false">IF(F153=4,1,G153)*(INDEX(in_cus_exam,1,C153)+INDEX(in_cus_exam_dray,1,C153))</f>
        <v>600</v>
      </c>
      <c r="BI153" s="88" t="n">
        <f aca="false">IF(F153=4,1,G153)*INDEX(in_cus_dem_days,1,C153)*INDEX(in_cus_dem_rate,1,C153)</f>
        <v>750</v>
      </c>
      <c r="BJ153" s="88" t="n">
        <f aca="false">BG153+BH153+BI153</f>
        <v>1350</v>
      </c>
      <c r="BK153" s="88" t="n">
        <f aca="false">IF(F153=4,(INDEX(in_dra_lcl_cfs_d,1,C153)+INDEX(in_dra_lcl_deliv,1,C153))*P153,G153*(INDEX(tbl_dest_line,E153,C153)*P153*(1+INDEX(in_dra_fsc,1,C153))+INDEX(tbl_dest_tolls,E153,C153)+INDEX(in_dra_chassis_days,1,C153)*INDEX(tbl_dest_chassis,E153,C153)*(1-INDEX(in_dra_chassis_in_dray,1,C153))+INDEX(in_dra_wait_hours,1,C153)*INDEX(in_dra_wait_rate,1,C153)+INDEX(in_dra_split,1,C153)+INDEX(in_dra_prepull,1,C153)+INDEX(in_dra_dryrun,1,C153)))</f>
        <v>1000</v>
      </c>
      <c r="BL153" s="88" t="n">
        <f aca="false">IF(F153=4,0,G153*IF(F153=1,INDEX(in_dra_unload_20,1,C153),INDEX(in_dra_unload_40,1,C153))*Q153*(1-INDEX(in_dra_unload_in_dray,1,C153)))</f>
        <v>0</v>
      </c>
      <c r="BM153" s="88" t="n">
        <f aca="false">AL153+AN153+AO153+AR153+AU153+AZ153+BB153+BC153+BD153+BF153+BJ153+BK153+BL153</f>
        <v>9762.93335442034</v>
      </c>
      <c r="BN153" s="88" t="n">
        <f aca="false">AP153+AU153+BJ153+BK153+BL153</f>
        <v>4916.38148379721</v>
      </c>
      <c r="BO153" s="88" t="n">
        <f aca="false">AQ153+BF153</f>
        <v>1867.90842225215</v>
      </c>
      <c r="BP153" s="88" t="n">
        <f aca="false">AI153*(1+IF(K153=3,INDEX(in_sup_vat_rate,1,C153),0))+AO153*Y153/AB153+AV153*BA153+(BC153+BD153)*AV153/AY153+AZ153*AI153/AL153+BN153*AC153/AF153+BO153*Y153/AB153</f>
        <v>3322.83334323244</v>
      </c>
      <c r="BQ153" s="88" t="n">
        <f aca="false">AJ153*(1+IF(K153=3,INDEX(in_sup_vat_rate,1,C153),0))+AO153*Z153/AB153+AW153*BA153+(BC153+BD153)*AW153/AY153+AZ153*AJ153/AL153+BN153*AD153/AF153+BO153*Z153/AB153</f>
        <v>3639.39906765505</v>
      </c>
      <c r="BR153" s="88" t="n">
        <f aca="false">AK153*(1+IF(K153=3,INDEX(in_sup_vat_rate,1,C153),0))+AO153*AA153/AB153+AX153*BA153+(BC153+BD153)*AX153/AY153+AZ153*AK153/AL153+BN153*AE153/AF153+BO153*AA153/AB153</f>
        <v>2800.70094353284</v>
      </c>
      <c r="BS153" s="89" t="n">
        <f aca="false">BP153+BQ153+BR153-BM153</f>
        <v>0</v>
      </c>
      <c r="BT153" s="85" t="n">
        <f aca="false">Y153*(1-R153)</f>
        <v>3216</v>
      </c>
      <c r="BU153" s="85" t="n">
        <f aca="false">Z153*(1-R153)</f>
        <v>3216</v>
      </c>
      <c r="BV153" s="85" t="n">
        <f aca="false">AA153*(1-R153)</f>
        <v>3168</v>
      </c>
      <c r="BW153" s="85" t="n">
        <f aca="false">BT153+BU153+BV153</f>
        <v>9600</v>
      </c>
      <c r="BX153" s="90" t="n">
        <f aca="false">IF(BT153&gt;0,BP153/BT153,0)</f>
        <v>1.03321932314442</v>
      </c>
      <c r="BY153" s="90" t="n">
        <f aca="false">IF(BU153&gt;0,BQ153/BU153,0)</f>
        <v>1.13165393894747</v>
      </c>
      <c r="BZ153" s="90" t="n">
        <f aca="false">IF(BV153&gt;0,BR153/BV153,0)</f>
        <v>0.88405964126668</v>
      </c>
      <c r="CA153" s="90" t="n">
        <f aca="false">INDEX(in_mkt_listing_3464,1,C153)*(1-IF(sku_flute_3464="B",T153,0))*(1-S153)*N153</f>
        <v>0.1995</v>
      </c>
      <c r="CB153" s="90" t="n">
        <f aca="false">INDEX(in_mkt_listing_3463,1,C153)*(1-IF(sku_flute_3463="B",T153,0))*(1-S153)*N153</f>
        <v>0.23625</v>
      </c>
      <c r="CC153" s="90" t="n">
        <f aca="false">INDEX(in_mkt_listing_3460,1,C153)*(1-IF(sku_flute_3460="B",T153,0))*(1-S153)*N153</f>
        <v>0.21</v>
      </c>
      <c r="CD153" s="88" t="n">
        <f aca="false">BT153*CA153+BU153*CB153+BV153*CC153</f>
        <v>2066.652</v>
      </c>
      <c r="CE153" s="88" t="n">
        <f aca="false">CD153-BM153</f>
        <v>-7696.28135442033</v>
      </c>
      <c r="CF153" s="87" t="n">
        <f aca="false">IF(CD153&gt;0,CE153/CD153,0)</f>
        <v>-3.72403353560267</v>
      </c>
      <c r="CG153" s="87" t="n">
        <f aca="false">W153+INDEX(in_sel_processing,1,C153)+INDEX(in_sel_bad_debt,1,C153)</f>
        <v>0.095</v>
      </c>
      <c r="CH153" s="88" t="n">
        <f aca="false">CD153*CG153</f>
        <v>196.33194</v>
      </c>
      <c r="CI153" s="88" t="n">
        <f aca="false">INDEX(in_sel_testing,1,C153)*X153+INDEX(in_sel_admin,1,C153)</f>
        <v>4750</v>
      </c>
      <c r="CJ153" s="79" t="n">
        <f aca="false">INDEX(in_sup_lead_days,1,C153)</f>
        <v>35</v>
      </c>
      <c r="CK153" s="79" t="n">
        <f aca="false">CJ153+INDEX(in_oce_transit,1,C153)+IF(F153=4,INDEX(in_oce_lcl_extra_days,1,C153),0)</f>
        <v>85</v>
      </c>
      <c r="CL153" s="79" t="n">
        <f aca="false">CK153+2+INDEX(in_cus_dem_days,1,C153)</f>
        <v>90</v>
      </c>
      <c r="CM153" s="79" t="n">
        <f aca="false">CL153+U153</f>
        <v>150</v>
      </c>
      <c r="CN153" s="79" t="n">
        <f aca="false">CJ153+INDEX(in_sup_vat_lag,1,C153)</f>
        <v>215</v>
      </c>
      <c r="CO153" s="91" t="n">
        <f aca="false">INDEX(in_sup_advance,1,C153)</f>
        <v>0.5</v>
      </c>
      <c r="CP153" s="88" t="n">
        <f aca="false">CO153*(AL153+AM153)+AO153+INDEX(in_sel_testing,1,C153)*X153</f>
        <v>5521.61212576401</v>
      </c>
      <c r="CQ153" s="88" t="n">
        <f aca="false">(1-CO153)*(AL153+AM153)+AR153+AU153+AZ153</f>
        <v>4837.92834487667</v>
      </c>
      <c r="CR153" s="88" t="n">
        <f aca="false">BB153+BC153+BD153+BF153+BJ153</f>
        <v>2403.39288377965</v>
      </c>
      <c r="CS153" s="88" t="n">
        <f aca="false">BK153+BL153</f>
        <v>1000</v>
      </c>
      <c r="CT153" s="88" t="n">
        <f aca="false">IF(K153=2,AM153,0)</f>
        <v>0</v>
      </c>
      <c r="CU153" s="85" t="n">
        <f aca="false">IF(K153=2,CO153*AM153*(CN153-0)+(1-CO153)*AM153*(CN153-CJ153),0)</f>
        <v>0</v>
      </c>
      <c r="CV153" s="85" t="n">
        <f aca="false">(CP153-CO153*CT153)*(CM153-0)+(CQ153-(1-CO153)*CT153)*(CM153-CJ153)+CR153*(CM153-CK153)+CS153*(CM153-CL153)</f>
        <v>1600824.1159711</v>
      </c>
      <c r="CW153" s="88" t="n">
        <f aca="false">INDEX(in_sel_fin_rate,1,C153)/365*(CU153+CV153)</f>
        <v>614.014729413571</v>
      </c>
      <c r="CX153" s="85" t="n">
        <f aca="false">CP153-IF(CN153&lt;=0,CT153,0)</f>
        <v>5521.61212576401</v>
      </c>
      <c r="CY153" s="85" t="n">
        <f aca="false">CP153+CQ153-IF(CN153&lt;=CJ153,CT153,0)</f>
        <v>10359.5404706407</v>
      </c>
      <c r="CZ153" s="85" t="n">
        <f aca="false">CP153+CQ153+CR153-IF(CN153&lt;=CK153,CT153,0)</f>
        <v>12762.9333544203</v>
      </c>
      <c r="DA153" s="85" t="n">
        <f aca="false">CP153+CQ153+CR153+CS153-IF(CN153&lt;=CL153,CT153,0)</f>
        <v>13762.9333544203</v>
      </c>
      <c r="DB153" s="88" t="n">
        <f aca="false">MAX(CX153,CY153,CZ153,DA153)</f>
        <v>13762.9333544203</v>
      </c>
      <c r="DC153" s="88" t="n">
        <f aca="false">CP153+CQ153+CR153+CS153</f>
        <v>13762.9333544203</v>
      </c>
      <c r="DD153" s="88" t="n">
        <f aca="false">CE153-CH153-CI153-CW153</f>
        <v>-13256.6280238339</v>
      </c>
      <c r="DE153" s="87" t="n">
        <f aca="false">IF(CD153&gt;0,DD153/CD153,0)</f>
        <v>-6.41454295345027</v>
      </c>
      <c r="DF153" s="86" t="n">
        <f aca="false">IF(CD153&gt;0,(BM153+CI153+CW153)/(CD153*(1-CG153)),0)</f>
        <v>8.08789276624339</v>
      </c>
      <c r="DG153" s="90" t="n">
        <f aca="false">IF(BW153&gt;0,BM153/BW153,0)</f>
        <v>1.01697222441878</v>
      </c>
      <c r="DH153" s="90" t="n">
        <f aca="false">IF(BW153&gt;0,CD153/BW153,0)</f>
        <v>0.21527625</v>
      </c>
      <c r="DI153" s="90" t="n">
        <f aca="false">IF(AI153&gt;0,(AI153*IF(K153=3,INDEX(in_sup_vat_rate,1,C153),0)+AV153*BA153+(BC153+BD153)*AV153/AY153+AZ153*AI153/AL153)/AI153,0)</f>
        <v>0.394351145718114</v>
      </c>
      <c r="DJ153" s="90" t="n">
        <f aca="false">IF(AJ153&gt;0,(AJ153*IF(K153=3,INDEX(in_sup_vat_rate,1,C153),0)+AW153*BA153+(BC153+BD153)*AW153/AY153+AZ153*AJ153/AL153)/AJ153,0)</f>
        <v>0.396589148195143</v>
      </c>
      <c r="DK153" s="90" t="n">
        <f aca="false">IF(AK153&gt;0,(AK153*IF(K153=3,INDEX(in_sup_vat_rate,1,C153),0)+AX153*BA153+(BC153+BD153)*AX153/AY153+AZ153*AK153/AL153)/AK153,0)</f>
        <v>0.402423927911629</v>
      </c>
      <c r="DL153" s="90" t="n">
        <f aca="false">IF(Y153&gt;0,(BP153-AI153*(1+DI153))/Y153,0)</f>
        <v>0.726063924976222</v>
      </c>
      <c r="DM153" s="90" t="n">
        <f aca="false">IF(Z153&gt;0,(BQ153-AJ153*(1+DJ153))/Z153,0)</f>
        <v>0.834935182242862</v>
      </c>
      <c r="DN153" s="90" t="n">
        <f aca="false">IF(AA153&gt;0,(BR153-AK153*(1+DK153))/AA153,0)</f>
        <v>0.628156540546102</v>
      </c>
      <c r="DO153" s="86" t="n">
        <f aca="false">IF(Y153&gt;0,(CA153*(1-thr_gm_go)*(1-R153)-DL153)/(1+DI153)*I153/((1+AH153)*J153),"")</f>
        <v>-18.3276454267257</v>
      </c>
      <c r="DP153" s="86" t="n">
        <f aca="false">IF(Z153&gt;0,(CB153*(1-thr_gm_go)*(1-R153)-DM153)/(1+DJ153)*I153/((1+AH153)*J153),"")</f>
        <v>-20.8874275212971</v>
      </c>
      <c r="DQ153" s="86" t="n">
        <f aca="false">IF(AA153&gt;0,(CC153*(1-thr_gm_go)*(1-R153)-DN153)/(1+DK153)*I153/((1+AH153)*J153),"")</f>
        <v>-14.922415249832</v>
      </c>
      <c r="DR153" s="92" t="n">
        <f aca="false">IF(AND(AY153*INDEX(in_cus_mpf_rate,1,C153)&gt;INDEX(in_cus_mpf_min,1,C153),AY153*INDEX(in_cus_mpf_rate,1,C153)&lt;INDEX(in_cus_mpf_max,1,C153)),INDEX(in_cus_mpf_rate,1,C153),0)</f>
        <v>0</v>
      </c>
      <c r="DS153" s="88" t="n">
        <f aca="false">IF(AZ153&gt;INDEX(in_oce_ins_min,1,C153),INDEX(in_oce_ins_rate,1,C153)*(1+INDEX(in_oce_ins_uplift,1,C153))*AL153,0)</f>
        <v>0</v>
      </c>
      <c r="DT153" s="88" t="n">
        <f aca="false">(AL153+AN153)*(1+BA153+INDEX(in_cus_hmf,1,C153)+DR153)+DS153</f>
        <v>2260.69558345851</v>
      </c>
      <c r="DU153" s="86" t="n">
        <f aca="false">IF(DT153&gt;0,(CD153*(1-thr_gm_go)-(BM153-DT153))/DT153,0)</f>
        <v>-2.63292803087438</v>
      </c>
      <c r="DV153" s="86" t="n">
        <f aca="false">IF(DT153&gt;0,(CD153-(BM153-DT153))/DT153,0)</f>
        <v>-2.4043864245739</v>
      </c>
      <c r="DW153" s="87" t="n">
        <f aca="false">(1+AH153)*J153*DU153-1</f>
        <v>-3.89622083396182</v>
      </c>
      <c r="DX153" s="87" t="n">
        <f aca="false">(1+AH153)*J153*DV153-1</f>
        <v>-3.64482506703129</v>
      </c>
      <c r="DY153" s="85" t="str">
        <f aca="false">IF(G153&gt;0,(CD153*(1-thr_gm_go)-(BM153-AT153))/G153,"")</f>
        <v/>
      </c>
      <c r="DZ153" s="90" t="n">
        <f aca="false">IF(AB153&gt;0,(AL153+AN153+BB153+BC153+BD153)/AB153,0)</f>
        <v>0.236066976143427</v>
      </c>
      <c r="EA153" s="88" t="n">
        <f aca="false">BM153-DZ153*AB153</f>
        <v>7402.26359298607</v>
      </c>
      <c r="EB153" s="90" t="n">
        <f aca="false">IF(AB153&gt;0,CD153/AB153,0)</f>
        <v>0.2066652</v>
      </c>
      <c r="EC153" s="85" t="str">
        <f aca="false">IF(EB153*(1-thr_gm_go)-DZ153&gt;0,EA153/(EB153*(1-thr_gm_go)-DZ153),"n/a")</f>
        <v>n/a</v>
      </c>
      <c r="ED153" s="85" t="str">
        <f aca="false">IF(EB153-DZ153&gt;0,EA153/(EB153-DZ153),"n/a")</f>
        <v>n/a</v>
      </c>
      <c r="EE153" s="93" t="b">
        <f aca="false">INDEX(cfg_fits,D153,C153)</f>
        <v>1</v>
      </c>
      <c r="EF153" s="87" t="str">
        <f aca="false">IF(F153=4,"",INDEX(cfg_lenutil,D153,C153))</f>
        <v/>
      </c>
      <c r="EG153" s="31" t="str">
        <f aca="false">IF(O153&gt;1,"Check fit (units scaled up)","")</f>
        <v/>
      </c>
    </row>
    <row r="154" customFormat="false" ht="15" hidden="false" customHeight="false" outlineLevel="0" collapsed="false">
      <c r="A154" s="78" t="n">
        <v>3105</v>
      </c>
      <c r="B154" s="9" t="s">
        <v>3302</v>
      </c>
      <c r="C154" s="78" t="n">
        <v>3</v>
      </c>
      <c r="D154" s="78" t="n">
        <v>10</v>
      </c>
      <c r="E154" s="78" t="n">
        <v>5</v>
      </c>
      <c r="F154" s="79" t="n">
        <f aca="false">INDEX(cfg_ct,D154)</f>
        <v>4</v>
      </c>
      <c r="G154" s="79" t="n">
        <f aca="false">INDEX(cfg_n,D154)</f>
        <v>0</v>
      </c>
      <c r="H154" s="79" t="n">
        <f aca="false">INDEX(dest_port,E154)</f>
        <v>4</v>
      </c>
      <c r="I154" s="80" t="n">
        <f aca="false">INDEX(in_fx_cbe,1,C154)*(1-INDEX(in_fx_spread,1,C154))</f>
        <v>48.265</v>
      </c>
      <c r="J154" s="81" t="n">
        <f aca="false">1</f>
        <v>1</v>
      </c>
      <c r="K154" s="82" t="n">
        <f aca="false">INDEX(in_sup_vat_mode,1,C154)</f>
        <v>3</v>
      </c>
      <c r="L154" s="83" t="n">
        <f aca="false">INDEX(in_cus_s301,1,C154)</f>
        <v>0.125</v>
      </c>
      <c r="M154" s="84" t="n">
        <f aca="false">1</f>
        <v>1</v>
      </c>
      <c r="N154" s="81" t="n">
        <f aca="false">1</f>
        <v>1</v>
      </c>
      <c r="O154" s="81" t="n">
        <f aca="false">1</f>
        <v>1</v>
      </c>
      <c r="P154" s="81" t="n">
        <f aca="false">1</f>
        <v>1</v>
      </c>
      <c r="Q154" s="81" t="n">
        <f aca="false">1</f>
        <v>1</v>
      </c>
      <c r="R154" s="83" t="n">
        <f aca="false">INDEX(in_sel_damage,1,C154)</f>
        <v>0.04</v>
      </c>
      <c r="S154" s="83" t="n">
        <f aca="false">INDEX(in_mkt_dist_margin,1,C154)</f>
        <v>0.3</v>
      </c>
      <c r="T154" s="83" t="n">
        <f aca="false">INDEX(in_mkt_eflute_disc,1,C154)</f>
        <v>0.25</v>
      </c>
      <c r="U154" s="82" t="n">
        <f aca="false">INDEX(in_sel_credit_days,1,C154)</f>
        <v>60</v>
      </c>
      <c r="V154" s="81" t="n">
        <f aca="false">1</f>
        <v>1</v>
      </c>
      <c r="W154" s="83" t="n">
        <f aca="false">INDEX(in_sel_commission,1,C154)</f>
        <v>0.07</v>
      </c>
      <c r="X154" s="82" t="n">
        <f aca="false">1</f>
        <v>1</v>
      </c>
      <c r="Y154" s="85" t="n">
        <f aca="false">INDEX(cfg_u_3464,D154,C154)*O154</f>
        <v>3350</v>
      </c>
      <c r="Z154" s="85" t="n">
        <f aca="false">INDEX(cfg_u_3463,D154,C154)*O154</f>
        <v>3350</v>
      </c>
      <c r="AA154" s="85" t="n">
        <f aca="false">INDEX(cfg_u_3460,D154,C154)*O154</f>
        <v>3300</v>
      </c>
      <c r="AB154" s="85" t="n">
        <f aca="false">Y154+Z154+AA154</f>
        <v>10000</v>
      </c>
      <c r="AC154" s="86" t="n">
        <f aca="false">Y154*INDEX(lg_vpu_3464,C154)</f>
        <v>2.6810586</v>
      </c>
      <c r="AD154" s="86" t="n">
        <f aca="false">Z154*INDEX(lg_vpu_3463,C154)</f>
        <v>3.2798376</v>
      </c>
      <c r="AE154" s="86" t="n">
        <f aca="false">AA154*INDEX(lg_vpu_3460,C154)</f>
        <v>2.1106008</v>
      </c>
      <c r="AF154" s="86" t="n">
        <f aca="false">AC154+AD154+AE154</f>
        <v>8.071497</v>
      </c>
      <c r="AG154" s="85" t="n">
        <f aca="false">Y154*INDEX(lg_kpu_3464,C154)+Z154*INDEX(lg_kpu_3463,C154)+AA154*INDEX(lg_kpu_3460,C154)</f>
        <v>1969.102064</v>
      </c>
      <c r="AH154" s="87" t="n">
        <f aca="false">INDEX(in_sup_requote,1,C154)</f>
        <v>0.1</v>
      </c>
      <c r="AI154" s="88" t="n">
        <f aca="false">Y154*q_price_3464*(1+AH154)*J154/I154</f>
        <v>638.662073966643</v>
      </c>
      <c r="AJ154" s="88" t="n">
        <f aca="false">Z154*q_price_3463*(1+AH154)*J154/I154</f>
        <v>603.159639490314</v>
      </c>
      <c r="AK154" s="88" t="n">
        <f aca="false">AA154*q_price_3460*(1+AH154)*J154/I154</f>
        <v>518.947477468145</v>
      </c>
      <c r="AL154" s="88" t="n">
        <f aca="false">AI154+AJ154+AK154</f>
        <v>1760.7691909251</v>
      </c>
      <c r="AM154" s="88" t="n">
        <f aca="false">IF(OR(K154=2,K154=3),AL154*INDEX(in_sup_vat_rate,1,C154),0)</f>
        <v>246.507686729514</v>
      </c>
      <c r="AN154" s="88" t="n">
        <f aca="false">IF(K154=3,AM154,0)</f>
        <v>246.507686729514</v>
      </c>
      <c r="AO154" s="88" t="n">
        <f aca="false">INDEX(in_sup_tooling_egp,1,C154)/I154</f>
        <v>517.973686936704</v>
      </c>
      <c r="AP154" s="88" t="n">
        <f aca="false">IF(F154=4,INDEX(in_ori_lcl_truck,1,C154)*V154/I154+INDEX(in_ori_lcl_cfs_o,1,C154),G154*(IF(F154=1,INDEX(in_ori_truck_20,1,C154),INDEX(in_ori_truck_40,1,C154))*V154/I154+INDEX(in_ori_terminal,1,C154)+IF(F154=1,INDEX(in_ori_othc_20,1,C154),INDEX(in_ori_othc_40,1,C154))*(1-INDEX(in_ori_othc_in_freight,1,C154))+INDEX(in_ori_seal,1,C154)+INDEX(in_ori_inspection,1,C154)+INDEX(in_ori_dd_days,1,C154)*IF(F154=1,INDEX(in_ori_dd_20,1,C154),INDEX(in_ori_dd_40,1,C154))+INDEX(in_ori_loading_egp,1,C154)/I154))</f>
        <v>386.470527297213</v>
      </c>
      <c r="AQ154" s="88" t="n">
        <f aca="false">(INDEX(in_ori_clearance,1,C154)+INDEX(in_ori_coo,1,C154))/I154+INDEX(in_ori_bl_fee,1,C154)+INDEX(in_ori_fwd_fee,1,C154)+INDEX(in_ori_qc,1,C154)+INDEX(in_ori_wires,1,C154)*INDEX(in_ori_wire_fee,1,C154)</f>
        <v>1167.90842225215</v>
      </c>
      <c r="AR154" s="88" t="n">
        <f aca="false">AP154+AQ154</f>
        <v>1554.37894954936</v>
      </c>
      <c r="AS154" s="85" t="n">
        <f aca="false">INDEX(tbl_port_diff,H154,C154)</f>
        <v>200</v>
      </c>
      <c r="AT154" s="88" t="n">
        <f aca="false">IF(F154=4,MAX(AF154*INDEX(in_oce_lcl_factor,1,C154),AG154/1000,1)*INDEX(in_oce_lcl_rate,1,C154)*M154,G154*(INDEX(tbl_ocean_rate,MIN(F154,3),C154)+AS154)*M154)</f>
        <v>2134.9109565</v>
      </c>
      <c r="AU154" s="88" t="n">
        <f aca="false">AT154+INDEX(in_oce_ams,1,C154)</f>
        <v>2179.9109565</v>
      </c>
      <c r="AV154" s="88" t="n">
        <f aca="false">AI154*(1+IF(K154=3,INDEX(in_sup_vat_rate,1,C154),0))+AO154*Y154/AB154</f>
        <v>901.595949445768</v>
      </c>
      <c r="AW154" s="88" t="n">
        <f aca="false">AJ154*(1+IF(K154=3,INDEX(in_sup_vat_rate,1,C154),0))+AO154*Z154/AB154</f>
        <v>861.123174142754</v>
      </c>
      <c r="AX154" s="88" t="n">
        <f aca="false">AK154*(1+IF(K154=3,INDEX(in_sup_vat_rate,1,C154),0))+AO154*AA154/AB154</f>
        <v>762.531441002797</v>
      </c>
      <c r="AY154" s="88" t="n">
        <f aca="false">AV154+AW154+AX154</f>
        <v>2525.25056459132</v>
      </c>
      <c r="AZ154" s="88" t="n">
        <f aca="false">MAX(INDEX(in_oce_ins_min,1,C154),INDEX(in_oce_ins_rate,1,C154)*(1+INDEX(in_oce_ins_uplift,1,C154))*(AL154+AO154+AR154+AU154))*(1-INDEX(in_oce_ins_in_other,1,C154))</f>
        <v>100</v>
      </c>
      <c r="BA154" s="87" t="n">
        <f aca="false">INDEX(in_cus_mfn,1,C154)+L154</f>
        <v>0.125</v>
      </c>
      <c r="BB154" s="88" t="n">
        <f aca="false">AY154*BA154</f>
        <v>315.656320573915</v>
      </c>
      <c r="BC154" s="88" t="n">
        <f aca="false">MIN(MAX(AY154*INDEX(in_cus_mpf_rate,1,C154),INDEX(in_cus_mpf_min,1,C154)),INDEX(in_cus_mpf_max,1,C154))</f>
        <v>34.58</v>
      </c>
      <c r="BD154" s="88" t="n">
        <f aca="false">AY154*INDEX(in_cus_hmf,1,C154)</f>
        <v>3.15656320573915</v>
      </c>
      <c r="BE154" s="88" t="n">
        <f aca="false">MAX(INDEX(in_cus_stb_min,1,C154),INDEX(in_cus_stb_rate,1,C154)/1000*(AY154+BB154+BC154+BD154))</f>
        <v>75</v>
      </c>
      <c r="BF154" s="88" t="n">
        <f aca="false">INDEX(in_cus_broker,1,C154)+INDEX(in_cus_isf,1,C154)+INDEX(in_cus_do_fee,1,C154)+BE154+INDEX(in_cus_isf_bond,1,C154)</f>
        <v>700</v>
      </c>
      <c r="BG154" s="88" t="n">
        <f aca="false">IF(H154=1,INDEX(in_cus_cfc,1,C154)*INDEX(ct_teu,F154)*G154*(1-INDEX(in_cus_cfc_in_freight,1,C154)),0)</f>
        <v>0</v>
      </c>
      <c r="BH154" s="88" t="n">
        <f aca="false">IF(F154=4,1,G154)*(INDEX(in_cus_exam,1,C154)+INDEX(in_cus_exam_dray,1,C154))</f>
        <v>600</v>
      </c>
      <c r="BI154" s="88" t="n">
        <f aca="false">IF(F154=4,1,G154)*INDEX(in_cus_dem_days,1,C154)*INDEX(in_cus_dem_rate,1,C154)</f>
        <v>750</v>
      </c>
      <c r="BJ154" s="88" t="n">
        <f aca="false">BG154+BH154+BI154</f>
        <v>1350</v>
      </c>
      <c r="BK154" s="88" t="n">
        <f aca="false">IF(F154=4,(INDEX(in_dra_lcl_cfs_d,1,C154)+INDEX(in_dra_lcl_deliv,1,C154))*P154,G154*(INDEX(tbl_dest_line,E154,C154)*P154*(1+INDEX(in_dra_fsc,1,C154))+INDEX(tbl_dest_tolls,E154,C154)+INDEX(in_dra_chassis_days,1,C154)*INDEX(tbl_dest_chassis,E154,C154)*(1-INDEX(in_dra_chassis_in_dray,1,C154))+INDEX(in_dra_wait_hours,1,C154)*INDEX(in_dra_wait_rate,1,C154)+INDEX(in_dra_split,1,C154)+INDEX(in_dra_prepull,1,C154)+INDEX(in_dra_dryrun,1,C154)))</f>
        <v>1000</v>
      </c>
      <c r="BL154" s="88" t="n">
        <f aca="false">IF(F154=4,0,G154*IF(F154=1,INDEX(in_dra_unload_20,1,C154),INDEX(in_dra_unload_40,1,C154))*Q154*(1-INDEX(in_dra_unload_in_dray,1,C154)))</f>
        <v>0</v>
      </c>
      <c r="BM154" s="88" t="n">
        <f aca="false">AL154+AN154+AO154+AR154+AU154+AZ154+BB154+BC154+BD154+BF154+BJ154+BK154+BL154</f>
        <v>9762.93335442034</v>
      </c>
      <c r="BN154" s="88" t="n">
        <f aca="false">AP154+AU154+BJ154+BK154+BL154</f>
        <v>4916.38148379721</v>
      </c>
      <c r="BO154" s="88" t="n">
        <f aca="false">AQ154+BF154</f>
        <v>1867.90842225215</v>
      </c>
      <c r="BP154" s="88" t="n">
        <f aca="false">AI154*(1+IF(K154=3,INDEX(in_sup_vat_rate,1,C154),0))+AO154*Y154/AB154+AV154*BA154+(BC154+BD154)*AV154/AY154+AZ154*AI154/AL154+BN154*AC154/AF154+BO154*Y154/AB154</f>
        <v>3322.83334323244</v>
      </c>
      <c r="BQ154" s="88" t="n">
        <f aca="false">AJ154*(1+IF(K154=3,INDEX(in_sup_vat_rate,1,C154),0))+AO154*Z154/AB154+AW154*BA154+(BC154+BD154)*AW154/AY154+AZ154*AJ154/AL154+BN154*AD154/AF154+BO154*Z154/AB154</f>
        <v>3639.39906765505</v>
      </c>
      <c r="BR154" s="88" t="n">
        <f aca="false">AK154*(1+IF(K154=3,INDEX(in_sup_vat_rate,1,C154),0))+AO154*AA154/AB154+AX154*BA154+(BC154+BD154)*AX154/AY154+AZ154*AK154/AL154+BN154*AE154/AF154+BO154*AA154/AB154</f>
        <v>2800.70094353284</v>
      </c>
      <c r="BS154" s="89" t="n">
        <f aca="false">BP154+BQ154+BR154-BM154</f>
        <v>0</v>
      </c>
      <c r="BT154" s="85" t="n">
        <f aca="false">Y154*(1-R154)</f>
        <v>3216</v>
      </c>
      <c r="BU154" s="85" t="n">
        <f aca="false">Z154*(1-R154)</f>
        <v>3216</v>
      </c>
      <c r="BV154" s="85" t="n">
        <f aca="false">AA154*(1-R154)</f>
        <v>3168</v>
      </c>
      <c r="BW154" s="85" t="n">
        <f aca="false">BT154+BU154+BV154</f>
        <v>9600</v>
      </c>
      <c r="BX154" s="90" t="n">
        <f aca="false">IF(BT154&gt;0,BP154/BT154,0)</f>
        <v>1.03321932314442</v>
      </c>
      <c r="BY154" s="90" t="n">
        <f aca="false">IF(BU154&gt;0,BQ154/BU154,0)</f>
        <v>1.13165393894747</v>
      </c>
      <c r="BZ154" s="90" t="n">
        <f aca="false">IF(BV154&gt;0,BR154/BV154,0)</f>
        <v>0.88405964126668</v>
      </c>
      <c r="CA154" s="90" t="n">
        <f aca="false">INDEX(in_mkt_listing_3464,1,C154)*(1-IF(sku_flute_3464="B",T154,0))*(1-S154)*N154</f>
        <v>0.1995</v>
      </c>
      <c r="CB154" s="90" t="n">
        <f aca="false">INDEX(in_mkt_listing_3463,1,C154)*(1-IF(sku_flute_3463="B",T154,0))*(1-S154)*N154</f>
        <v>0.23625</v>
      </c>
      <c r="CC154" s="90" t="n">
        <f aca="false">INDEX(in_mkt_listing_3460,1,C154)*(1-IF(sku_flute_3460="B",T154,0))*(1-S154)*N154</f>
        <v>0.21</v>
      </c>
      <c r="CD154" s="88" t="n">
        <f aca="false">BT154*CA154+BU154*CB154+BV154*CC154</f>
        <v>2066.652</v>
      </c>
      <c r="CE154" s="88" t="n">
        <f aca="false">CD154-BM154</f>
        <v>-7696.28135442033</v>
      </c>
      <c r="CF154" s="87" t="n">
        <f aca="false">IF(CD154&gt;0,CE154/CD154,0)</f>
        <v>-3.72403353560267</v>
      </c>
      <c r="CG154" s="87" t="n">
        <f aca="false">W154+INDEX(in_sel_processing,1,C154)+INDEX(in_sel_bad_debt,1,C154)</f>
        <v>0.095</v>
      </c>
      <c r="CH154" s="88" t="n">
        <f aca="false">CD154*CG154</f>
        <v>196.33194</v>
      </c>
      <c r="CI154" s="88" t="n">
        <f aca="false">INDEX(in_sel_testing,1,C154)*X154+INDEX(in_sel_admin,1,C154)</f>
        <v>4750</v>
      </c>
      <c r="CJ154" s="79" t="n">
        <f aca="false">INDEX(in_sup_lead_days,1,C154)</f>
        <v>35</v>
      </c>
      <c r="CK154" s="79" t="n">
        <f aca="false">CJ154+INDEX(in_oce_transit,1,C154)+IF(F154=4,INDEX(in_oce_lcl_extra_days,1,C154),0)</f>
        <v>85</v>
      </c>
      <c r="CL154" s="79" t="n">
        <f aca="false">CK154+2+INDEX(in_cus_dem_days,1,C154)</f>
        <v>90</v>
      </c>
      <c r="CM154" s="79" t="n">
        <f aca="false">CL154+U154</f>
        <v>150</v>
      </c>
      <c r="CN154" s="79" t="n">
        <f aca="false">CJ154+INDEX(in_sup_vat_lag,1,C154)</f>
        <v>215</v>
      </c>
      <c r="CO154" s="91" t="n">
        <f aca="false">INDEX(in_sup_advance,1,C154)</f>
        <v>0.5</v>
      </c>
      <c r="CP154" s="88" t="n">
        <f aca="false">CO154*(AL154+AM154)+AO154+INDEX(in_sel_testing,1,C154)*X154</f>
        <v>5521.61212576401</v>
      </c>
      <c r="CQ154" s="88" t="n">
        <f aca="false">(1-CO154)*(AL154+AM154)+AR154+AU154+AZ154</f>
        <v>4837.92834487667</v>
      </c>
      <c r="CR154" s="88" t="n">
        <f aca="false">BB154+BC154+BD154+BF154+BJ154</f>
        <v>2403.39288377965</v>
      </c>
      <c r="CS154" s="88" t="n">
        <f aca="false">BK154+BL154</f>
        <v>1000</v>
      </c>
      <c r="CT154" s="88" t="n">
        <f aca="false">IF(K154=2,AM154,0)</f>
        <v>0</v>
      </c>
      <c r="CU154" s="85" t="n">
        <f aca="false">IF(K154=2,CO154*AM154*(CN154-0)+(1-CO154)*AM154*(CN154-CJ154),0)</f>
        <v>0</v>
      </c>
      <c r="CV154" s="85" t="n">
        <f aca="false">(CP154-CO154*CT154)*(CM154-0)+(CQ154-(1-CO154)*CT154)*(CM154-CJ154)+CR154*(CM154-CK154)+CS154*(CM154-CL154)</f>
        <v>1600824.1159711</v>
      </c>
      <c r="CW154" s="88" t="n">
        <f aca="false">INDEX(in_sel_fin_rate,1,C154)/365*(CU154+CV154)</f>
        <v>614.014729413571</v>
      </c>
      <c r="CX154" s="85" t="n">
        <f aca="false">CP154-IF(CN154&lt;=0,CT154,0)</f>
        <v>5521.61212576401</v>
      </c>
      <c r="CY154" s="85" t="n">
        <f aca="false">CP154+CQ154-IF(CN154&lt;=CJ154,CT154,0)</f>
        <v>10359.5404706407</v>
      </c>
      <c r="CZ154" s="85" t="n">
        <f aca="false">CP154+CQ154+CR154-IF(CN154&lt;=CK154,CT154,0)</f>
        <v>12762.9333544203</v>
      </c>
      <c r="DA154" s="85" t="n">
        <f aca="false">CP154+CQ154+CR154+CS154-IF(CN154&lt;=CL154,CT154,0)</f>
        <v>13762.9333544203</v>
      </c>
      <c r="DB154" s="88" t="n">
        <f aca="false">MAX(CX154,CY154,CZ154,DA154)</f>
        <v>13762.9333544203</v>
      </c>
      <c r="DC154" s="88" t="n">
        <f aca="false">CP154+CQ154+CR154+CS154</f>
        <v>13762.9333544203</v>
      </c>
      <c r="DD154" s="88" t="n">
        <f aca="false">CE154-CH154-CI154-CW154</f>
        <v>-13256.6280238339</v>
      </c>
      <c r="DE154" s="87" t="n">
        <f aca="false">IF(CD154&gt;0,DD154/CD154,0)</f>
        <v>-6.41454295345027</v>
      </c>
      <c r="DF154" s="86" t="n">
        <f aca="false">IF(CD154&gt;0,(BM154+CI154+CW154)/(CD154*(1-CG154)),0)</f>
        <v>8.08789276624339</v>
      </c>
      <c r="DG154" s="90" t="n">
        <f aca="false">IF(BW154&gt;0,BM154/BW154,0)</f>
        <v>1.01697222441878</v>
      </c>
      <c r="DH154" s="90" t="n">
        <f aca="false">IF(BW154&gt;0,CD154/BW154,0)</f>
        <v>0.21527625</v>
      </c>
      <c r="DI154" s="90" t="n">
        <f aca="false">IF(AI154&gt;0,(AI154*IF(K154=3,INDEX(in_sup_vat_rate,1,C154),0)+AV154*BA154+(BC154+BD154)*AV154/AY154+AZ154*AI154/AL154)/AI154,0)</f>
        <v>0.394351145718114</v>
      </c>
      <c r="DJ154" s="90" t="n">
        <f aca="false">IF(AJ154&gt;0,(AJ154*IF(K154=3,INDEX(in_sup_vat_rate,1,C154),0)+AW154*BA154+(BC154+BD154)*AW154/AY154+AZ154*AJ154/AL154)/AJ154,0)</f>
        <v>0.396589148195143</v>
      </c>
      <c r="DK154" s="90" t="n">
        <f aca="false">IF(AK154&gt;0,(AK154*IF(K154=3,INDEX(in_sup_vat_rate,1,C154),0)+AX154*BA154+(BC154+BD154)*AX154/AY154+AZ154*AK154/AL154)/AK154,0)</f>
        <v>0.402423927911629</v>
      </c>
      <c r="DL154" s="90" t="n">
        <f aca="false">IF(Y154&gt;0,(BP154-AI154*(1+DI154))/Y154,0)</f>
        <v>0.726063924976222</v>
      </c>
      <c r="DM154" s="90" t="n">
        <f aca="false">IF(Z154&gt;0,(BQ154-AJ154*(1+DJ154))/Z154,0)</f>
        <v>0.834935182242862</v>
      </c>
      <c r="DN154" s="90" t="n">
        <f aca="false">IF(AA154&gt;0,(BR154-AK154*(1+DK154))/AA154,0)</f>
        <v>0.628156540546102</v>
      </c>
      <c r="DO154" s="86" t="n">
        <f aca="false">IF(Y154&gt;0,(CA154*(1-thr_gm_go)*(1-R154)-DL154)/(1+DI154)*I154/((1+AH154)*J154),"")</f>
        <v>-18.3276454267257</v>
      </c>
      <c r="DP154" s="86" t="n">
        <f aca="false">IF(Z154&gt;0,(CB154*(1-thr_gm_go)*(1-R154)-DM154)/(1+DJ154)*I154/((1+AH154)*J154),"")</f>
        <v>-20.8874275212971</v>
      </c>
      <c r="DQ154" s="86" t="n">
        <f aca="false">IF(AA154&gt;0,(CC154*(1-thr_gm_go)*(1-R154)-DN154)/(1+DK154)*I154/((1+AH154)*J154),"")</f>
        <v>-14.922415249832</v>
      </c>
      <c r="DR154" s="92" t="n">
        <f aca="false">IF(AND(AY154*INDEX(in_cus_mpf_rate,1,C154)&gt;INDEX(in_cus_mpf_min,1,C154),AY154*INDEX(in_cus_mpf_rate,1,C154)&lt;INDEX(in_cus_mpf_max,1,C154)),INDEX(in_cus_mpf_rate,1,C154),0)</f>
        <v>0</v>
      </c>
      <c r="DS154" s="88" t="n">
        <f aca="false">IF(AZ154&gt;INDEX(in_oce_ins_min,1,C154),INDEX(in_oce_ins_rate,1,C154)*(1+INDEX(in_oce_ins_uplift,1,C154))*AL154,0)</f>
        <v>0</v>
      </c>
      <c r="DT154" s="88" t="n">
        <f aca="false">(AL154+AN154)*(1+BA154+INDEX(in_cus_hmf,1,C154)+DR154)+DS154</f>
        <v>2260.69558345851</v>
      </c>
      <c r="DU154" s="86" t="n">
        <f aca="false">IF(DT154&gt;0,(CD154*(1-thr_gm_go)-(BM154-DT154))/DT154,0)</f>
        <v>-2.63292803087438</v>
      </c>
      <c r="DV154" s="86" t="n">
        <f aca="false">IF(DT154&gt;0,(CD154-(BM154-DT154))/DT154,0)</f>
        <v>-2.4043864245739</v>
      </c>
      <c r="DW154" s="87" t="n">
        <f aca="false">(1+AH154)*J154*DU154-1</f>
        <v>-3.89622083396182</v>
      </c>
      <c r="DX154" s="87" t="n">
        <f aca="false">(1+AH154)*J154*DV154-1</f>
        <v>-3.64482506703129</v>
      </c>
      <c r="DY154" s="85" t="str">
        <f aca="false">IF(G154&gt;0,(CD154*(1-thr_gm_go)-(BM154-AT154))/G154,"")</f>
        <v/>
      </c>
      <c r="DZ154" s="90" t="n">
        <f aca="false">IF(AB154&gt;0,(AL154+AN154+BB154+BC154+BD154)/AB154,0)</f>
        <v>0.236066976143427</v>
      </c>
      <c r="EA154" s="88" t="n">
        <f aca="false">BM154-DZ154*AB154</f>
        <v>7402.26359298607</v>
      </c>
      <c r="EB154" s="90" t="n">
        <f aca="false">IF(AB154&gt;0,CD154/AB154,0)</f>
        <v>0.2066652</v>
      </c>
      <c r="EC154" s="85" t="str">
        <f aca="false">IF(EB154*(1-thr_gm_go)-DZ154&gt;0,EA154/(EB154*(1-thr_gm_go)-DZ154),"n/a")</f>
        <v>n/a</v>
      </c>
      <c r="ED154" s="85" t="str">
        <f aca="false">IF(EB154-DZ154&gt;0,EA154/(EB154-DZ154),"n/a")</f>
        <v>n/a</v>
      </c>
      <c r="EE154" s="93" t="b">
        <f aca="false">INDEX(cfg_fits,D154,C154)</f>
        <v>1</v>
      </c>
      <c r="EF154" s="87" t="str">
        <f aca="false">IF(F154=4,"",INDEX(cfg_lenutil,D154,C154))</f>
        <v/>
      </c>
      <c r="EG154" s="31" t="str">
        <f aca="false">IF(O154&gt;1,"Check fit (units scaled up)","")</f>
        <v/>
      </c>
    </row>
    <row r="155" customFormat="false" ht="15" hidden="false" customHeight="false" outlineLevel="0" collapsed="false">
      <c r="A155" s="78" t="n">
        <v>900001</v>
      </c>
      <c r="B155" s="9" t="s">
        <v>3303</v>
      </c>
      <c r="C155" s="10" t="n">
        <f aca="false">sel_scen</f>
        <v>2</v>
      </c>
      <c r="D155" s="10" t="n">
        <f aca="false">sel_cfg</f>
        <v>4</v>
      </c>
      <c r="E155" s="10" t="n">
        <f aca="false">sel_dest</f>
        <v>1</v>
      </c>
      <c r="F155" s="79" t="n">
        <f aca="false">INDEX(cfg_ct,D155)</f>
        <v>3</v>
      </c>
      <c r="G155" s="79" t="n">
        <f aca="false">INDEX(cfg_n,D155)</f>
        <v>1</v>
      </c>
      <c r="H155" s="79" t="n">
        <f aca="false">INDEX(dest_port,E155)</f>
        <v>1</v>
      </c>
      <c r="I155" s="94" t="n">
        <f aca="false">INDEX(in_fx_cbe,1,1)*(1-INDEX(in_fx_spread,1,C155))</f>
        <v>54.327</v>
      </c>
      <c r="J155" s="81" t="n">
        <f aca="false">1</f>
        <v>1</v>
      </c>
      <c r="K155" s="82" t="n">
        <f aca="false">INDEX(in_sup_vat_mode,1,C155)</f>
        <v>2</v>
      </c>
      <c r="L155" s="83" t="n">
        <f aca="false">INDEX(in_cus_s301,1,C155)</f>
        <v>0.125</v>
      </c>
      <c r="M155" s="84" t="n">
        <f aca="false">1</f>
        <v>1</v>
      </c>
      <c r="N155" s="81" t="n">
        <f aca="false">1</f>
        <v>1</v>
      </c>
      <c r="O155" s="81" t="n">
        <f aca="false">1</f>
        <v>1</v>
      </c>
      <c r="P155" s="81" t="n">
        <f aca="false">1</f>
        <v>1</v>
      </c>
      <c r="Q155" s="81" t="n">
        <f aca="false">1</f>
        <v>1</v>
      </c>
      <c r="R155" s="83" t="n">
        <f aca="false">INDEX(in_sel_damage,1,C155)</f>
        <v>0.015</v>
      </c>
      <c r="S155" s="83" t="n">
        <f aca="false">INDEX(in_mkt_dist_margin,1,C155)</f>
        <v>0.25</v>
      </c>
      <c r="T155" s="83" t="n">
        <f aca="false">INDEX(in_mkt_eflute_disc,1,C155)</f>
        <v>0.2</v>
      </c>
      <c r="U155" s="82" t="n">
        <f aca="false">INDEX(in_sel_credit_days,1,C155)</f>
        <v>45</v>
      </c>
      <c r="V155" s="81" t="n">
        <f aca="false">1</f>
        <v>1</v>
      </c>
      <c r="W155" s="83" t="n">
        <f aca="false">INDEX(in_sel_commission,1,C155)</f>
        <v>0.05</v>
      </c>
      <c r="X155" s="82" t="n">
        <f aca="false">1</f>
        <v>1</v>
      </c>
      <c r="Y155" s="85" t="n">
        <f aca="false">INDEX(cfg_u_3464,D155,C155)*O155</f>
        <v>25800</v>
      </c>
      <c r="Z155" s="85" t="n">
        <f aca="false">INDEX(cfg_u_3463,D155,C155)*O155</f>
        <v>25800</v>
      </c>
      <c r="AA155" s="85" t="n">
        <f aca="false">INDEX(cfg_u_3460,D155,C155)*O155</f>
        <v>25800</v>
      </c>
      <c r="AB155" s="85" t="n">
        <f aca="false">Y155+Z155+AA155</f>
        <v>77400</v>
      </c>
      <c r="AC155" s="86" t="n">
        <f aca="false">Y155*INDEX(lg_vpu_3464,C155)</f>
        <v>18.3539136</v>
      </c>
      <c r="AD155" s="86" t="n">
        <f aca="false">Z155*INDEX(lg_vpu_3463,C155)</f>
        <v>22.4530176</v>
      </c>
      <c r="AE155" s="86" t="n">
        <f aca="false">AA155*INDEX(lg_vpu_3460,C155)</f>
        <v>14.6676096</v>
      </c>
      <c r="AF155" s="86" t="n">
        <f aca="false">AC155+AD155+AE155</f>
        <v>55.4745408</v>
      </c>
      <c r="AG155" s="85" t="n">
        <f aca="false">Y155*INDEX(lg_kpu_3464,C155)+Z155*INDEX(lg_kpu_3463,C155)+AA155*INDEX(lg_kpu_3460,C155)</f>
        <v>13341.3537888</v>
      </c>
      <c r="AH155" s="87" t="n">
        <f aca="false">INDEX(in_sup_requote,1,C155)</f>
        <v>0</v>
      </c>
      <c r="AI155" s="88" t="n">
        <f aca="false">Y155*q_price_3464*(1+AH155)*J155/I155</f>
        <v>3972.55508310785</v>
      </c>
      <c r="AJ155" s="88" t="n">
        <f aca="false">Z155*q_price_3463*(1+AH155)*J155/I155</f>
        <v>3751.7256612734</v>
      </c>
      <c r="AK155" s="88" t="n">
        <f aca="false">AA155*q_price_3460*(1+AH155)*J155/I155</f>
        <v>3276.82367883373</v>
      </c>
      <c r="AL155" s="88" t="n">
        <f aca="false">AI155+AJ155+AK155</f>
        <v>11001.104423215</v>
      </c>
      <c r="AM155" s="88" t="n">
        <f aca="false">IF(OR(K155=2,K155=3),AL155*INDEX(in_sup_vat_rate,1,C155),0)</f>
        <v>1540.1546192501</v>
      </c>
      <c r="AN155" s="88" t="n">
        <f aca="false">IF(K155=3,AM155,0)</f>
        <v>0</v>
      </c>
      <c r="AO155" s="88" t="n">
        <f aca="false">INDEX(in_sup_tooling_egp,1,C155)/I155</f>
        <v>0</v>
      </c>
      <c r="AP155" s="88" t="n">
        <f aca="false">IF(F155=4,INDEX(in_ori_lcl_truck,1,C155)*V155/I155+INDEX(in_ori_lcl_cfs_o,1,C155),G155*(IF(F155=1,INDEX(in_ori_truck_20,1,C155),INDEX(in_ori_truck_40,1,C155))*V155/I155+INDEX(in_ori_terminal,1,C155)+IF(F155=1,INDEX(in_ori_othc_20,1,C155),INDEX(in_ori_othc_40,1,C155))*(1-INDEX(in_ori_othc_in_freight,1,C155))+INDEX(in_ori_seal,1,C155)+INDEX(in_ori_inspection,1,C155)+INDEX(in_ori_dd_days,1,C155)*IF(F155=1,INDEX(in_ori_dd_20,1,C155),INDEX(in_ori_dd_40,1,C155))+INDEX(in_ori_loading_egp,1,C155)/I155))</f>
        <v>547.698750161062</v>
      </c>
      <c r="AQ155" s="88" t="n">
        <f aca="false">(INDEX(in_ori_clearance,1,C155)+INDEX(in_ori_coo,1,C155))/I155+INDEX(in_ori_bl_fee,1,C155)+INDEX(in_ori_fwd_fee,1,C155)+INDEX(in_ori_qc,1,C155)+INDEX(in_ori_wires,1,C155)*INDEX(in_ori_wire_fee,1,C155)</f>
        <v>813.849375080531</v>
      </c>
      <c r="AR155" s="88" t="n">
        <f aca="false">AP155+AQ155</f>
        <v>1361.54812524159</v>
      </c>
      <c r="AS155" s="85" t="n">
        <f aca="false">INDEX(tbl_port_diff,H155,C155)</f>
        <v>0</v>
      </c>
      <c r="AT155" s="88" t="n">
        <f aca="false">IF(F155=4,MAX(AF155*INDEX(in_oce_lcl_factor,1,C155),AG155/1000,1)*INDEX(in_oce_lcl_rate,1,C155)*M155,G155*(INDEX(tbl_ocean_rate,MIN(F155,3),C155)+AS155)*M155)</f>
        <v>4000</v>
      </c>
      <c r="AU155" s="88" t="n">
        <f aca="false">AT155+INDEX(in_oce_ams,1,C155)</f>
        <v>4035</v>
      </c>
      <c r="AV155" s="88" t="n">
        <f aca="false">AI155*(1+IF(K155=3,INDEX(in_sup_vat_rate,1,C155),0))+AO155*Y155/AB155</f>
        <v>3972.55508310785</v>
      </c>
      <c r="AW155" s="88" t="n">
        <f aca="false">AJ155*(1+IF(K155=3,INDEX(in_sup_vat_rate,1,C155),0))+AO155*Z155/AB155</f>
        <v>3751.7256612734</v>
      </c>
      <c r="AX155" s="88" t="n">
        <f aca="false">AK155*(1+IF(K155=3,INDEX(in_sup_vat_rate,1,C155),0))+AO155*AA155/AB155</f>
        <v>3276.82367883373</v>
      </c>
      <c r="AY155" s="88" t="n">
        <f aca="false">AV155+AW155+AX155</f>
        <v>11001.104423215</v>
      </c>
      <c r="AZ155" s="88" t="n">
        <f aca="false">MAX(INDEX(in_oce_ins_min,1,C155),INDEX(in_oce_ins_rate,1,C155)*(1+INDEX(in_oce_ins_uplift,1,C155))*(AL155+AO155+AR155+AU155))*(1-INDEX(in_oce_ins_in_other,1,C155))</f>
        <v>75</v>
      </c>
      <c r="BA155" s="87" t="n">
        <f aca="false">INDEX(in_cus_mfn,1,C155)+L155</f>
        <v>0.125</v>
      </c>
      <c r="BB155" s="88" t="n">
        <f aca="false">AY155*BA155</f>
        <v>1375.13805290187</v>
      </c>
      <c r="BC155" s="88" t="n">
        <f aca="false">MIN(MAX(AY155*INDEX(in_cus_mpf_rate,1,C155),INDEX(in_cus_mpf_min,1,C155)),INDEX(in_cus_mpf_max,1,C155))</f>
        <v>38.1078257220167</v>
      </c>
      <c r="BD155" s="88" t="n">
        <f aca="false">AY155*INDEX(in_cus_hmf,1,C155)</f>
        <v>13.7513805290187</v>
      </c>
      <c r="BE155" s="88" t="n">
        <f aca="false">MAX(INDEX(in_cus_stb_min,1,C155),INDEX(in_cus_stb_rate,1,C155)/1000*(AY155+BB155+BC155+BD155))</f>
        <v>75</v>
      </c>
      <c r="BF155" s="88" t="n">
        <f aca="false">INDEX(in_cus_broker,1,C155)+INDEX(in_cus_isf,1,C155)+INDEX(in_cus_do_fee,1,C155)+BE155+INDEX(in_cus_isf_bond,1,C155)</f>
        <v>510</v>
      </c>
      <c r="BG155" s="88" t="n">
        <f aca="false">IF(H155=1,INDEX(in_cus_cfc,1,C155)*INDEX(ct_teu,F155)*G155*(1-INDEX(in_cus_cfc_in_freight,1,C155)),0)</f>
        <v>29.6</v>
      </c>
      <c r="BH155" s="88" t="n">
        <f aca="false">IF(F155=4,1,G155)*(INDEX(in_cus_exam,1,C155)+INDEX(in_cus_exam_dray,1,C155))</f>
        <v>0</v>
      </c>
      <c r="BI155" s="88" t="n">
        <f aca="false">IF(F155=4,1,G155)*INDEX(in_cus_dem_days,1,C155)*INDEX(in_cus_dem_rate,1,C155)</f>
        <v>0</v>
      </c>
      <c r="BJ155" s="88" t="n">
        <f aca="false">BG155+BH155+BI155</f>
        <v>29.6</v>
      </c>
      <c r="BK155" s="88" t="n">
        <f aca="false">IF(F155=4,(INDEX(in_dra_lcl_cfs_d,1,C155)+INDEX(in_dra_lcl_deliv,1,C155))*P155,G155*(INDEX(tbl_dest_line,E155,C155)*P155*(1+INDEX(in_dra_fsc,1,C155))+INDEX(tbl_dest_tolls,E155,C155)+INDEX(in_dra_chassis_days,1,C155)*INDEX(tbl_dest_chassis,E155,C155)*(1-INDEX(in_dra_chassis_in_dray,1,C155))+INDEX(in_dra_wait_hours,1,C155)*INDEX(in_dra_wait_rate,1,C155)+INDEX(in_dra_split,1,C155)+INDEX(in_dra_prepull,1,C155)+INDEX(in_dra_dryrun,1,C155)))</f>
        <v>1060</v>
      </c>
      <c r="BL155" s="88" t="n">
        <f aca="false">IF(F155=4,0,G155*IF(F155=1,INDEX(in_dra_unload_20,1,C155),INDEX(in_dra_unload_40,1,C155))*Q155*(1-INDEX(in_dra_unload_in_dray,1,C155)))</f>
        <v>450</v>
      </c>
      <c r="BM155" s="88" t="n">
        <f aca="false">AL155+AN155+AO155+AR155+AU155+AZ155+BB155+BC155+BD155+BF155+BJ155+BK155+BL155</f>
        <v>19949.2498076095</v>
      </c>
      <c r="BN155" s="88" t="n">
        <f aca="false">AP155+AU155+BJ155+BK155+BL155</f>
        <v>6122.29875016106</v>
      </c>
      <c r="BO155" s="88" t="n">
        <f aca="false">AQ155+BF155</f>
        <v>1323.84937508053</v>
      </c>
      <c r="BP155" s="88" t="n">
        <f aca="false">AI155*(1+IF(K155=3,INDEX(in_sup_vat_rate,1,C155),0))+AO155*Y155/AB155+AV155*BA155+(BC155+BD155)*AV155/AY155+AZ155*AI155/AL155+BN155*AC155/AF155+BO155*Y155/AB155</f>
        <v>6981.79749734562</v>
      </c>
      <c r="BQ155" s="88" t="n">
        <f aca="false">AJ155*(1+IF(K155=3,INDEX(in_sup_vat_rate,1,C155),0))+AO155*Z155/AB155+AW155*BA155+(BC155+BD155)*AW155/AY155+AZ155*AJ155/AL155+BN155*AD155/AF155+BO155*Z155/AB155</f>
        <v>7183.20451104901</v>
      </c>
      <c r="BR155" s="88" t="n">
        <f aca="false">AK155*(1+IF(K155=3,INDEX(in_sup_vat_rate,1,C155),0))+AO155*AA155/AB155+AX155*BA155+(BC155+BD155)*AX155/AY155+AZ155*AK155/AL155+BN155*AE155/AF155+BO155*AA155/AB155</f>
        <v>5784.24779921485</v>
      </c>
      <c r="BS155" s="89" t="n">
        <f aca="false">BP155+BQ155+BR155-BM155</f>
        <v>0</v>
      </c>
      <c r="BT155" s="85" t="n">
        <f aca="false">Y155*(1-R155)</f>
        <v>25413</v>
      </c>
      <c r="BU155" s="85" t="n">
        <f aca="false">Z155*(1-R155)</f>
        <v>25413</v>
      </c>
      <c r="BV155" s="85" t="n">
        <f aca="false">AA155*(1-R155)</f>
        <v>25413</v>
      </c>
      <c r="BW155" s="85" t="n">
        <f aca="false">BT155+BU155+BV155</f>
        <v>76239</v>
      </c>
      <c r="BX155" s="90" t="n">
        <f aca="false">IF(BT155&gt;0,BP155/BT155,0)</f>
        <v>0.274733305683926</v>
      </c>
      <c r="BY155" s="90" t="n">
        <f aca="false">IF(BU155&gt;0,BQ155/BU155,0)</f>
        <v>0.282658659388856</v>
      </c>
      <c r="BZ155" s="90" t="n">
        <f aca="false">IF(BV155&gt;0,BR155/BV155,0)</f>
        <v>0.227609798103917</v>
      </c>
      <c r="CA155" s="90" t="n">
        <f aca="false">INDEX(in_mkt_listing_3464,1,C155)*(1-IF(sku_flute_3464="B",T155,0))*(1-S155)*N155</f>
        <v>0.234</v>
      </c>
      <c r="CB155" s="90" t="n">
        <f aca="false">INDEX(in_mkt_listing_3463,1,C155)*(1-IF(sku_flute_3463="B",T155,0))*(1-S155)*N155</f>
        <v>0.27</v>
      </c>
      <c r="CC155" s="90" t="n">
        <f aca="false">INDEX(in_mkt_listing_3460,1,C155)*(1-IF(sku_flute_3460="B",T155,0))*(1-S155)*N155</f>
        <v>0.225</v>
      </c>
      <c r="CD155" s="88" t="n">
        <f aca="false">BT155*CA155+BU155*CB155+BV155*CC155</f>
        <v>18526.077</v>
      </c>
      <c r="CE155" s="88" t="n">
        <f aca="false">CD155-BM155</f>
        <v>-1423.17280760947</v>
      </c>
      <c r="CF155" s="87" t="n">
        <f aca="false">IF(CD155&gt;0,CE155/CD155,0)</f>
        <v>-0.0768199769227707</v>
      </c>
      <c r="CG155" s="87" t="n">
        <f aca="false">W155+INDEX(in_sel_processing,1,C155)+INDEX(in_sel_bad_debt,1,C155)</f>
        <v>0.058</v>
      </c>
      <c r="CH155" s="88" t="n">
        <f aca="false">CD155*CG155</f>
        <v>1074.512466</v>
      </c>
      <c r="CI155" s="88" t="n">
        <f aca="false">INDEX(in_sel_testing,1,C155)*X155+INDEX(in_sel_admin,1,C155)</f>
        <v>3000</v>
      </c>
      <c r="CJ155" s="79" t="n">
        <f aca="false">INDEX(in_sup_lead_days,1,C155)</f>
        <v>21</v>
      </c>
      <c r="CK155" s="79" t="n">
        <f aca="false">CJ155+INDEX(in_oce_transit,1,C155)+IF(F155=4,INDEX(in_oce_lcl_extra_days,1,C155),0)</f>
        <v>51</v>
      </c>
      <c r="CL155" s="79" t="n">
        <f aca="false">CK155+2+INDEX(in_cus_dem_days,1,C155)</f>
        <v>53</v>
      </c>
      <c r="CM155" s="79" t="n">
        <f aca="false">CL155+U155</f>
        <v>98</v>
      </c>
      <c r="CN155" s="79" t="n">
        <f aca="false">CJ155+INDEX(in_sup_vat_lag,1,C155)</f>
        <v>81</v>
      </c>
      <c r="CO155" s="91" t="n">
        <f aca="false">INDEX(in_sup_advance,1,C155)</f>
        <v>0.5</v>
      </c>
      <c r="CP155" s="88" t="n">
        <f aca="false">CO155*(AL155+AM155)+AO155+INDEX(in_sel_testing,1,C155)*X155</f>
        <v>8770.62952123254</v>
      </c>
      <c r="CQ155" s="88" t="n">
        <f aca="false">(1-CO155)*(AL155+AM155)+AR155+AU155+AZ155</f>
        <v>11742.1776464741</v>
      </c>
      <c r="CR155" s="88" t="n">
        <f aca="false">BB155+BC155+BD155+BF155+BJ155</f>
        <v>1966.59725915291</v>
      </c>
      <c r="CS155" s="88" t="n">
        <f aca="false">BK155+BL155</f>
        <v>1510</v>
      </c>
      <c r="CT155" s="88" t="n">
        <f aca="false">IF(K155=2,AM155,0)</f>
        <v>1540.1546192501</v>
      </c>
      <c r="CU155" s="85" t="n">
        <f aca="false">IF(K155=2,CO155*AM155*(CN155-0)+(1-CO155)*AM155*(CN155-CJ155),0)</f>
        <v>108580.900657132</v>
      </c>
      <c r="CV155" s="85" t="n">
        <f aca="false">(CP155-CO155*CT155)*(CM155-0)+(CQ155-(1-CO155)*CT155)*(CM155-CJ155)+CR155*(CM155-CK155)+CS155*(CM155-CL155)</f>
        <v>1789285.9138551</v>
      </c>
      <c r="CW155" s="88" t="n">
        <f aca="false">INDEX(in_sel_fin_rate,1,C155)/365*(CU155+CV155)</f>
        <v>519.963510825269</v>
      </c>
      <c r="CX155" s="85" t="n">
        <f aca="false">CP155-IF(CN155&lt;=0,CT155,0)</f>
        <v>8770.62952123254</v>
      </c>
      <c r="CY155" s="85" t="n">
        <f aca="false">CP155+CQ155-IF(CN155&lt;=CJ155,CT155,0)</f>
        <v>20512.8071677067</v>
      </c>
      <c r="CZ155" s="85" t="n">
        <f aca="false">CP155+CQ155+CR155-IF(CN155&lt;=CK155,CT155,0)</f>
        <v>22479.4044268596</v>
      </c>
      <c r="DA155" s="85" t="n">
        <f aca="false">CP155+CQ155+CR155+CS155-IF(CN155&lt;=CL155,CT155,0)</f>
        <v>23989.4044268596</v>
      </c>
      <c r="DB155" s="88" t="n">
        <f aca="false">MAX(CX155,CY155,CZ155,DA155)</f>
        <v>23989.4044268596</v>
      </c>
      <c r="DC155" s="88" t="n">
        <f aca="false">CP155+CQ155+CR155+CS155</f>
        <v>23989.4044268596</v>
      </c>
      <c r="DD155" s="88" t="n">
        <f aca="false">CE155-CH155-CI155-CW155</f>
        <v>-6017.64878443474</v>
      </c>
      <c r="DE155" s="87" t="n">
        <f aca="false">IF(CD155&gt;0,DD155/CD155,0)</f>
        <v>-0.324820456291677</v>
      </c>
      <c r="DF155" s="86" t="n">
        <f aca="false">IF(CD155&gt;0,(BM155+CI155+CW155)/(CD155*(1-CG155)),0)</f>
        <v>1.34482001729477</v>
      </c>
      <c r="DG155" s="90" t="n">
        <f aca="false">IF(BW155&gt;0,BM155/BW155,0)</f>
        <v>0.261667254392233</v>
      </c>
      <c r="DH155" s="90" t="n">
        <f aca="false">IF(BW155&gt;0,CD155/BW155,0)</f>
        <v>0.243</v>
      </c>
      <c r="DI155" s="90" t="n">
        <f aca="false">IF(AI155&gt;0,(AI155*IF(K155=3,INDEX(in_sup_vat_rate,1,C155),0)+AV155*BA155+(BC155+BD155)*AV155/AY155+AZ155*AI155/AL155)/AI155,0)</f>
        <v>0.136531497327062</v>
      </c>
      <c r="DJ155" s="90" t="n">
        <f aca="false">IF(AJ155&gt;0,(AJ155*IF(K155=3,INDEX(in_sup_vat_rate,1,C155),0)+AW155*BA155+(BC155+BD155)*AW155/AY155+AZ155*AJ155/AL155)/AJ155,0)</f>
        <v>0.136531497327062</v>
      </c>
      <c r="DK155" s="90" t="n">
        <f aca="false">IF(AK155&gt;0,(AK155*IF(K155=3,INDEX(in_sup_vat_rate,1,C155),0)+AX155*BA155+(BC155+BD155)*AX155/AY155+AZ155*AK155/AL155)/AK155,0)</f>
        <v>0.136531497327062</v>
      </c>
      <c r="DL155" s="90" t="n">
        <f aca="false">IF(Y155&gt;0,(BP155-AI155*(1+DI155))/Y155,0)</f>
        <v>0.0956148651366988</v>
      </c>
      <c r="DM155" s="90" t="n">
        <f aca="false">IF(Z155&gt;0,(BQ155-AJ155*(1+DJ155))/Z155,0)</f>
        <v>0.1131492297551</v>
      </c>
      <c r="DN155" s="90" t="n">
        <f aca="false">IF(AA155&gt;0,(BR155-AK155*(1+DK155))/AA155,0)</f>
        <v>0.0798462975594254</v>
      </c>
      <c r="DO155" s="86" t="n">
        <f aca="false">IF(Y155&gt;0,(CA155*(1-thr_gm_go)*(1-R155)-DL155)/(1+DI155)*I155/((1+AH155)*J155),"")</f>
        <v>3.69272994553077</v>
      </c>
      <c r="DP155" s="86" t="n">
        <f aca="false">IF(Z155&gt;0,(CB155*(1-thr_gm_go)*(1-R155)-DM155)/(1+DJ155)*I155/((1+AH155)*J155),"")</f>
        <v>4.12583465009352</v>
      </c>
      <c r="DQ155" s="86" t="n">
        <f aca="false">IF(AA155&gt;0,(CC155*(1-thr_gm_go)*(1-R155)-DN155)/(1+DK155)*I155/((1+AH155)*J155),"")</f>
        <v>4.12866360041473</v>
      </c>
      <c r="DR155" s="92" t="n">
        <f aca="false">IF(AND(AY155*INDEX(in_cus_mpf_rate,1,C155)&gt;INDEX(in_cus_mpf_min,1,C155),AY155*INDEX(in_cus_mpf_rate,1,C155)&lt;INDEX(in_cus_mpf_max,1,C155)),INDEX(in_cus_mpf_rate,1,C155),0)</f>
        <v>0.003464</v>
      </c>
      <c r="DS155" s="88" t="n">
        <f aca="false">IF(AZ155&gt;INDEX(in_oce_ins_min,1,C155),INDEX(in_oce_ins_rate,1,C155)*(1+INDEX(in_oce_ins_uplift,1,C155))*AL155,0)</f>
        <v>0</v>
      </c>
      <c r="DT155" s="88" t="n">
        <f aca="false">(AL155+AN155)*(1+BA155+INDEX(in_cus_hmf,1,C155)+DR155)+DS155</f>
        <v>12428.1016823679</v>
      </c>
      <c r="DU155" s="86" t="n">
        <f aca="false">IF(DT155&gt;0,(CD155*(1-thr_gm_go)-(BM155-DT155))/DT155,0)</f>
        <v>0.512822455725524</v>
      </c>
      <c r="DV155" s="86" t="n">
        <f aca="false">IF(DT155&gt;0,(CD155-(BM155-DT155))/DT155,0)</f>
        <v>0.885487514989633</v>
      </c>
      <c r="DW155" s="87" t="n">
        <f aca="false">(1+AH155)*J155*DU155-1</f>
        <v>-0.487177544274476</v>
      </c>
      <c r="DX155" s="87" t="n">
        <f aca="false">(1+AH155)*J155*DV155-1</f>
        <v>-0.114512485010367</v>
      </c>
      <c r="DY155" s="85" t="n">
        <f aca="false">IF(G155&gt;0,(CD155*(1-thr_gm_go)-(BM155-AT155))/G155,"")</f>
        <v>-2054.69205760947</v>
      </c>
      <c r="DZ155" s="90" t="n">
        <f aca="false">IF(AB155&gt;0,(AL155+AN155+BB155+BC155+BD155)/AB155,0)</f>
        <v>0.16056978917788</v>
      </c>
      <c r="EA155" s="88" t="n">
        <f aca="false">BM155-DZ155*AB155</f>
        <v>7521.14812524159</v>
      </c>
      <c r="EB155" s="90" t="n">
        <f aca="false">IF(AB155&gt;0,CD155/AB155,0)</f>
        <v>0.239355</v>
      </c>
      <c r="EC155" s="85" t="n">
        <f aca="false">IF(EB155*(1-thr_gm_go)-DZ155&gt;0,EA155/(EB155*(1-thr_gm_go)-DZ155),"n/a")</f>
        <v>396968.499597587</v>
      </c>
      <c r="ED155" s="85" t="n">
        <f aca="false">IF(EB155-DZ155&gt;0,EA155/(EB155-DZ155),"n/a")</f>
        <v>95463.9588668828</v>
      </c>
      <c r="EE155" s="93" t="b">
        <f aca="false">INDEX(cfg_fits,D155,C155)</f>
        <v>1</v>
      </c>
      <c r="EF155" s="87" t="n">
        <f aca="false">IF(F155=4,"",INDEX(cfg_lenutil,D155,C155))</f>
        <v>0.999580888516345</v>
      </c>
      <c r="EG155" s="31" t="str">
        <f aca="false">IF(O155&gt;1,"Check fit (units scaled up)","")</f>
        <v/>
      </c>
    </row>
    <row r="156" customFormat="false" ht="15" hidden="false" customHeight="false" outlineLevel="0" collapsed="false">
      <c r="A156" s="78" t="n">
        <v>900002</v>
      </c>
      <c r="B156" s="9" t="s">
        <v>3304</v>
      </c>
      <c r="C156" s="10" t="n">
        <f aca="false">sel_scen</f>
        <v>2</v>
      </c>
      <c r="D156" s="10" t="n">
        <f aca="false">sel_cfg</f>
        <v>4</v>
      </c>
      <c r="E156" s="10" t="n">
        <f aca="false">sel_dest</f>
        <v>1</v>
      </c>
      <c r="F156" s="79" t="n">
        <f aca="false">INDEX(cfg_ct,D156)</f>
        <v>3</v>
      </c>
      <c r="G156" s="79" t="n">
        <f aca="false">INDEX(cfg_n,D156)</f>
        <v>1</v>
      </c>
      <c r="H156" s="79" t="n">
        <f aca="false">INDEX(dest_port,E156)</f>
        <v>1</v>
      </c>
      <c r="I156" s="94" t="n">
        <f aca="false">INDEX(in_fx_cbe,1,3)*(1-INDEX(in_fx_spread,1,C156))</f>
        <v>48.755</v>
      </c>
      <c r="J156" s="81" t="n">
        <f aca="false">1</f>
        <v>1</v>
      </c>
      <c r="K156" s="82" t="n">
        <f aca="false">INDEX(in_sup_vat_mode,1,C156)</f>
        <v>2</v>
      </c>
      <c r="L156" s="83" t="n">
        <f aca="false">INDEX(in_cus_s301,1,C156)</f>
        <v>0.125</v>
      </c>
      <c r="M156" s="84" t="n">
        <f aca="false">1</f>
        <v>1</v>
      </c>
      <c r="N156" s="81" t="n">
        <f aca="false">1</f>
        <v>1</v>
      </c>
      <c r="O156" s="81" t="n">
        <f aca="false">1</f>
        <v>1</v>
      </c>
      <c r="P156" s="81" t="n">
        <f aca="false">1</f>
        <v>1</v>
      </c>
      <c r="Q156" s="81" t="n">
        <f aca="false">1</f>
        <v>1</v>
      </c>
      <c r="R156" s="83" t="n">
        <f aca="false">INDEX(in_sel_damage,1,C156)</f>
        <v>0.015</v>
      </c>
      <c r="S156" s="83" t="n">
        <f aca="false">INDEX(in_mkt_dist_margin,1,C156)</f>
        <v>0.25</v>
      </c>
      <c r="T156" s="83" t="n">
        <f aca="false">INDEX(in_mkt_eflute_disc,1,C156)</f>
        <v>0.2</v>
      </c>
      <c r="U156" s="82" t="n">
        <f aca="false">INDEX(in_sel_credit_days,1,C156)</f>
        <v>45</v>
      </c>
      <c r="V156" s="81" t="n">
        <f aca="false">1</f>
        <v>1</v>
      </c>
      <c r="W156" s="83" t="n">
        <f aca="false">INDEX(in_sel_commission,1,C156)</f>
        <v>0.05</v>
      </c>
      <c r="X156" s="82" t="n">
        <f aca="false">1</f>
        <v>1</v>
      </c>
      <c r="Y156" s="85" t="n">
        <f aca="false">INDEX(cfg_u_3464,D156,C156)*O156</f>
        <v>25800</v>
      </c>
      <c r="Z156" s="85" t="n">
        <f aca="false">INDEX(cfg_u_3463,D156,C156)*O156</f>
        <v>25800</v>
      </c>
      <c r="AA156" s="85" t="n">
        <f aca="false">INDEX(cfg_u_3460,D156,C156)*O156</f>
        <v>25800</v>
      </c>
      <c r="AB156" s="85" t="n">
        <f aca="false">Y156+Z156+AA156</f>
        <v>77400</v>
      </c>
      <c r="AC156" s="86" t="n">
        <f aca="false">Y156*INDEX(lg_vpu_3464,C156)</f>
        <v>18.3539136</v>
      </c>
      <c r="AD156" s="86" t="n">
        <f aca="false">Z156*INDEX(lg_vpu_3463,C156)</f>
        <v>22.4530176</v>
      </c>
      <c r="AE156" s="86" t="n">
        <f aca="false">AA156*INDEX(lg_vpu_3460,C156)</f>
        <v>14.6676096</v>
      </c>
      <c r="AF156" s="86" t="n">
        <f aca="false">AC156+AD156+AE156</f>
        <v>55.4745408</v>
      </c>
      <c r="AG156" s="85" t="n">
        <f aca="false">Y156*INDEX(lg_kpu_3464,C156)+Z156*INDEX(lg_kpu_3463,C156)+AA156*INDEX(lg_kpu_3460,C156)</f>
        <v>13341.3537888</v>
      </c>
      <c r="AH156" s="87" t="n">
        <f aca="false">INDEX(in_sup_requote,1,C156)</f>
        <v>0</v>
      </c>
      <c r="AI156" s="88" t="n">
        <f aca="false">Y156*q_price_3464*(1+AH156)*J156/I156</f>
        <v>4426.56137832017</v>
      </c>
      <c r="AJ156" s="88" t="n">
        <f aca="false">Z156*q_price_3463*(1+AH156)*J156/I156</f>
        <v>4180.49430827607</v>
      </c>
      <c r="AK156" s="88" t="n">
        <f aca="false">AA156*q_price_3460*(1+AH156)*J156/I156</f>
        <v>3651.31781355758</v>
      </c>
      <c r="AL156" s="88" t="n">
        <f aca="false">AI156+AJ156+AK156</f>
        <v>12258.3735001538</v>
      </c>
      <c r="AM156" s="88" t="n">
        <f aca="false">IF(OR(K156=2,K156=3),AL156*INDEX(in_sup_vat_rate,1,C156),0)</f>
        <v>1716.17229002154</v>
      </c>
      <c r="AN156" s="88" t="n">
        <f aca="false">IF(K156=3,AM156,0)</f>
        <v>0</v>
      </c>
      <c r="AO156" s="88" t="n">
        <f aca="false">INDEX(in_sup_tooling_egp,1,C156)/I156</f>
        <v>0</v>
      </c>
      <c r="AP156" s="88" t="n">
        <f aca="false">IF(F156=4,INDEX(in_ori_lcl_truck,1,C156)*V156/I156+INDEX(in_ori_lcl_cfs_o,1,C156),G156*(IF(F156=1,INDEX(in_ori_truck_20,1,C156),INDEX(in_ori_truck_40,1,C156))*V156/I156+INDEX(in_ori_terminal,1,C156)+IF(F156=1,INDEX(in_ori_othc_20,1,C156),INDEX(in_ori_othc_40,1,C156))*(1-INDEX(in_ori_othc_in_freight,1,C156))+INDEX(in_ori_seal,1,C156)+INDEX(in_ori_inspection,1,C156)+INDEX(in_ori_dd_days,1,C156)*IF(F156=1,INDEX(in_ori_dd_20,1,C156),INDEX(in_ori_dd_40,1,C156))+INDEX(in_ori_loading_egp,1,C156)/I156))</f>
        <v>577.150035893754</v>
      </c>
      <c r="AQ156" s="88" t="n">
        <f aca="false">(INDEX(in_ori_clearance,1,C156)+INDEX(in_ori_coo,1,C156))/I156+INDEX(in_ori_bl_fee,1,C156)+INDEX(in_ori_fwd_fee,1,C156)+INDEX(in_ori_qc,1,C156)+INDEX(in_ori_wires,1,C156)*INDEX(in_ori_wire_fee,1,C156)</f>
        <v>828.575017946877</v>
      </c>
      <c r="AR156" s="88" t="n">
        <f aca="false">AP156+AQ156</f>
        <v>1405.72505384063</v>
      </c>
      <c r="AS156" s="85" t="n">
        <f aca="false">INDEX(tbl_port_diff,H156,C156)</f>
        <v>0</v>
      </c>
      <c r="AT156" s="88" t="n">
        <f aca="false">IF(F156=4,MAX(AF156*INDEX(in_oce_lcl_factor,1,C156),AG156/1000,1)*INDEX(in_oce_lcl_rate,1,C156)*M156,G156*(INDEX(tbl_ocean_rate,MIN(F156,3),C156)+AS156)*M156)</f>
        <v>4000</v>
      </c>
      <c r="AU156" s="88" t="n">
        <f aca="false">AT156+INDEX(in_oce_ams,1,C156)</f>
        <v>4035</v>
      </c>
      <c r="AV156" s="88" t="n">
        <f aca="false">AI156*(1+IF(K156=3,INDEX(in_sup_vat_rate,1,C156),0))+AO156*Y156/AB156</f>
        <v>4426.56137832017</v>
      </c>
      <c r="AW156" s="88" t="n">
        <f aca="false">AJ156*(1+IF(K156=3,INDEX(in_sup_vat_rate,1,C156),0))+AO156*Z156/AB156</f>
        <v>4180.49430827607</v>
      </c>
      <c r="AX156" s="88" t="n">
        <f aca="false">AK156*(1+IF(K156=3,INDEX(in_sup_vat_rate,1,C156),0))+AO156*AA156/AB156</f>
        <v>3651.31781355758</v>
      </c>
      <c r="AY156" s="88" t="n">
        <f aca="false">AV156+AW156+AX156</f>
        <v>12258.3735001538</v>
      </c>
      <c r="AZ156" s="88" t="n">
        <f aca="false">MAX(INDEX(in_oce_ins_min,1,C156),INDEX(in_oce_ins_rate,1,C156)*(1+INDEX(in_oce_ins_uplift,1,C156))*(AL156+AO156+AR156+AU156))*(1-INDEX(in_oce_ins_in_other,1,C156))</f>
        <v>75</v>
      </c>
      <c r="BA156" s="87" t="n">
        <f aca="false">INDEX(in_cus_mfn,1,C156)+L156</f>
        <v>0.125</v>
      </c>
      <c r="BB156" s="88" t="n">
        <f aca="false">AY156*BA156</f>
        <v>1532.29668751923</v>
      </c>
      <c r="BC156" s="88" t="n">
        <f aca="false">MIN(MAX(AY156*INDEX(in_cus_mpf_rate,1,C156),INDEX(in_cus_mpf_min,1,C156)),INDEX(in_cus_mpf_max,1,C156))</f>
        <v>42.4630058045329</v>
      </c>
      <c r="BD156" s="88" t="n">
        <f aca="false">AY156*INDEX(in_cus_hmf,1,C156)</f>
        <v>15.3229668751923</v>
      </c>
      <c r="BE156" s="88" t="n">
        <f aca="false">MAX(INDEX(in_cus_stb_min,1,C156),INDEX(in_cus_stb_rate,1,C156)/1000*(AY156+BB156+BC156+BD156))</f>
        <v>83.0907369621167</v>
      </c>
      <c r="BF156" s="88" t="n">
        <f aca="false">INDEX(in_cus_broker,1,C156)+INDEX(in_cus_isf,1,C156)+INDEX(in_cus_do_fee,1,C156)+BE156+INDEX(in_cus_isf_bond,1,C156)</f>
        <v>518.090736962117</v>
      </c>
      <c r="BG156" s="88" t="n">
        <f aca="false">IF(H156=1,INDEX(in_cus_cfc,1,C156)*INDEX(ct_teu,F156)*G156*(1-INDEX(in_cus_cfc_in_freight,1,C156)),0)</f>
        <v>29.6</v>
      </c>
      <c r="BH156" s="88" t="n">
        <f aca="false">IF(F156=4,1,G156)*(INDEX(in_cus_exam,1,C156)+INDEX(in_cus_exam_dray,1,C156))</f>
        <v>0</v>
      </c>
      <c r="BI156" s="88" t="n">
        <f aca="false">IF(F156=4,1,G156)*INDEX(in_cus_dem_days,1,C156)*INDEX(in_cus_dem_rate,1,C156)</f>
        <v>0</v>
      </c>
      <c r="BJ156" s="88" t="n">
        <f aca="false">BG156+BH156+BI156</f>
        <v>29.6</v>
      </c>
      <c r="BK156" s="88" t="n">
        <f aca="false">IF(F156=4,(INDEX(in_dra_lcl_cfs_d,1,C156)+INDEX(in_dra_lcl_deliv,1,C156))*P156,G156*(INDEX(tbl_dest_line,E156,C156)*P156*(1+INDEX(in_dra_fsc,1,C156))+INDEX(tbl_dest_tolls,E156,C156)+INDEX(in_dra_chassis_days,1,C156)*INDEX(tbl_dest_chassis,E156,C156)*(1-INDEX(in_dra_chassis_in_dray,1,C156))+INDEX(in_dra_wait_hours,1,C156)*INDEX(in_dra_wait_rate,1,C156)+INDEX(in_dra_split,1,C156)+INDEX(in_dra_prepull,1,C156)+INDEX(in_dra_dryrun,1,C156)))</f>
        <v>1060</v>
      </c>
      <c r="BL156" s="88" t="n">
        <f aca="false">IF(F156=4,0,G156*IF(F156=1,INDEX(in_dra_unload_20,1,C156),INDEX(in_dra_unload_40,1,C156))*Q156*(1-INDEX(in_dra_unload_in_dray,1,C156)))</f>
        <v>450</v>
      </c>
      <c r="BM156" s="88" t="n">
        <f aca="false">AL156+AN156+AO156+AR156+AU156+AZ156+BB156+BC156+BD156+BF156+BJ156+BK156+BL156</f>
        <v>21421.8719511555</v>
      </c>
      <c r="BN156" s="88" t="n">
        <f aca="false">AP156+AU156+BJ156+BK156+BL156</f>
        <v>6151.75003589376</v>
      </c>
      <c r="BO156" s="88" t="n">
        <f aca="false">AQ156+BF156</f>
        <v>1346.66575490899</v>
      </c>
      <c r="BP156" s="88" t="n">
        <f aca="false">AI156*(1+IF(K156=3,INDEX(in_sup_vat_rate,1,C156),0))+AO156*Y156/AB156+AV156*BA156+(BC156+BD156)*AV156/AY156+AZ156*AI156/AL156+BN156*AC156/AF156+BO156*Y156/AB156</f>
        <v>7512.04426884922</v>
      </c>
      <c r="BQ156" s="88" t="n">
        <f aca="false">AJ156*(1+IF(K156=3,INDEX(in_sup_vat_rate,1,C156),0))+AO156*Z156/AB156+AW156*BA156+(BC156+BD156)*AW156/AY156+AZ156*AJ156/AL156+BN156*AD156/AF156+BO156*Z156/AB156</f>
        <v>7687.11616142235</v>
      </c>
      <c r="BR156" s="88" t="n">
        <f aca="false">AK156*(1+IF(K156=3,INDEX(in_sup_vat_rate,1,C156),0))+AO156*AA156/AB156+AX156*BA156+(BC156+BD156)*AX156/AY156+AZ156*AK156/AL156+BN156*AE156/AF156+BO156*AA156/AB156</f>
        <v>6222.71152088396</v>
      </c>
      <c r="BS156" s="89" t="n">
        <f aca="false">BP156+BQ156+BR156-BM156</f>
        <v>0</v>
      </c>
      <c r="BT156" s="85" t="n">
        <f aca="false">Y156*(1-R156)</f>
        <v>25413</v>
      </c>
      <c r="BU156" s="85" t="n">
        <f aca="false">Z156*(1-R156)</f>
        <v>25413</v>
      </c>
      <c r="BV156" s="85" t="n">
        <f aca="false">AA156*(1-R156)</f>
        <v>25413</v>
      </c>
      <c r="BW156" s="85" t="n">
        <f aca="false">BT156+BU156+BV156</f>
        <v>76239</v>
      </c>
      <c r="BX156" s="90" t="n">
        <f aca="false">IF(BT156&gt;0,BP156/BT156,0)</f>
        <v>0.295598483801567</v>
      </c>
      <c r="BY156" s="90" t="n">
        <f aca="false">IF(BU156&gt;0,BQ156/BU156,0)</f>
        <v>0.302487552096264</v>
      </c>
      <c r="BZ156" s="90" t="n">
        <f aca="false">IF(BV156&gt;0,BR156/BV156,0)</f>
        <v>0.24486331880864</v>
      </c>
      <c r="CA156" s="90" t="n">
        <f aca="false">INDEX(in_mkt_listing_3464,1,C156)*(1-IF(sku_flute_3464="B",T156,0))*(1-S156)*N156</f>
        <v>0.234</v>
      </c>
      <c r="CB156" s="90" t="n">
        <f aca="false">INDEX(in_mkt_listing_3463,1,C156)*(1-IF(sku_flute_3463="B",T156,0))*(1-S156)*N156</f>
        <v>0.27</v>
      </c>
      <c r="CC156" s="90" t="n">
        <f aca="false">INDEX(in_mkt_listing_3460,1,C156)*(1-IF(sku_flute_3460="B",T156,0))*(1-S156)*N156</f>
        <v>0.225</v>
      </c>
      <c r="CD156" s="88" t="n">
        <f aca="false">BT156*CA156+BU156*CB156+BV156*CC156</f>
        <v>18526.077</v>
      </c>
      <c r="CE156" s="88" t="n">
        <f aca="false">CD156-BM156</f>
        <v>-2895.79495115553</v>
      </c>
      <c r="CF156" s="87" t="n">
        <f aca="false">IF(CD156&gt;0,CE156/CD156,0)</f>
        <v>-0.156309128541111</v>
      </c>
      <c r="CG156" s="87" t="n">
        <f aca="false">W156+INDEX(in_sel_processing,1,C156)+INDEX(in_sel_bad_debt,1,C156)</f>
        <v>0.058</v>
      </c>
      <c r="CH156" s="88" t="n">
        <f aca="false">CD156*CG156</f>
        <v>1074.512466</v>
      </c>
      <c r="CI156" s="88" t="n">
        <f aca="false">INDEX(in_sel_testing,1,C156)*X156+INDEX(in_sel_admin,1,C156)</f>
        <v>3000</v>
      </c>
      <c r="CJ156" s="79" t="n">
        <f aca="false">INDEX(in_sup_lead_days,1,C156)</f>
        <v>21</v>
      </c>
      <c r="CK156" s="79" t="n">
        <f aca="false">CJ156+INDEX(in_oce_transit,1,C156)+IF(F156=4,INDEX(in_oce_lcl_extra_days,1,C156),0)</f>
        <v>51</v>
      </c>
      <c r="CL156" s="79" t="n">
        <f aca="false">CK156+2+INDEX(in_cus_dem_days,1,C156)</f>
        <v>53</v>
      </c>
      <c r="CM156" s="79" t="n">
        <f aca="false">CL156+U156</f>
        <v>98</v>
      </c>
      <c r="CN156" s="79" t="n">
        <f aca="false">CJ156+INDEX(in_sup_vat_lag,1,C156)</f>
        <v>81</v>
      </c>
      <c r="CO156" s="91" t="n">
        <f aca="false">INDEX(in_sup_advance,1,C156)</f>
        <v>0.5</v>
      </c>
      <c r="CP156" s="88" t="n">
        <f aca="false">CO156*(AL156+AM156)+AO156+INDEX(in_sel_testing,1,C156)*X156</f>
        <v>9487.27289508768</v>
      </c>
      <c r="CQ156" s="88" t="n">
        <f aca="false">(1-CO156)*(AL156+AM156)+AR156+AU156+AZ156</f>
        <v>12502.9979489283</v>
      </c>
      <c r="CR156" s="88" t="n">
        <f aca="false">BB156+BC156+BD156+BF156+BJ156</f>
        <v>2137.77339716107</v>
      </c>
      <c r="CS156" s="88" t="n">
        <f aca="false">BK156+BL156</f>
        <v>1510</v>
      </c>
      <c r="CT156" s="88" t="n">
        <f aca="false">IF(K156=2,AM156,0)</f>
        <v>1716.17229002154</v>
      </c>
      <c r="CU156" s="85" t="n">
        <f aca="false">IF(K156=2,CO156*AM156*(CN156-0)+(1-CO156)*AM156*(CN156-CJ156),0)</f>
        <v>120990.146446518</v>
      </c>
      <c r="CV156" s="85" t="n">
        <f aca="false">(CP156-CO156*CT156)*(CM156-0)+(CQ156-(1-CO156)*CT156)*(CM156-CJ156)+CR156*(CM156-CK156)+CS156*(CM156-CL156)</f>
        <v>1910743.86007576</v>
      </c>
      <c r="CW156" s="88" t="n">
        <f aca="false">INDEX(in_sel_fin_rate,1,C156)/365*(CU156+CV156)</f>
        <v>556.63945384172</v>
      </c>
      <c r="CX156" s="85" t="n">
        <f aca="false">CP156-IF(CN156&lt;=0,CT156,0)</f>
        <v>9487.27289508768</v>
      </c>
      <c r="CY156" s="85" t="n">
        <f aca="false">CP156+CQ156-IF(CN156&lt;=CJ156,CT156,0)</f>
        <v>21990.270844016</v>
      </c>
      <c r="CZ156" s="85" t="n">
        <f aca="false">CP156+CQ156+CR156-IF(CN156&lt;=CK156,CT156,0)</f>
        <v>24128.0442411771</v>
      </c>
      <c r="DA156" s="85" t="n">
        <f aca="false">CP156+CQ156+CR156+CS156-IF(CN156&lt;=CL156,CT156,0)</f>
        <v>25638.0442411771</v>
      </c>
      <c r="DB156" s="88" t="n">
        <f aca="false">MAX(CX156,CY156,CZ156,DA156)</f>
        <v>25638.0442411771</v>
      </c>
      <c r="DC156" s="88" t="n">
        <f aca="false">CP156+CQ156+CR156+CS156</f>
        <v>25638.0442411771</v>
      </c>
      <c r="DD156" s="88" t="n">
        <f aca="false">CE156-CH156-CI156-CW156</f>
        <v>-7526.94687099725</v>
      </c>
      <c r="DE156" s="87" t="n">
        <f aca="false">IF(CD156&gt;0,DD156/CD156,0)</f>
        <v>-0.406289300805413</v>
      </c>
      <c r="DF156" s="86" t="n">
        <f aca="false">IF(CD156&gt;0,(BM156+CI156+CW156)/(CD156*(1-CG156)),0)</f>
        <v>1.43130499023929</v>
      </c>
      <c r="DG156" s="90" t="n">
        <f aca="false">IF(BW156&gt;0,BM156/BW156,0)</f>
        <v>0.28098311823549</v>
      </c>
      <c r="DH156" s="90" t="n">
        <f aca="false">IF(BW156&gt;0,CD156/BW156,0)</f>
        <v>0.243</v>
      </c>
      <c r="DI156" s="90" t="n">
        <f aca="false">IF(AI156&gt;0,(AI156*IF(K156=3,INDEX(in_sup_vat_rate,1,C156),0)+AV156*BA156+(BC156+BD156)*AV156/AY156+AZ156*AI156/AL156)/AI156,0)</f>
        <v>0.135832266831979</v>
      </c>
      <c r="DJ156" s="90" t="n">
        <f aca="false">IF(AJ156&gt;0,(AJ156*IF(K156=3,INDEX(in_sup_vat_rate,1,C156),0)+AW156*BA156+(BC156+BD156)*AW156/AY156+AZ156*AJ156/AL156)/AJ156,0)</f>
        <v>0.135832266831979</v>
      </c>
      <c r="DK156" s="90" t="n">
        <f aca="false">IF(AK156&gt;0,(AK156*IF(K156=3,INDEX(in_sup_vat_rate,1,C156),0)+AX156*BA156+(BC156+BD156)*AX156/AY156+AZ156*AK156/AL156)/AK156,0)</f>
        <v>0.135832266831979</v>
      </c>
      <c r="DL156" s="90" t="n">
        <f aca="false">IF(Y156&gt;0,(BP156-AI156*(1+DI156))/Y156,0)</f>
        <v>0.0962873265209663</v>
      </c>
      <c r="DM156" s="90" t="n">
        <f aca="false">IF(Z156&gt;0,(BQ156-AJ156*(1+DJ156))/Z156,0)</f>
        <v>0.113906040107556</v>
      </c>
      <c r="DN156" s="90" t="n">
        <f aca="false">IF(AA156&gt;0,(BR156-AK156*(1+DK156))/AA156,0)</f>
        <v>0.0804429043328244</v>
      </c>
      <c r="DO156" s="86" t="n">
        <f aca="false">IF(Y156&gt;0,(CA156*(1-thr_gm_go)*(1-R156)-DL156)/(1+DI156)*I156/((1+AH156)*J156),"")</f>
        <v>3.28716348971499</v>
      </c>
      <c r="DP156" s="86" t="n">
        <f aca="false">IF(Z156&gt;0,(CB156*(1-thr_gm_go)*(1-R156)-DM156)/(1+DJ156)*I156/((1+AH156)*J156),"")</f>
        <v>3.67246584188927</v>
      </c>
      <c r="DQ156" s="86" t="n">
        <f aca="false">IF(AA156&gt;0,(CC156*(1-thr_gm_go)*(1-R156)-DN156)/(1+DK156)*I156/((1+AH156)*J156),"")</f>
        <v>3.68188286036937</v>
      </c>
      <c r="DR156" s="92" t="n">
        <f aca="false">IF(AND(AY156*INDEX(in_cus_mpf_rate,1,C156)&gt;INDEX(in_cus_mpf_min,1,C156),AY156*INDEX(in_cus_mpf_rate,1,C156)&lt;INDEX(in_cus_mpf_max,1,C156)),INDEX(in_cus_mpf_rate,1,C156),0)</f>
        <v>0.003464</v>
      </c>
      <c r="DS156" s="88" t="n">
        <f aca="false">IF(AZ156&gt;INDEX(in_oce_ins_min,1,C156),INDEX(in_oce_ins_rate,1,C156)*(1+INDEX(in_oce_ins_uplift,1,C156))*AL156,0)</f>
        <v>0</v>
      </c>
      <c r="DT156" s="88" t="n">
        <f aca="false">(AL156+AN156)*(1+BA156+INDEX(in_cus_hmf,1,C156)+DR156)+DS156</f>
        <v>13848.4561603528</v>
      </c>
      <c r="DU156" s="86" t="n">
        <f aca="false">IF(DT156&gt;0,(CD156*(1-thr_gm_go)-(BM156-DT156))/DT156,0)</f>
        <v>0.456451021399358</v>
      </c>
      <c r="DV156" s="86" t="n">
        <f aca="false">IF(DT156&gt;0,(CD156-(BM156-DT156))/DT156,0)</f>
        <v>0.790894023303045</v>
      </c>
      <c r="DW156" s="87" t="n">
        <f aca="false">(1+AH156)*J156*DU156-1</f>
        <v>-0.543548978600642</v>
      </c>
      <c r="DX156" s="87" t="n">
        <f aca="false">(1+AH156)*J156*DV156-1</f>
        <v>-0.209105976696955</v>
      </c>
      <c r="DY156" s="85" t="n">
        <f aca="false">IF(G156&gt;0,(CD156*(1-thr_gm_go)-(BM156-AT156))/G156,"")</f>
        <v>-3527.31420115553</v>
      </c>
      <c r="DZ156" s="90" t="n">
        <f aca="false">IF(AB156&gt;0,(AL156+AN156+BB156+BC156+BD156)/AB156,0)</f>
        <v>0.17892062222678</v>
      </c>
      <c r="EA156" s="88" t="n">
        <f aca="false">BM156-DZ156*AB156</f>
        <v>7573.41579080275</v>
      </c>
      <c r="EB156" s="90" t="n">
        <f aca="false">IF(AB156&gt;0,CD156/AB156,0)</f>
        <v>0.239355</v>
      </c>
      <c r="EC156" s="85" t="n">
        <f aca="false">IF(EB156*(1-thr_gm_go)-DZ156&gt;0,EA156/(EB156*(1-thr_gm_go)-DZ156),"n/a")</f>
        <v>12715014.5297324</v>
      </c>
      <c r="ED156" s="85" t="n">
        <f aca="false">IF(EB156-DZ156&gt;0,EA156/(EB156-DZ156),"n/a")</f>
        <v>125316.352543945</v>
      </c>
      <c r="EE156" s="93" t="b">
        <f aca="false">INDEX(cfg_fits,D156,C156)</f>
        <v>1</v>
      </c>
      <c r="EF156" s="87" t="n">
        <f aca="false">IF(F156=4,"",INDEX(cfg_lenutil,D156,C156))</f>
        <v>0.999580888516345</v>
      </c>
      <c r="EG156" s="31" t="str">
        <f aca="false">IF(O156&gt;1,"Check fit (units scaled up)","")</f>
        <v/>
      </c>
    </row>
    <row r="157" customFormat="false" ht="15" hidden="false" customHeight="false" outlineLevel="0" collapsed="false">
      <c r="A157" s="78" t="n">
        <v>900003</v>
      </c>
      <c r="B157" s="9" t="s">
        <v>3305</v>
      </c>
      <c r="C157" s="10" t="n">
        <f aca="false">sel_scen</f>
        <v>2</v>
      </c>
      <c r="D157" s="10" t="n">
        <f aca="false">sel_cfg</f>
        <v>4</v>
      </c>
      <c r="E157" s="10" t="n">
        <f aca="false">sel_dest</f>
        <v>1</v>
      </c>
      <c r="F157" s="79" t="n">
        <f aca="false">INDEX(cfg_ct,D157)</f>
        <v>3</v>
      </c>
      <c r="G157" s="79" t="n">
        <f aca="false">INDEX(cfg_n,D157)</f>
        <v>1</v>
      </c>
      <c r="H157" s="79" t="n">
        <f aca="false">INDEX(dest_port,E157)</f>
        <v>1</v>
      </c>
      <c r="I157" s="80" t="n">
        <f aca="false">INDEX(in_fx_cbe,1,C157)*(1-INDEX(in_fx_spread,1,C157))</f>
        <v>52.7748</v>
      </c>
      <c r="J157" s="81" t="n">
        <f aca="false">1</f>
        <v>1</v>
      </c>
      <c r="K157" s="82" t="n">
        <f aca="false">INDEX(in_sup_vat_mode,1,C157)</f>
        <v>2</v>
      </c>
      <c r="L157" s="83" t="n">
        <f aca="false">INDEX(in_cus_s301,1,C157)</f>
        <v>0.125</v>
      </c>
      <c r="M157" s="77" t="n">
        <f aca="false">INDEX(in_oce_rate_hc,1,1)/INDEX(in_oce_rate_hc,1,2)</f>
        <v>0.725</v>
      </c>
      <c r="N157" s="81" t="n">
        <f aca="false">1</f>
        <v>1</v>
      </c>
      <c r="O157" s="81" t="n">
        <f aca="false">1</f>
        <v>1</v>
      </c>
      <c r="P157" s="81" t="n">
        <f aca="false">1</f>
        <v>1</v>
      </c>
      <c r="Q157" s="81" t="n">
        <f aca="false">1</f>
        <v>1</v>
      </c>
      <c r="R157" s="83" t="n">
        <f aca="false">INDEX(in_sel_damage,1,C157)</f>
        <v>0.015</v>
      </c>
      <c r="S157" s="83" t="n">
        <f aca="false">INDEX(in_mkt_dist_margin,1,C157)</f>
        <v>0.25</v>
      </c>
      <c r="T157" s="83" t="n">
        <f aca="false">INDEX(in_mkt_eflute_disc,1,C157)</f>
        <v>0.2</v>
      </c>
      <c r="U157" s="82" t="n">
        <f aca="false">INDEX(in_sel_credit_days,1,C157)</f>
        <v>45</v>
      </c>
      <c r="V157" s="81" t="n">
        <f aca="false">1</f>
        <v>1</v>
      </c>
      <c r="W157" s="83" t="n">
        <f aca="false">INDEX(in_sel_commission,1,C157)</f>
        <v>0.05</v>
      </c>
      <c r="X157" s="82" t="n">
        <f aca="false">1</f>
        <v>1</v>
      </c>
      <c r="Y157" s="85" t="n">
        <f aca="false">INDEX(cfg_u_3464,D157,C157)*O157</f>
        <v>25800</v>
      </c>
      <c r="Z157" s="85" t="n">
        <f aca="false">INDEX(cfg_u_3463,D157,C157)*O157</f>
        <v>25800</v>
      </c>
      <c r="AA157" s="85" t="n">
        <f aca="false">INDEX(cfg_u_3460,D157,C157)*O157</f>
        <v>25800</v>
      </c>
      <c r="AB157" s="85" t="n">
        <f aca="false">Y157+Z157+AA157</f>
        <v>77400</v>
      </c>
      <c r="AC157" s="86" t="n">
        <f aca="false">Y157*INDEX(lg_vpu_3464,C157)</f>
        <v>18.3539136</v>
      </c>
      <c r="AD157" s="86" t="n">
        <f aca="false">Z157*INDEX(lg_vpu_3463,C157)</f>
        <v>22.4530176</v>
      </c>
      <c r="AE157" s="86" t="n">
        <f aca="false">AA157*INDEX(lg_vpu_3460,C157)</f>
        <v>14.6676096</v>
      </c>
      <c r="AF157" s="86" t="n">
        <f aca="false">AC157+AD157+AE157</f>
        <v>55.4745408</v>
      </c>
      <c r="AG157" s="85" t="n">
        <f aca="false">Y157*INDEX(lg_kpu_3464,C157)+Z157*INDEX(lg_kpu_3463,C157)+AA157*INDEX(lg_kpu_3460,C157)</f>
        <v>13341.3537888</v>
      </c>
      <c r="AH157" s="87" t="n">
        <f aca="false">INDEX(in_sup_requote,1,C157)</f>
        <v>0</v>
      </c>
      <c r="AI157" s="88" t="n">
        <f aca="false">Y157*q_price_3464*(1+AH157)*J157/I157</f>
        <v>4089.39493849337</v>
      </c>
      <c r="AJ157" s="88" t="n">
        <f aca="false">Z157*q_price_3463*(1+AH157)*J157/I157</f>
        <v>3862.07053366379</v>
      </c>
      <c r="AK157" s="88" t="n">
        <f aca="false">AA157*q_price_3460*(1+AH157)*J157/I157</f>
        <v>3373.20084585825</v>
      </c>
      <c r="AL157" s="88" t="n">
        <f aca="false">AI157+AJ157+AK157</f>
        <v>11324.6663180154</v>
      </c>
      <c r="AM157" s="88" t="n">
        <f aca="false">IF(OR(K157=2,K157=3),AL157*INDEX(in_sup_vat_rate,1,C157),0)</f>
        <v>1585.45328452216</v>
      </c>
      <c r="AN157" s="88" t="n">
        <f aca="false">IF(K157=3,AM157,0)</f>
        <v>0</v>
      </c>
      <c r="AO157" s="88" t="n">
        <f aca="false">INDEX(in_sup_tooling_egp,1,C157)/I157</f>
        <v>0</v>
      </c>
      <c r="AP157" s="88" t="n">
        <f aca="false">IF(F157=4,INDEX(in_ori_lcl_truck,1,C157)*V157/I157+INDEX(in_ori_lcl_cfs_o,1,C157),G157*(IF(F157=1,INDEX(in_ori_truck_20,1,C157),INDEX(in_ori_truck_40,1,C157))*V157/I157+INDEX(in_ori_terminal,1,C157)+IF(F157=1,INDEX(in_ori_othc_20,1,C157),INDEX(in_ori_othc_40,1,C157))*(1-INDEX(in_ori_othc_in_freight,1,C157))+INDEX(in_ori_seal,1,C157)+INDEX(in_ori_inspection,1,C157)+INDEX(in_ori_dd_days,1,C157)*IF(F157=1,INDEX(in_ori_dd_20,1,C157),INDEX(in_ori_dd_40,1,C157))+INDEX(in_ori_loading_egp,1,C157)/I157))</f>
        <v>555.278125165799</v>
      </c>
      <c r="AQ157" s="88" t="n">
        <f aca="false">(INDEX(in_ori_clearance,1,C157)+INDEX(in_ori_coo,1,C157))/I157+INDEX(in_ori_bl_fee,1,C157)+INDEX(in_ori_fwd_fee,1,C157)+INDEX(in_ori_qc,1,C157)+INDEX(in_ori_wires,1,C157)*INDEX(in_ori_wire_fee,1,C157)</f>
        <v>817.639062582899</v>
      </c>
      <c r="AR157" s="88" t="n">
        <f aca="false">AP157+AQ157</f>
        <v>1372.9171877487</v>
      </c>
      <c r="AS157" s="85" t="n">
        <f aca="false">INDEX(tbl_port_diff,H157,C157)</f>
        <v>0</v>
      </c>
      <c r="AT157" s="88" t="n">
        <f aca="false">IF(F157=4,MAX(AF157*INDEX(in_oce_lcl_factor,1,C157),AG157/1000,1)*INDEX(in_oce_lcl_rate,1,C157)*M157,G157*(INDEX(tbl_ocean_rate,MIN(F157,3),C157)+AS157)*M157)</f>
        <v>2900</v>
      </c>
      <c r="AU157" s="88" t="n">
        <f aca="false">AT157+INDEX(in_oce_ams,1,C157)</f>
        <v>2935</v>
      </c>
      <c r="AV157" s="88" t="n">
        <f aca="false">AI157*(1+IF(K157=3,INDEX(in_sup_vat_rate,1,C157),0))+AO157*Y157/AB157</f>
        <v>4089.39493849337</v>
      </c>
      <c r="AW157" s="88" t="n">
        <f aca="false">AJ157*(1+IF(K157=3,INDEX(in_sup_vat_rate,1,C157),0))+AO157*Z157/AB157</f>
        <v>3862.07053366379</v>
      </c>
      <c r="AX157" s="88" t="n">
        <f aca="false">AK157*(1+IF(K157=3,INDEX(in_sup_vat_rate,1,C157),0))+AO157*AA157/AB157</f>
        <v>3373.20084585825</v>
      </c>
      <c r="AY157" s="88" t="n">
        <f aca="false">AV157+AW157+AX157</f>
        <v>11324.6663180154</v>
      </c>
      <c r="AZ157" s="88" t="n">
        <f aca="false">MAX(INDEX(in_oce_ins_min,1,C157),INDEX(in_oce_ins_rate,1,C157)*(1+INDEX(in_oce_ins_uplift,1,C157))*(AL157+AO157+AR157+AU157))*(1-INDEX(in_oce_ins_in_other,1,C157))</f>
        <v>75</v>
      </c>
      <c r="BA157" s="87" t="n">
        <f aca="false">INDEX(in_cus_mfn,1,C157)+L157</f>
        <v>0.125</v>
      </c>
      <c r="BB157" s="88" t="n">
        <f aca="false">AY157*BA157</f>
        <v>1415.58328975193</v>
      </c>
      <c r="BC157" s="88" t="n">
        <f aca="false">MIN(MAX(AY157*INDEX(in_cus_mpf_rate,1,C157),INDEX(in_cus_mpf_min,1,C157)),INDEX(in_cus_mpf_max,1,C157))</f>
        <v>39.2286441256054</v>
      </c>
      <c r="BD157" s="88" t="n">
        <f aca="false">AY157*INDEX(in_cus_hmf,1,C157)</f>
        <v>14.1558328975193</v>
      </c>
      <c r="BE157" s="88" t="n">
        <f aca="false">MAX(INDEX(in_cus_stb_min,1,C157),INDEX(in_cus_stb_rate,1,C157)/1000*(AY157+BB157+BC157+BD157))</f>
        <v>76.7618045087428</v>
      </c>
      <c r="BF157" s="88" t="n">
        <f aca="false">INDEX(in_cus_broker,1,C157)+INDEX(in_cus_isf,1,C157)+INDEX(in_cus_do_fee,1,C157)+BE157+INDEX(in_cus_isf_bond,1,C157)</f>
        <v>511.761804508743</v>
      </c>
      <c r="BG157" s="88" t="n">
        <f aca="false">IF(H157=1,INDEX(in_cus_cfc,1,C157)*INDEX(ct_teu,F157)*G157*(1-INDEX(in_cus_cfc_in_freight,1,C157)),0)</f>
        <v>29.6</v>
      </c>
      <c r="BH157" s="88" t="n">
        <f aca="false">IF(F157=4,1,G157)*(INDEX(in_cus_exam,1,C157)+INDEX(in_cus_exam_dray,1,C157))</f>
        <v>0</v>
      </c>
      <c r="BI157" s="88" t="n">
        <f aca="false">IF(F157=4,1,G157)*INDEX(in_cus_dem_days,1,C157)*INDEX(in_cus_dem_rate,1,C157)</f>
        <v>0</v>
      </c>
      <c r="BJ157" s="88" t="n">
        <f aca="false">BG157+BH157+BI157</f>
        <v>29.6</v>
      </c>
      <c r="BK157" s="88" t="n">
        <f aca="false">IF(F157=4,(INDEX(in_dra_lcl_cfs_d,1,C157)+INDEX(in_dra_lcl_deliv,1,C157))*P157,G157*(INDEX(tbl_dest_line,E157,C157)*P157*(1+INDEX(in_dra_fsc,1,C157))+INDEX(tbl_dest_tolls,E157,C157)+INDEX(in_dra_chassis_days,1,C157)*INDEX(tbl_dest_chassis,E157,C157)*(1-INDEX(in_dra_chassis_in_dray,1,C157))+INDEX(in_dra_wait_hours,1,C157)*INDEX(in_dra_wait_rate,1,C157)+INDEX(in_dra_split,1,C157)+INDEX(in_dra_prepull,1,C157)+INDEX(in_dra_dryrun,1,C157)))</f>
        <v>1060</v>
      </c>
      <c r="BL157" s="88" t="n">
        <f aca="false">IF(F157=4,0,G157*IF(F157=1,INDEX(in_dra_unload_20,1,C157),INDEX(in_dra_unload_40,1,C157))*Q157*(1-INDEX(in_dra_unload_in_dray,1,C157)))</f>
        <v>450</v>
      </c>
      <c r="BM157" s="88" t="n">
        <f aca="false">AL157+AN157+AO157+AR157+AU157+AZ157+BB157+BC157+BD157+BF157+BJ157+BK157+BL157</f>
        <v>19227.9130770479</v>
      </c>
      <c r="BN157" s="88" t="n">
        <f aca="false">AP157+AU157+BJ157+BK157+BL157</f>
        <v>5029.8781251658</v>
      </c>
      <c r="BO157" s="88" t="n">
        <f aca="false">AQ157+BF157</f>
        <v>1329.40086709164</v>
      </c>
      <c r="BP157" s="88" t="n">
        <f aca="false">AI157*(1+IF(K157=3,INDEX(in_sup_vat_rate,1,C157),0))+AO157*Y157/AB157+AV157*BA157+(BC157+BD157)*AV157/AY157+AZ157*AI157/AL157+BN157*AC157/AF157+BO157*Y157/AB157</f>
        <v>6754.21306554412</v>
      </c>
      <c r="BQ157" s="88" t="n">
        <f aca="false">AJ157*(1+IF(K157=3,INDEX(in_sup_vat_rate,1,C157),0))+AO157*Z157/AB157+AW157*BA157+(BC157+BD157)*AW157/AY157+AZ157*AJ157/AL157+BN157*AD157/AF157+BO157*Z157/AB157</f>
        <v>6867.56187019106</v>
      </c>
      <c r="BR157" s="88" t="n">
        <f aca="false">AK157*(1+IF(K157=3,INDEX(in_sup_vat_rate,1,C157),0))+AO157*AA157/AB157+AX157*BA157+(BC157+BD157)*AX157/AY157+AZ157*AK157/AL157+BN157*AE157/AF157+BO157*AA157/AB157</f>
        <v>5606.13814131273</v>
      </c>
      <c r="BS157" s="89" t="n">
        <f aca="false">BP157+BQ157+BR157-BM157</f>
        <v>0</v>
      </c>
      <c r="BT157" s="85" t="n">
        <f aca="false">Y157*(1-R157)</f>
        <v>25413</v>
      </c>
      <c r="BU157" s="85" t="n">
        <f aca="false">Z157*(1-R157)</f>
        <v>25413</v>
      </c>
      <c r="BV157" s="85" t="n">
        <f aca="false">AA157*(1-R157)</f>
        <v>25413</v>
      </c>
      <c r="BW157" s="85" t="n">
        <f aca="false">BT157+BU157+BV157</f>
        <v>76239</v>
      </c>
      <c r="BX157" s="90" t="n">
        <f aca="false">IF(BT157&gt;0,BP157/BT157,0)</f>
        <v>0.265777872173459</v>
      </c>
      <c r="BY157" s="90" t="n">
        <f aca="false">IF(BU157&gt;0,BQ157/BU157,0)</f>
        <v>0.2702381407229</v>
      </c>
      <c r="BZ157" s="90" t="n">
        <f aca="false">IF(BV157&gt;0,BR157/BV157,0)</f>
        <v>0.220601193928805</v>
      </c>
      <c r="CA157" s="90" t="n">
        <f aca="false">INDEX(in_mkt_listing_3464,1,C157)*(1-IF(sku_flute_3464="B",T157,0))*(1-S157)*N157</f>
        <v>0.234</v>
      </c>
      <c r="CB157" s="90" t="n">
        <f aca="false">INDEX(in_mkt_listing_3463,1,C157)*(1-IF(sku_flute_3463="B",T157,0))*(1-S157)*N157</f>
        <v>0.27</v>
      </c>
      <c r="CC157" s="90" t="n">
        <f aca="false">INDEX(in_mkt_listing_3460,1,C157)*(1-IF(sku_flute_3460="B",T157,0))*(1-S157)*N157</f>
        <v>0.225</v>
      </c>
      <c r="CD157" s="88" t="n">
        <f aca="false">BT157*CA157+BU157*CB157+BV157*CC157</f>
        <v>18526.077</v>
      </c>
      <c r="CE157" s="88" t="n">
        <f aca="false">CD157-BM157</f>
        <v>-701.836077047909</v>
      </c>
      <c r="CF157" s="87" t="n">
        <f aca="false">IF(CD157&gt;0,CE157/CD157,0)</f>
        <v>-0.0378836856312272</v>
      </c>
      <c r="CG157" s="87" t="n">
        <f aca="false">W157+INDEX(in_sel_processing,1,C157)+INDEX(in_sel_bad_debt,1,C157)</f>
        <v>0.058</v>
      </c>
      <c r="CH157" s="88" t="n">
        <f aca="false">CD157*CG157</f>
        <v>1074.512466</v>
      </c>
      <c r="CI157" s="88" t="n">
        <f aca="false">INDEX(in_sel_testing,1,C157)*X157+INDEX(in_sel_admin,1,C157)</f>
        <v>3000</v>
      </c>
      <c r="CJ157" s="79" t="n">
        <f aca="false">INDEX(in_sup_lead_days,1,C157)</f>
        <v>21</v>
      </c>
      <c r="CK157" s="79" t="n">
        <f aca="false">CJ157+INDEX(in_oce_transit,1,C157)+IF(F157=4,INDEX(in_oce_lcl_extra_days,1,C157),0)</f>
        <v>51</v>
      </c>
      <c r="CL157" s="79" t="n">
        <f aca="false">CK157+2+INDEX(in_cus_dem_days,1,C157)</f>
        <v>53</v>
      </c>
      <c r="CM157" s="79" t="n">
        <f aca="false">CL157+U157</f>
        <v>98</v>
      </c>
      <c r="CN157" s="79" t="n">
        <f aca="false">CJ157+INDEX(in_sup_vat_lag,1,C157)</f>
        <v>81</v>
      </c>
      <c r="CO157" s="91" t="n">
        <f aca="false">INDEX(in_sup_advance,1,C157)</f>
        <v>0.5</v>
      </c>
      <c r="CP157" s="88" t="n">
        <f aca="false">CO157*(AL157+AM157)+AO157+INDEX(in_sel_testing,1,C157)*X157</f>
        <v>8955.05980126879</v>
      </c>
      <c r="CQ157" s="88" t="n">
        <f aca="false">(1-CO157)*(AL157+AM157)+AR157+AU157+AZ157</f>
        <v>10837.9769890175</v>
      </c>
      <c r="CR157" s="88" t="n">
        <f aca="false">BB157+BC157+BD157+BF157+BJ157</f>
        <v>2010.32957128379</v>
      </c>
      <c r="CS157" s="88" t="n">
        <f aca="false">BK157+BL157</f>
        <v>1510</v>
      </c>
      <c r="CT157" s="88" t="n">
        <f aca="false">IF(K157=2,AM157,0)</f>
        <v>1585.45328452216</v>
      </c>
      <c r="CU157" s="85" t="n">
        <f aca="false">IF(K157=2,CO157*AM157*(CN157-0)+(1-CO157)*AM157*(CN157-CJ157),0)</f>
        <v>111774.456558812</v>
      </c>
      <c r="CV157" s="85" t="n">
        <f aca="false">(CP157-CO157*CT157)*(CM157-0)+(CQ157-(1-CO157)*CT157)*(CM157-CJ157)+CR157*(CM157-CK157)+CS157*(CM157-CL157)</f>
        <v>1735828.41613334</v>
      </c>
      <c r="CW157" s="88" t="n">
        <f aca="false">INDEX(in_sel_fin_rate,1,C157)/365*(CU157+CV157)</f>
        <v>506.192567860863</v>
      </c>
      <c r="CX157" s="85" t="n">
        <f aca="false">CP157-IF(CN157&lt;=0,CT157,0)</f>
        <v>8955.05980126879</v>
      </c>
      <c r="CY157" s="85" t="n">
        <f aca="false">CP157+CQ157-IF(CN157&lt;=CJ157,CT157,0)</f>
        <v>19793.0367902863</v>
      </c>
      <c r="CZ157" s="85" t="n">
        <f aca="false">CP157+CQ157+CR157-IF(CN157&lt;=CK157,CT157,0)</f>
        <v>21803.3663615701</v>
      </c>
      <c r="DA157" s="85" t="n">
        <f aca="false">CP157+CQ157+CR157+CS157-IF(CN157&lt;=CL157,CT157,0)</f>
        <v>23313.3663615701</v>
      </c>
      <c r="DB157" s="88" t="n">
        <f aca="false">MAX(CX157,CY157,CZ157,DA157)</f>
        <v>23313.3663615701</v>
      </c>
      <c r="DC157" s="88" t="n">
        <f aca="false">CP157+CQ157+CR157+CS157</f>
        <v>23313.3663615701</v>
      </c>
      <c r="DD157" s="88" t="n">
        <f aca="false">CE157-CH157-CI157-CW157</f>
        <v>-5282.54111090877</v>
      </c>
      <c r="DE157" s="87" t="n">
        <f aca="false">IF(CD157&gt;0,DD157/CD157,0)</f>
        <v>-0.285140837475131</v>
      </c>
      <c r="DF157" s="86" t="n">
        <f aca="false">IF(CD157&gt;0,(BM157+CI157+CW157)/(CD157*(1-CG157)),0)</f>
        <v>1.30269727969759</v>
      </c>
      <c r="DG157" s="90" t="n">
        <f aca="false">IF(BW157&gt;0,BM157/BW157,0)</f>
        <v>0.252205735608388</v>
      </c>
      <c r="DH157" s="90" t="n">
        <f aca="false">IF(BW157&gt;0,CD157/BW157,0)</f>
        <v>0.243</v>
      </c>
      <c r="DI157" s="90" t="n">
        <f aca="false">IF(AI157&gt;0,(AI157*IF(K157=3,INDEX(in_sup_vat_rate,1,C157),0)+AV157*BA157+(BC157+BD157)*AV157/AY157+AZ157*AI157/AL157)/AI157,0)</f>
        <v>0.136336711689146</v>
      </c>
      <c r="DJ157" s="90" t="n">
        <f aca="false">IF(AJ157&gt;0,(AJ157*IF(K157=3,INDEX(in_sup_vat_rate,1,C157),0)+AW157*BA157+(BC157+BD157)*AW157/AY157+AZ157*AJ157/AL157)/AJ157,0)</f>
        <v>0.136336711689146</v>
      </c>
      <c r="DK157" s="90" t="n">
        <f aca="false">IF(AK157&gt;0,(AK157*IF(K157=3,INDEX(in_sup_vat_rate,1,C157),0)+AX157*BA157+(BC157+BD157)*AX157/AY157+AZ157*AK157/AL157)/AK157,0)</f>
        <v>0.136336711689146</v>
      </c>
      <c r="DL157" s="90" t="n">
        <f aca="false">IF(Y157&gt;0,(BP157-AI157*(1+DI157))/Y157,0)</f>
        <v>0.0816776538115631</v>
      </c>
      <c r="DM157" s="90" t="n">
        <f aca="false">IF(Z157&gt;0,(BQ157-AJ157*(1+DJ157))/Z157,0)</f>
        <v>0.0960833077386045</v>
      </c>
      <c r="DN157" s="90" t="n">
        <f aca="false">IF(AA157&gt;0,(BR157-AK157*(1+DK157))/AA157,0)</f>
        <v>0.068722720320276</v>
      </c>
      <c r="DO157" s="86" t="n">
        <f aca="false">IF(Y157&gt;0,(CA157*(1-thr_gm_go)*(1-R157)-DL157)/(1+DI157)*I157/((1+AH157)*J157),"")</f>
        <v>4.23512313306483</v>
      </c>
      <c r="DP157" s="86" t="n">
        <f aca="false">IF(Z157&gt;0,(CB157*(1-thr_gm_go)*(1-R157)-DM157)/(1+DJ157)*I157/((1+AH157)*J157),"")</f>
        <v>4.80123201128186</v>
      </c>
      <c r="DQ157" s="86" t="n">
        <f aca="false">IF(AA157&gt;0,(CC157*(1-thr_gm_go)*(1-R157)-DN157)/(1+DK157)*I157/((1+AH157)*J157),"")</f>
        <v>4.52800073623692</v>
      </c>
      <c r="DR157" s="92" t="n">
        <f aca="false">IF(AND(AY157*INDEX(in_cus_mpf_rate,1,C157)&gt;INDEX(in_cus_mpf_min,1,C157),AY157*INDEX(in_cus_mpf_rate,1,C157)&lt;INDEX(in_cus_mpf_max,1,C157)),INDEX(in_cus_mpf_rate,1,C157),0)</f>
        <v>0.003464</v>
      </c>
      <c r="DS157" s="88" t="n">
        <f aca="false">IF(AZ157&gt;INDEX(in_oce_ins_min,1,C157),INDEX(in_oce_ins_rate,1,C157)*(1+INDEX(in_oce_ins_uplift,1,C157))*AL157,0)</f>
        <v>0</v>
      </c>
      <c r="DT157" s="88" t="n">
        <f aca="false">(AL157+AN157)*(1+BA157+INDEX(in_cus_hmf,1,C157)+DR157)+DS157</f>
        <v>12793.6340847905</v>
      </c>
      <c r="DU157" s="86" t="n">
        <f aca="false">IF(DT157&gt;0,(CD157*(1-thr_gm_go)-(BM157-DT157))/DT157,0)</f>
        <v>0.583124287305638</v>
      </c>
      <c r="DV157" s="86" t="n">
        <f aca="false">IF(DT157&gt;0,(CD157-(BM157-DT157))/DT157,0)</f>
        <v>0.945141773447915</v>
      </c>
      <c r="DW157" s="87" t="n">
        <f aca="false">(1+AH157)*J157*DU157-1</f>
        <v>-0.416875712694362</v>
      </c>
      <c r="DX157" s="87" t="n">
        <f aca="false">(1+AH157)*J157*DV157-1</f>
        <v>-0.0548582265520847</v>
      </c>
      <c r="DY157" s="85" t="n">
        <f aca="false">IF(G157&gt;0,(CD157*(1-thr_gm_go)-(BM157-AT157))/G157,"")</f>
        <v>-2433.35532704791</v>
      </c>
      <c r="DZ157" s="90" t="n">
        <f aca="false">IF(AB157&gt;0,(AL157+AN157+BB157+BC157+BD157)/AB157,0)</f>
        <v>0.165292430036053</v>
      </c>
      <c r="EA157" s="88" t="n">
        <f aca="false">BM157-DZ157*AB157</f>
        <v>6434.27899225744</v>
      </c>
      <c r="EB157" s="90" t="n">
        <f aca="false">IF(AB157&gt;0,CD157/AB157,0)</f>
        <v>0.239355</v>
      </c>
      <c r="EC157" s="85" t="n">
        <f aca="false">IF(EB157*(1-thr_gm_go)-DZ157&gt;0,EA157/(EB157*(1-thr_gm_go)-DZ157),"n/a")</f>
        <v>452359.423035876</v>
      </c>
      <c r="ED157" s="85" t="n">
        <f aca="false">IF(EB157-DZ157&gt;0,EA157/(EB157-DZ157),"n/a")</f>
        <v>86876.2587551249</v>
      </c>
      <c r="EE157" s="93" t="b">
        <f aca="false">INDEX(cfg_fits,D157,C157)</f>
        <v>1</v>
      </c>
      <c r="EF157" s="87" t="n">
        <f aca="false">IF(F157=4,"",INDEX(cfg_lenutil,D157,C157))</f>
        <v>0.999580888516345</v>
      </c>
      <c r="EG157" s="31" t="str">
        <f aca="false">IF(O157&gt;1,"Check fit (units scaled up)","")</f>
        <v/>
      </c>
    </row>
    <row r="158" customFormat="false" ht="15" hidden="false" customHeight="false" outlineLevel="0" collapsed="false">
      <c r="A158" s="78" t="n">
        <v>900004</v>
      </c>
      <c r="B158" s="9" t="s">
        <v>3306</v>
      </c>
      <c r="C158" s="10" t="n">
        <f aca="false">sel_scen</f>
        <v>2</v>
      </c>
      <c r="D158" s="10" t="n">
        <f aca="false">sel_cfg</f>
        <v>4</v>
      </c>
      <c r="E158" s="10" t="n">
        <f aca="false">sel_dest</f>
        <v>1</v>
      </c>
      <c r="F158" s="79" t="n">
        <f aca="false">INDEX(cfg_ct,D158)</f>
        <v>3</v>
      </c>
      <c r="G158" s="79" t="n">
        <f aca="false">INDEX(cfg_n,D158)</f>
        <v>1</v>
      </c>
      <c r="H158" s="79" t="n">
        <f aca="false">INDEX(dest_port,E158)</f>
        <v>1</v>
      </c>
      <c r="I158" s="80" t="n">
        <f aca="false">INDEX(in_fx_cbe,1,C158)*(1-INDEX(in_fx_spread,1,C158))</f>
        <v>52.7748</v>
      </c>
      <c r="J158" s="81" t="n">
        <f aca="false">1</f>
        <v>1</v>
      </c>
      <c r="K158" s="82" t="n">
        <f aca="false">INDEX(in_sup_vat_mode,1,C158)</f>
        <v>2</v>
      </c>
      <c r="L158" s="83" t="n">
        <f aca="false">INDEX(in_cus_s301,1,C158)</f>
        <v>0.125</v>
      </c>
      <c r="M158" s="77" t="n">
        <f aca="false">INDEX(in_oce_rate_hc,1,3)/INDEX(in_oce_rate_hc,1,2)</f>
        <v>1.25</v>
      </c>
      <c r="N158" s="81" t="n">
        <f aca="false">1</f>
        <v>1</v>
      </c>
      <c r="O158" s="81" t="n">
        <f aca="false">1</f>
        <v>1</v>
      </c>
      <c r="P158" s="81" t="n">
        <f aca="false">1</f>
        <v>1</v>
      </c>
      <c r="Q158" s="81" t="n">
        <f aca="false">1</f>
        <v>1</v>
      </c>
      <c r="R158" s="83" t="n">
        <f aca="false">INDEX(in_sel_damage,1,C158)</f>
        <v>0.015</v>
      </c>
      <c r="S158" s="83" t="n">
        <f aca="false">INDEX(in_mkt_dist_margin,1,C158)</f>
        <v>0.25</v>
      </c>
      <c r="T158" s="83" t="n">
        <f aca="false">INDEX(in_mkt_eflute_disc,1,C158)</f>
        <v>0.2</v>
      </c>
      <c r="U158" s="82" t="n">
        <f aca="false">INDEX(in_sel_credit_days,1,C158)</f>
        <v>45</v>
      </c>
      <c r="V158" s="81" t="n">
        <f aca="false">1</f>
        <v>1</v>
      </c>
      <c r="W158" s="83" t="n">
        <f aca="false">INDEX(in_sel_commission,1,C158)</f>
        <v>0.05</v>
      </c>
      <c r="X158" s="82" t="n">
        <f aca="false">1</f>
        <v>1</v>
      </c>
      <c r="Y158" s="85" t="n">
        <f aca="false">INDEX(cfg_u_3464,D158,C158)*O158</f>
        <v>25800</v>
      </c>
      <c r="Z158" s="85" t="n">
        <f aca="false">INDEX(cfg_u_3463,D158,C158)*O158</f>
        <v>25800</v>
      </c>
      <c r="AA158" s="85" t="n">
        <f aca="false">INDEX(cfg_u_3460,D158,C158)*O158</f>
        <v>25800</v>
      </c>
      <c r="AB158" s="85" t="n">
        <f aca="false">Y158+Z158+AA158</f>
        <v>77400</v>
      </c>
      <c r="AC158" s="86" t="n">
        <f aca="false">Y158*INDEX(lg_vpu_3464,C158)</f>
        <v>18.3539136</v>
      </c>
      <c r="AD158" s="86" t="n">
        <f aca="false">Z158*INDEX(lg_vpu_3463,C158)</f>
        <v>22.4530176</v>
      </c>
      <c r="AE158" s="86" t="n">
        <f aca="false">AA158*INDEX(lg_vpu_3460,C158)</f>
        <v>14.6676096</v>
      </c>
      <c r="AF158" s="86" t="n">
        <f aca="false">AC158+AD158+AE158</f>
        <v>55.4745408</v>
      </c>
      <c r="AG158" s="85" t="n">
        <f aca="false">Y158*INDEX(lg_kpu_3464,C158)+Z158*INDEX(lg_kpu_3463,C158)+AA158*INDEX(lg_kpu_3460,C158)</f>
        <v>13341.3537888</v>
      </c>
      <c r="AH158" s="87" t="n">
        <f aca="false">INDEX(in_sup_requote,1,C158)</f>
        <v>0</v>
      </c>
      <c r="AI158" s="88" t="n">
        <f aca="false">Y158*q_price_3464*(1+AH158)*J158/I158</f>
        <v>4089.39493849337</v>
      </c>
      <c r="AJ158" s="88" t="n">
        <f aca="false">Z158*q_price_3463*(1+AH158)*J158/I158</f>
        <v>3862.07053366379</v>
      </c>
      <c r="AK158" s="88" t="n">
        <f aca="false">AA158*q_price_3460*(1+AH158)*J158/I158</f>
        <v>3373.20084585825</v>
      </c>
      <c r="AL158" s="88" t="n">
        <f aca="false">AI158+AJ158+AK158</f>
        <v>11324.6663180154</v>
      </c>
      <c r="AM158" s="88" t="n">
        <f aca="false">IF(OR(K158=2,K158=3),AL158*INDEX(in_sup_vat_rate,1,C158),0)</f>
        <v>1585.45328452216</v>
      </c>
      <c r="AN158" s="88" t="n">
        <f aca="false">IF(K158=3,AM158,0)</f>
        <v>0</v>
      </c>
      <c r="AO158" s="88" t="n">
        <f aca="false">INDEX(in_sup_tooling_egp,1,C158)/I158</f>
        <v>0</v>
      </c>
      <c r="AP158" s="88" t="n">
        <f aca="false">IF(F158=4,INDEX(in_ori_lcl_truck,1,C158)*V158/I158+INDEX(in_ori_lcl_cfs_o,1,C158),G158*(IF(F158=1,INDEX(in_ori_truck_20,1,C158),INDEX(in_ori_truck_40,1,C158))*V158/I158+INDEX(in_ori_terminal,1,C158)+IF(F158=1,INDEX(in_ori_othc_20,1,C158),INDEX(in_ori_othc_40,1,C158))*(1-INDEX(in_ori_othc_in_freight,1,C158))+INDEX(in_ori_seal,1,C158)+INDEX(in_ori_inspection,1,C158)+INDEX(in_ori_dd_days,1,C158)*IF(F158=1,INDEX(in_ori_dd_20,1,C158),INDEX(in_ori_dd_40,1,C158))+INDEX(in_ori_loading_egp,1,C158)/I158))</f>
        <v>555.278125165799</v>
      </c>
      <c r="AQ158" s="88" t="n">
        <f aca="false">(INDEX(in_ori_clearance,1,C158)+INDEX(in_ori_coo,1,C158))/I158+INDEX(in_ori_bl_fee,1,C158)+INDEX(in_ori_fwd_fee,1,C158)+INDEX(in_ori_qc,1,C158)+INDEX(in_ori_wires,1,C158)*INDEX(in_ori_wire_fee,1,C158)</f>
        <v>817.639062582899</v>
      </c>
      <c r="AR158" s="88" t="n">
        <f aca="false">AP158+AQ158</f>
        <v>1372.9171877487</v>
      </c>
      <c r="AS158" s="85" t="n">
        <f aca="false">INDEX(tbl_port_diff,H158,C158)</f>
        <v>0</v>
      </c>
      <c r="AT158" s="88" t="n">
        <f aca="false">IF(F158=4,MAX(AF158*INDEX(in_oce_lcl_factor,1,C158),AG158/1000,1)*INDEX(in_oce_lcl_rate,1,C158)*M158,G158*(INDEX(tbl_ocean_rate,MIN(F158,3),C158)+AS158)*M158)</f>
        <v>5000</v>
      </c>
      <c r="AU158" s="88" t="n">
        <f aca="false">AT158+INDEX(in_oce_ams,1,C158)</f>
        <v>5035</v>
      </c>
      <c r="AV158" s="88" t="n">
        <f aca="false">AI158*(1+IF(K158=3,INDEX(in_sup_vat_rate,1,C158),0))+AO158*Y158/AB158</f>
        <v>4089.39493849337</v>
      </c>
      <c r="AW158" s="88" t="n">
        <f aca="false">AJ158*(1+IF(K158=3,INDEX(in_sup_vat_rate,1,C158),0))+AO158*Z158/AB158</f>
        <v>3862.07053366379</v>
      </c>
      <c r="AX158" s="88" t="n">
        <f aca="false">AK158*(1+IF(K158=3,INDEX(in_sup_vat_rate,1,C158),0))+AO158*AA158/AB158</f>
        <v>3373.20084585825</v>
      </c>
      <c r="AY158" s="88" t="n">
        <f aca="false">AV158+AW158+AX158</f>
        <v>11324.6663180154</v>
      </c>
      <c r="AZ158" s="88" t="n">
        <f aca="false">MAX(INDEX(in_oce_ins_min,1,C158),INDEX(in_oce_ins_rate,1,C158)*(1+INDEX(in_oce_ins_uplift,1,C158))*(AL158+AO158+AR158+AU158))*(1-INDEX(in_oce_ins_in_other,1,C158))</f>
        <v>75</v>
      </c>
      <c r="BA158" s="87" t="n">
        <f aca="false">INDEX(in_cus_mfn,1,C158)+L158</f>
        <v>0.125</v>
      </c>
      <c r="BB158" s="88" t="n">
        <f aca="false">AY158*BA158</f>
        <v>1415.58328975193</v>
      </c>
      <c r="BC158" s="88" t="n">
        <f aca="false">MIN(MAX(AY158*INDEX(in_cus_mpf_rate,1,C158),INDEX(in_cus_mpf_min,1,C158)),INDEX(in_cus_mpf_max,1,C158))</f>
        <v>39.2286441256054</v>
      </c>
      <c r="BD158" s="88" t="n">
        <f aca="false">AY158*INDEX(in_cus_hmf,1,C158)</f>
        <v>14.1558328975193</v>
      </c>
      <c r="BE158" s="88" t="n">
        <f aca="false">MAX(INDEX(in_cus_stb_min,1,C158),INDEX(in_cus_stb_rate,1,C158)/1000*(AY158+BB158+BC158+BD158))</f>
        <v>76.7618045087428</v>
      </c>
      <c r="BF158" s="88" t="n">
        <f aca="false">INDEX(in_cus_broker,1,C158)+INDEX(in_cus_isf,1,C158)+INDEX(in_cus_do_fee,1,C158)+BE158+INDEX(in_cus_isf_bond,1,C158)</f>
        <v>511.761804508743</v>
      </c>
      <c r="BG158" s="88" t="n">
        <f aca="false">IF(H158=1,INDEX(in_cus_cfc,1,C158)*INDEX(ct_teu,F158)*G158*(1-INDEX(in_cus_cfc_in_freight,1,C158)),0)</f>
        <v>29.6</v>
      </c>
      <c r="BH158" s="88" t="n">
        <f aca="false">IF(F158=4,1,G158)*(INDEX(in_cus_exam,1,C158)+INDEX(in_cus_exam_dray,1,C158))</f>
        <v>0</v>
      </c>
      <c r="BI158" s="88" t="n">
        <f aca="false">IF(F158=4,1,G158)*INDEX(in_cus_dem_days,1,C158)*INDEX(in_cus_dem_rate,1,C158)</f>
        <v>0</v>
      </c>
      <c r="BJ158" s="88" t="n">
        <f aca="false">BG158+BH158+BI158</f>
        <v>29.6</v>
      </c>
      <c r="BK158" s="88" t="n">
        <f aca="false">IF(F158=4,(INDEX(in_dra_lcl_cfs_d,1,C158)+INDEX(in_dra_lcl_deliv,1,C158))*P158,G158*(INDEX(tbl_dest_line,E158,C158)*P158*(1+INDEX(in_dra_fsc,1,C158))+INDEX(tbl_dest_tolls,E158,C158)+INDEX(in_dra_chassis_days,1,C158)*INDEX(tbl_dest_chassis,E158,C158)*(1-INDEX(in_dra_chassis_in_dray,1,C158))+INDEX(in_dra_wait_hours,1,C158)*INDEX(in_dra_wait_rate,1,C158)+INDEX(in_dra_split,1,C158)+INDEX(in_dra_prepull,1,C158)+INDEX(in_dra_dryrun,1,C158)))</f>
        <v>1060</v>
      </c>
      <c r="BL158" s="88" t="n">
        <f aca="false">IF(F158=4,0,G158*IF(F158=1,INDEX(in_dra_unload_20,1,C158),INDEX(in_dra_unload_40,1,C158))*Q158*(1-INDEX(in_dra_unload_in_dray,1,C158)))</f>
        <v>450</v>
      </c>
      <c r="BM158" s="88" t="n">
        <f aca="false">AL158+AN158+AO158+AR158+AU158+AZ158+BB158+BC158+BD158+BF158+BJ158+BK158+BL158</f>
        <v>21327.9130770479</v>
      </c>
      <c r="BN158" s="88" t="n">
        <f aca="false">AP158+AU158+BJ158+BK158+BL158</f>
        <v>7129.8781251658</v>
      </c>
      <c r="BO158" s="88" t="n">
        <f aca="false">AQ158+BF158</f>
        <v>1329.40086709164</v>
      </c>
      <c r="BP158" s="88" t="n">
        <f aca="false">AI158*(1+IF(K158=3,INDEX(in_sup_vat_rate,1,C158),0))+AO158*Y158/AB158+AV158*BA158+(BC158+BD158)*AV158/AY158+AZ158*AI158/AL158+BN158*AC158/AF158+BO158*Y158/AB158</f>
        <v>7449.00418961955</v>
      </c>
      <c r="BQ158" s="88" t="n">
        <f aca="false">AJ158*(1+IF(K158=3,INDEX(in_sup_vat_rate,1,C158),0))+AO158*Z158/AB158+AW158*BA158+(BC158+BD158)*AW158/AY158+AZ158*AJ158/AL158+BN158*AD158/AF158+BO158*Z158/AB158</f>
        <v>7717.52540805959</v>
      </c>
      <c r="BR158" s="88" t="n">
        <f aca="false">AK158*(1+IF(K158=3,INDEX(in_sup_vat_rate,1,C158),0))+AO158*AA158/AB158+AX158*BA158+(BC158+BD158)*AX158/AY158+AZ158*AK158/AL158+BN158*AE158/AF158+BO158*AA158/AB158</f>
        <v>6161.38347936878</v>
      </c>
      <c r="BS158" s="89" t="n">
        <f aca="false">BP158+BQ158+BR158-BM158</f>
        <v>0</v>
      </c>
      <c r="BT158" s="85" t="n">
        <f aca="false">Y158*(1-R158)</f>
        <v>25413</v>
      </c>
      <c r="BU158" s="85" t="n">
        <f aca="false">Z158*(1-R158)</f>
        <v>25413</v>
      </c>
      <c r="BV158" s="85" t="n">
        <f aca="false">AA158*(1-R158)</f>
        <v>25413</v>
      </c>
      <c r="BW158" s="85" t="n">
        <f aca="false">BT158+BU158+BV158</f>
        <v>76239</v>
      </c>
      <c r="BX158" s="90" t="n">
        <f aca="false">IF(BT158&gt;0,BP158/BT158,0)</f>
        <v>0.293117860528845</v>
      </c>
      <c r="BY158" s="90" t="n">
        <f aca="false">IF(BU158&gt;0,BQ158/BU158,0)</f>
        <v>0.303684154096706</v>
      </c>
      <c r="BZ158" s="90" t="n">
        <f aca="false">IF(BV158&gt;0,BR158/BV158,0)</f>
        <v>0.242450064115562</v>
      </c>
      <c r="CA158" s="90" t="n">
        <f aca="false">INDEX(in_mkt_listing_3464,1,C158)*(1-IF(sku_flute_3464="B",T158,0))*(1-S158)*N158</f>
        <v>0.234</v>
      </c>
      <c r="CB158" s="90" t="n">
        <f aca="false">INDEX(in_mkt_listing_3463,1,C158)*(1-IF(sku_flute_3463="B",T158,0))*(1-S158)*N158</f>
        <v>0.27</v>
      </c>
      <c r="CC158" s="90" t="n">
        <f aca="false">INDEX(in_mkt_listing_3460,1,C158)*(1-IF(sku_flute_3460="B",T158,0))*(1-S158)*N158</f>
        <v>0.225</v>
      </c>
      <c r="CD158" s="88" t="n">
        <f aca="false">BT158*CA158+BU158*CB158+BV158*CC158</f>
        <v>18526.077</v>
      </c>
      <c r="CE158" s="88" t="n">
        <f aca="false">CD158-BM158</f>
        <v>-2801.83607704791</v>
      </c>
      <c r="CF158" s="87" t="n">
        <f aca="false">IF(CD158&gt;0,CE158/CD158,0)</f>
        <v>-0.15123741939796</v>
      </c>
      <c r="CG158" s="87" t="n">
        <f aca="false">W158+INDEX(in_sel_processing,1,C158)+INDEX(in_sel_bad_debt,1,C158)</f>
        <v>0.058</v>
      </c>
      <c r="CH158" s="88" t="n">
        <f aca="false">CD158*CG158</f>
        <v>1074.512466</v>
      </c>
      <c r="CI158" s="88" t="n">
        <f aca="false">INDEX(in_sel_testing,1,C158)*X158+INDEX(in_sel_admin,1,C158)</f>
        <v>3000</v>
      </c>
      <c r="CJ158" s="79" t="n">
        <f aca="false">INDEX(in_sup_lead_days,1,C158)</f>
        <v>21</v>
      </c>
      <c r="CK158" s="79" t="n">
        <f aca="false">CJ158+INDEX(in_oce_transit,1,C158)+IF(F158=4,INDEX(in_oce_lcl_extra_days,1,C158),0)</f>
        <v>51</v>
      </c>
      <c r="CL158" s="79" t="n">
        <f aca="false">CK158+2+INDEX(in_cus_dem_days,1,C158)</f>
        <v>53</v>
      </c>
      <c r="CM158" s="79" t="n">
        <f aca="false">CL158+U158</f>
        <v>98</v>
      </c>
      <c r="CN158" s="79" t="n">
        <f aca="false">CJ158+INDEX(in_sup_vat_lag,1,C158)</f>
        <v>81</v>
      </c>
      <c r="CO158" s="91" t="n">
        <f aca="false">INDEX(in_sup_advance,1,C158)</f>
        <v>0.5</v>
      </c>
      <c r="CP158" s="88" t="n">
        <f aca="false">CO158*(AL158+AM158)+AO158+INDEX(in_sel_testing,1,C158)*X158</f>
        <v>8955.05980126879</v>
      </c>
      <c r="CQ158" s="88" t="n">
        <f aca="false">(1-CO158)*(AL158+AM158)+AR158+AU158+AZ158</f>
        <v>12937.9769890175</v>
      </c>
      <c r="CR158" s="88" t="n">
        <f aca="false">BB158+BC158+BD158+BF158+BJ158</f>
        <v>2010.32957128379</v>
      </c>
      <c r="CS158" s="88" t="n">
        <f aca="false">BK158+BL158</f>
        <v>1510</v>
      </c>
      <c r="CT158" s="88" t="n">
        <f aca="false">IF(K158=2,AM158,0)</f>
        <v>1585.45328452216</v>
      </c>
      <c r="CU158" s="85" t="n">
        <f aca="false">IF(K158=2,CO158*AM158*(CN158-0)+(1-CO158)*AM158*(CN158-CJ158),0)</f>
        <v>111774.456558812</v>
      </c>
      <c r="CV158" s="85" t="n">
        <f aca="false">(CP158-CO158*CT158)*(CM158-0)+(CQ158-(1-CO158)*CT158)*(CM158-CJ158)+CR158*(CM158-CK158)+CS158*(CM158-CL158)</f>
        <v>1897528.41613334</v>
      </c>
      <c r="CW158" s="88" t="n">
        <f aca="false">INDEX(in_sel_fin_rate,1,C158)/365*(CU158+CV158)</f>
        <v>550.493937723877</v>
      </c>
      <c r="CX158" s="85" t="n">
        <f aca="false">CP158-IF(CN158&lt;=0,CT158,0)</f>
        <v>8955.05980126879</v>
      </c>
      <c r="CY158" s="85" t="n">
        <f aca="false">CP158+CQ158-IF(CN158&lt;=CJ158,CT158,0)</f>
        <v>21893.0367902863</v>
      </c>
      <c r="CZ158" s="85" t="n">
        <f aca="false">CP158+CQ158+CR158-IF(CN158&lt;=CK158,CT158,0)</f>
        <v>23903.3663615701</v>
      </c>
      <c r="DA158" s="85" t="n">
        <f aca="false">CP158+CQ158+CR158+CS158-IF(CN158&lt;=CL158,CT158,0)</f>
        <v>25413.3663615701</v>
      </c>
      <c r="DB158" s="88" t="n">
        <f aca="false">MAX(CX158,CY158,CZ158,DA158)</f>
        <v>25413.3663615701</v>
      </c>
      <c r="DC158" s="88" t="n">
        <f aca="false">CP158+CQ158+CR158+CS158</f>
        <v>25413.3663615701</v>
      </c>
      <c r="DD158" s="88" t="n">
        <f aca="false">CE158-CH158-CI158-CW158</f>
        <v>-7426.84248077179</v>
      </c>
      <c r="DE158" s="87" t="n">
        <f aca="false">IF(CD158&gt;0,DD158/CD158,0)</f>
        <v>-0.400885869187081</v>
      </c>
      <c r="DF158" s="86" t="n">
        <f aca="false">IF(CD158&gt;0,(BM158+CI158+CW158)/(CD158*(1-CG158)),0)</f>
        <v>1.42556886325592</v>
      </c>
      <c r="DG158" s="90" t="n">
        <f aca="false">IF(BW158&gt;0,BM158/BW158,0)</f>
        <v>0.279750692913704</v>
      </c>
      <c r="DH158" s="90" t="n">
        <f aca="false">IF(BW158&gt;0,CD158/BW158,0)</f>
        <v>0.243</v>
      </c>
      <c r="DI158" s="90" t="n">
        <f aca="false">IF(AI158&gt;0,(AI158*IF(K158=3,INDEX(in_sup_vat_rate,1,C158),0)+AV158*BA158+(BC158+BD158)*AV158/AY158+AZ158*AI158/AL158)/AI158,0)</f>
        <v>0.136336711689146</v>
      </c>
      <c r="DJ158" s="90" t="n">
        <f aca="false">IF(AJ158&gt;0,(AJ158*IF(K158=3,INDEX(in_sup_vat_rate,1,C158),0)+AW158*BA158+(BC158+BD158)*AW158/AY158+AZ158*AJ158/AL158)/AJ158,0)</f>
        <v>0.136336711689146</v>
      </c>
      <c r="DK158" s="90" t="n">
        <f aca="false">IF(AK158&gt;0,(AK158*IF(K158=3,INDEX(in_sup_vat_rate,1,C158),0)+AX158*BA158+(BC158+BD158)*AX158/AY158+AZ158*AK158/AL158)/AK158,0)</f>
        <v>0.136336711689146</v>
      </c>
      <c r="DL158" s="90" t="n">
        <f aca="false">IF(Y158&gt;0,(BP158-AI158*(1+DI158))/Y158,0)</f>
        <v>0.108607542341618</v>
      </c>
      <c r="DM158" s="90" t="n">
        <f aca="false">IF(Z158&gt;0,(BQ158-AJ158*(1+DJ158))/Z158,0)</f>
        <v>0.129027630911803</v>
      </c>
      <c r="DN158" s="90" t="n">
        <f aca="false">IF(AA158&gt;0,(BR158-AK158*(1+DK158))/AA158,0)</f>
        <v>0.0902438574542313</v>
      </c>
      <c r="DO158" s="86" t="n">
        <f aca="false">IF(Y158&gt;0,(CA158*(1-thr_gm_go)*(1-R158)-DL158)/(1+DI158)*I158/((1+AH158)*J158),"")</f>
        <v>2.98442035581905</v>
      </c>
      <c r="DP158" s="86" t="n">
        <f aca="false">IF(Z158&gt;0,(CB158*(1-thr_gm_go)*(1-R158)-DM158)/(1+DJ158)*I158/((1+AH158)*J158),"")</f>
        <v>3.27120130056366</v>
      </c>
      <c r="DQ158" s="86" t="n">
        <f aca="false">IF(AA158&gt;0,(CC158*(1-thr_gm_go)*(1-R158)-DN158)/(1+DK158)*I158/((1+AH158)*J158),"")</f>
        <v>3.52849619120752</v>
      </c>
      <c r="DR158" s="92" t="n">
        <f aca="false">IF(AND(AY158*INDEX(in_cus_mpf_rate,1,C158)&gt;INDEX(in_cus_mpf_min,1,C158),AY158*INDEX(in_cus_mpf_rate,1,C158)&lt;INDEX(in_cus_mpf_max,1,C158)),INDEX(in_cus_mpf_rate,1,C158),0)</f>
        <v>0.003464</v>
      </c>
      <c r="DS158" s="88" t="n">
        <f aca="false">IF(AZ158&gt;INDEX(in_oce_ins_min,1,C158),INDEX(in_oce_ins_rate,1,C158)*(1+INDEX(in_oce_ins_uplift,1,C158))*AL158,0)</f>
        <v>0</v>
      </c>
      <c r="DT158" s="88" t="n">
        <f aca="false">(AL158+AN158)*(1+BA158+INDEX(in_cus_hmf,1,C158)+DR158)+DS158</f>
        <v>12793.6340847905</v>
      </c>
      <c r="DU158" s="86" t="n">
        <f aca="false">IF(DT158&gt;0,(CD158*(1-thr_gm_go)-(BM158-DT158))/DT158,0)</f>
        <v>0.418980152333343</v>
      </c>
      <c r="DV158" s="86" t="n">
        <f aca="false">IF(DT158&gt;0,(CD158-(BM158-DT158))/DT158,0)</f>
        <v>0.78099763847562</v>
      </c>
      <c r="DW158" s="87" t="n">
        <f aca="false">(1+AH158)*J158*DU158-1</f>
        <v>-0.581019847666657</v>
      </c>
      <c r="DX158" s="87" t="n">
        <f aca="false">(1+AH158)*J158*DV158-1</f>
        <v>-0.21900236152438</v>
      </c>
      <c r="DY158" s="85" t="n">
        <f aca="false">IF(G158&gt;0,(CD158*(1-thr_gm_go)-(BM158-AT158))/G158,"")</f>
        <v>-2433.35532704791</v>
      </c>
      <c r="DZ158" s="90" t="n">
        <f aca="false">IF(AB158&gt;0,(AL158+AN158+BB158+BC158+BD158)/AB158,0)</f>
        <v>0.165292430036053</v>
      </c>
      <c r="EA158" s="88" t="n">
        <f aca="false">BM158-DZ158*AB158</f>
        <v>8534.27899225744</v>
      </c>
      <c r="EB158" s="90" t="n">
        <f aca="false">IF(AB158&gt;0,CD158/AB158,0)</f>
        <v>0.239355</v>
      </c>
      <c r="EC158" s="85" t="n">
        <f aca="false">IF(EB158*(1-thr_gm_go)-DZ158&gt;0,EA158/(EB158*(1-thr_gm_go)-DZ158),"n/a")</f>
        <v>599999.087016634</v>
      </c>
      <c r="ED158" s="85" t="n">
        <f aca="false">IF(EB158-DZ158&gt;0,EA158/(EB158-DZ158),"n/a")</f>
        <v>115230.662349576</v>
      </c>
      <c r="EE158" s="93" t="b">
        <f aca="false">INDEX(cfg_fits,D158,C158)</f>
        <v>1</v>
      </c>
      <c r="EF158" s="87" t="n">
        <f aca="false">IF(F158=4,"",INDEX(cfg_lenutil,D158,C158))</f>
        <v>0.999580888516345</v>
      </c>
      <c r="EG158" s="31" t="str">
        <f aca="false">IF(O158&gt;1,"Check fit (units scaled up)","")</f>
        <v/>
      </c>
    </row>
    <row r="159" customFormat="false" ht="15" hidden="false" customHeight="false" outlineLevel="0" collapsed="false">
      <c r="A159" s="78" t="n">
        <v>900005</v>
      </c>
      <c r="B159" s="9" t="s">
        <v>3307</v>
      </c>
      <c r="C159" s="10" t="n">
        <f aca="false">sel_scen</f>
        <v>2</v>
      </c>
      <c r="D159" s="10" t="n">
        <f aca="false">sel_cfg</f>
        <v>4</v>
      </c>
      <c r="E159" s="10" t="n">
        <f aca="false">sel_dest</f>
        <v>1</v>
      </c>
      <c r="F159" s="79" t="n">
        <f aca="false">INDEX(cfg_ct,D159)</f>
        <v>3</v>
      </c>
      <c r="G159" s="79" t="n">
        <f aca="false">INDEX(cfg_n,D159)</f>
        <v>1</v>
      </c>
      <c r="H159" s="79" t="n">
        <f aca="false">INDEX(dest_port,E159)</f>
        <v>1</v>
      </c>
      <c r="I159" s="80" t="n">
        <f aca="false">INDEX(in_fx_cbe,1,C159)*(1-INDEX(in_fx_spread,1,C159))</f>
        <v>52.7748</v>
      </c>
      <c r="J159" s="81" t="n">
        <f aca="false">1</f>
        <v>1</v>
      </c>
      <c r="K159" s="82" t="n">
        <f aca="false">INDEX(in_sup_vat_mode,1,C159)</f>
        <v>2</v>
      </c>
      <c r="L159" s="28" t="n">
        <v>0</v>
      </c>
      <c r="M159" s="84" t="n">
        <f aca="false">1</f>
        <v>1</v>
      </c>
      <c r="N159" s="81" t="n">
        <f aca="false">1</f>
        <v>1</v>
      </c>
      <c r="O159" s="81" t="n">
        <f aca="false">1</f>
        <v>1</v>
      </c>
      <c r="P159" s="81" t="n">
        <f aca="false">1</f>
        <v>1</v>
      </c>
      <c r="Q159" s="81" t="n">
        <f aca="false">1</f>
        <v>1</v>
      </c>
      <c r="R159" s="83" t="n">
        <f aca="false">INDEX(in_sel_damage,1,C159)</f>
        <v>0.015</v>
      </c>
      <c r="S159" s="83" t="n">
        <f aca="false">INDEX(in_mkt_dist_margin,1,C159)</f>
        <v>0.25</v>
      </c>
      <c r="T159" s="83" t="n">
        <f aca="false">INDEX(in_mkt_eflute_disc,1,C159)</f>
        <v>0.2</v>
      </c>
      <c r="U159" s="82" t="n">
        <f aca="false">INDEX(in_sel_credit_days,1,C159)</f>
        <v>45</v>
      </c>
      <c r="V159" s="81" t="n">
        <f aca="false">1</f>
        <v>1</v>
      </c>
      <c r="W159" s="83" t="n">
        <f aca="false">INDEX(in_sel_commission,1,C159)</f>
        <v>0.05</v>
      </c>
      <c r="X159" s="82" t="n">
        <f aca="false">1</f>
        <v>1</v>
      </c>
      <c r="Y159" s="85" t="n">
        <f aca="false">INDEX(cfg_u_3464,D159,C159)*O159</f>
        <v>25800</v>
      </c>
      <c r="Z159" s="85" t="n">
        <f aca="false">INDEX(cfg_u_3463,D159,C159)*O159</f>
        <v>25800</v>
      </c>
      <c r="AA159" s="85" t="n">
        <f aca="false">INDEX(cfg_u_3460,D159,C159)*O159</f>
        <v>25800</v>
      </c>
      <c r="AB159" s="85" t="n">
        <f aca="false">Y159+Z159+AA159</f>
        <v>77400</v>
      </c>
      <c r="AC159" s="86" t="n">
        <f aca="false">Y159*INDEX(lg_vpu_3464,C159)</f>
        <v>18.3539136</v>
      </c>
      <c r="AD159" s="86" t="n">
        <f aca="false">Z159*INDEX(lg_vpu_3463,C159)</f>
        <v>22.4530176</v>
      </c>
      <c r="AE159" s="86" t="n">
        <f aca="false">AA159*INDEX(lg_vpu_3460,C159)</f>
        <v>14.6676096</v>
      </c>
      <c r="AF159" s="86" t="n">
        <f aca="false">AC159+AD159+AE159</f>
        <v>55.4745408</v>
      </c>
      <c r="AG159" s="85" t="n">
        <f aca="false">Y159*INDEX(lg_kpu_3464,C159)+Z159*INDEX(lg_kpu_3463,C159)+AA159*INDEX(lg_kpu_3460,C159)</f>
        <v>13341.3537888</v>
      </c>
      <c r="AH159" s="87" t="n">
        <f aca="false">INDEX(in_sup_requote,1,C159)</f>
        <v>0</v>
      </c>
      <c r="AI159" s="88" t="n">
        <f aca="false">Y159*q_price_3464*(1+AH159)*J159/I159</f>
        <v>4089.39493849337</v>
      </c>
      <c r="AJ159" s="88" t="n">
        <f aca="false">Z159*q_price_3463*(1+AH159)*J159/I159</f>
        <v>3862.07053366379</v>
      </c>
      <c r="AK159" s="88" t="n">
        <f aca="false">AA159*q_price_3460*(1+AH159)*J159/I159</f>
        <v>3373.20084585825</v>
      </c>
      <c r="AL159" s="88" t="n">
        <f aca="false">AI159+AJ159+AK159</f>
        <v>11324.6663180154</v>
      </c>
      <c r="AM159" s="88" t="n">
        <f aca="false">IF(OR(K159=2,K159=3),AL159*INDEX(in_sup_vat_rate,1,C159),0)</f>
        <v>1585.45328452216</v>
      </c>
      <c r="AN159" s="88" t="n">
        <f aca="false">IF(K159=3,AM159,0)</f>
        <v>0</v>
      </c>
      <c r="AO159" s="88" t="n">
        <f aca="false">INDEX(in_sup_tooling_egp,1,C159)/I159</f>
        <v>0</v>
      </c>
      <c r="AP159" s="88" t="n">
        <f aca="false">IF(F159=4,INDEX(in_ori_lcl_truck,1,C159)*V159/I159+INDEX(in_ori_lcl_cfs_o,1,C159),G159*(IF(F159=1,INDEX(in_ori_truck_20,1,C159),INDEX(in_ori_truck_40,1,C159))*V159/I159+INDEX(in_ori_terminal,1,C159)+IF(F159=1,INDEX(in_ori_othc_20,1,C159),INDEX(in_ori_othc_40,1,C159))*(1-INDEX(in_ori_othc_in_freight,1,C159))+INDEX(in_ori_seal,1,C159)+INDEX(in_ori_inspection,1,C159)+INDEX(in_ori_dd_days,1,C159)*IF(F159=1,INDEX(in_ori_dd_20,1,C159),INDEX(in_ori_dd_40,1,C159))+INDEX(in_ori_loading_egp,1,C159)/I159))</f>
        <v>555.278125165799</v>
      </c>
      <c r="AQ159" s="88" t="n">
        <f aca="false">(INDEX(in_ori_clearance,1,C159)+INDEX(in_ori_coo,1,C159))/I159+INDEX(in_ori_bl_fee,1,C159)+INDEX(in_ori_fwd_fee,1,C159)+INDEX(in_ori_qc,1,C159)+INDEX(in_ori_wires,1,C159)*INDEX(in_ori_wire_fee,1,C159)</f>
        <v>817.639062582899</v>
      </c>
      <c r="AR159" s="88" t="n">
        <f aca="false">AP159+AQ159</f>
        <v>1372.9171877487</v>
      </c>
      <c r="AS159" s="85" t="n">
        <f aca="false">INDEX(tbl_port_diff,H159,C159)</f>
        <v>0</v>
      </c>
      <c r="AT159" s="88" t="n">
        <f aca="false">IF(F159=4,MAX(AF159*INDEX(in_oce_lcl_factor,1,C159),AG159/1000,1)*INDEX(in_oce_lcl_rate,1,C159)*M159,G159*(INDEX(tbl_ocean_rate,MIN(F159,3),C159)+AS159)*M159)</f>
        <v>4000</v>
      </c>
      <c r="AU159" s="88" t="n">
        <f aca="false">AT159+INDEX(in_oce_ams,1,C159)</f>
        <v>4035</v>
      </c>
      <c r="AV159" s="88" t="n">
        <f aca="false">AI159*(1+IF(K159=3,INDEX(in_sup_vat_rate,1,C159),0))+AO159*Y159/AB159</f>
        <v>4089.39493849337</v>
      </c>
      <c r="AW159" s="88" t="n">
        <f aca="false">AJ159*(1+IF(K159=3,INDEX(in_sup_vat_rate,1,C159),0))+AO159*Z159/AB159</f>
        <v>3862.07053366379</v>
      </c>
      <c r="AX159" s="88" t="n">
        <f aca="false">AK159*(1+IF(K159=3,INDEX(in_sup_vat_rate,1,C159),0))+AO159*AA159/AB159</f>
        <v>3373.20084585825</v>
      </c>
      <c r="AY159" s="88" t="n">
        <f aca="false">AV159+AW159+AX159</f>
        <v>11324.6663180154</v>
      </c>
      <c r="AZ159" s="88" t="n">
        <f aca="false">MAX(INDEX(in_oce_ins_min,1,C159),INDEX(in_oce_ins_rate,1,C159)*(1+INDEX(in_oce_ins_uplift,1,C159))*(AL159+AO159+AR159+AU159))*(1-INDEX(in_oce_ins_in_other,1,C159))</f>
        <v>75</v>
      </c>
      <c r="BA159" s="87" t="n">
        <f aca="false">INDEX(in_cus_mfn,1,C159)+L159</f>
        <v>0</v>
      </c>
      <c r="BB159" s="88" t="n">
        <f aca="false">AY159*BA159</f>
        <v>0</v>
      </c>
      <c r="BC159" s="88" t="n">
        <f aca="false">MIN(MAX(AY159*INDEX(in_cus_mpf_rate,1,C159),INDEX(in_cus_mpf_min,1,C159)),INDEX(in_cus_mpf_max,1,C159))</f>
        <v>39.2286441256054</v>
      </c>
      <c r="BD159" s="88" t="n">
        <f aca="false">AY159*INDEX(in_cus_hmf,1,C159)</f>
        <v>14.1558328975193</v>
      </c>
      <c r="BE159" s="88" t="n">
        <f aca="false">MAX(INDEX(in_cus_stb_min,1,C159),INDEX(in_cus_stb_rate,1,C159)/1000*(AY159+BB159+BC159+BD159))</f>
        <v>75</v>
      </c>
      <c r="BF159" s="88" t="n">
        <f aca="false">INDEX(in_cus_broker,1,C159)+INDEX(in_cus_isf,1,C159)+INDEX(in_cus_do_fee,1,C159)+BE159+INDEX(in_cus_isf_bond,1,C159)</f>
        <v>510</v>
      </c>
      <c r="BG159" s="88" t="n">
        <f aca="false">IF(H159=1,INDEX(in_cus_cfc,1,C159)*INDEX(ct_teu,F159)*G159*(1-INDEX(in_cus_cfc_in_freight,1,C159)),0)</f>
        <v>29.6</v>
      </c>
      <c r="BH159" s="88" t="n">
        <f aca="false">IF(F159=4,1,G159)*(INDEX(in_cus_exam,1,C159)+INDEX(in_cus_exam_dray,1,C159))</f>
        <v>0</v>
      </c>
      <c r="BI159" s="88" t="n">
        <f aca="false">IF(F159=4,1,G159)*INDEX(in_cus_dem_days,1,C159)*INDEX(in_cus_dem_rate,1,C159)</f>
        <v>0</v>
      </c>
      <c r="BJ159" s="88" t="n">
        <f aca="false">BG159+BH159+BI159</f>
        <v>29.6</v>
      </c>
      <c r="BK159" s="88" t="n">
        <f aca="false">IF(F159=4,(INDEX(in_dra_lcl_cfs_d,1,C159)+INDEX(in_dra_lcl_deliv,1,C159))*P159,G159*(INDEX(tbl_dest_line,E159,C159)*P159*(1+INDEX(in_dra_fsc,1,C159))+INDEX(tbl_dest_tolls,E159,C159)+INDEX(in_dra_chassis_days,1,C159)*INDEX(tbl_dest_chassis,E159,C159)*(1-INDEX(in_dra_chassis_in_dray,1,C159))+INDEX(in_dra_wait_hours,1,C159)*INDEX(in_dra_wait_rate,1,C159)+INDEX(in_dra_split,1,C159)+INDEX(in_dra_prepull,1,C159)+INDEX(in_dra_dryrun,1,C159)))</f>
        <v>1060</v>
      </c>
      <c r="BL159" s="88" t="n">
        <f aca="false">IF(F159=4,0,G159*IF(F159=1,INDEX(in_dra_unload_20,1,C159),INDEX(in_dra_unload_40,1,C159))*Q159*(1-INDEX(in_dra_unload_in_dray,1,C159)))</f>
        <v>450</v>
      </c>
      <c r="BM159" s="88" t="n">
        <f aca="false">AL159+AN159+AO159+AR159+AU159+AZ159+BB159+BC159+BD159+BF159+BJ159+BK159+BL159</f>
        <v>18910.5679827872</v>
      </c>
      <c r="BN159" s="88" t="n">
        <f aca="false">AP159+AU159+BJ159+BK159+BL159</f>
        <v>6129.8781251658</v>
      </c>
      <c r="BO159" s="88" t="n">
        <f aca="false">AQ159+BF159</f>
        <v>1327.6390625829</v>
      </c>
      <c r="BP159" s="88" t="n">
        <f aca="false">AI159*(1+IF(K159=3,INDEX(in_sup_vat_rate,1,C159),0))+AO159*Y159/AB159+AV159*BA159+(BC159+BD159)*AV159/AY159+AZ159*AI159/AL159+BN159*AC159/AF159+BO159*Y159/AB159</f>
        <v>6606.3896379119</v>
      </c>
      <c r="BQ159" s="88" t="n">
        <f aca="false">AJ159*(1+IF(K159=3,INDEX(in_sup_vat_rate,1,C159),0))+AO159*Z159/AB159+AW159*BA159+(BC159+BD159)*AW159/AY159+AZ159*AJ159/AL159+BN159*AD159/AF159+BO159*Z159/AB159</f>
        <v>6829.43478133987</v>
      </c>
      <c r="BR159" s="88" t="n">
        <f aca="false">AK159*(1+IF(K159=3,INDEX(in_sup_vat_rate,1,C159),0))+AO159*AA159/AB159+AX159*BA159+(BC159+BD159)*AX159/AY159+AZ159*AK159/AL159+BN159*AE159/AF159+BO159*AA159/AB159</f>
        <v>5474.74356353547</v>
      </c>
      <c r="BS159" s="89" t="n">
        <f aca="false">BP159+BQ159+BR159-BM159</f>
        <v>0</v>
      </c>
      <c r="BT159" s="85" t="n">
        <f aca="false">Y159*(1-R159)</f>
        <v>25413</v>
      </c>
      <c r="BU159" s="85" t="n">
        <f aca="false">Z159*(1-R159)</f>
        <v>25413</v>
      </c>
      <c r="BV159" s="85" t="n">
        <f aca="false">AA159*(1-R159)</f>
        <v>25413</v>
      </c>
      <c r="BW159" s="85" t="n">
        <f aca="false">BT159+BU159+BV159</f>
        <v>76239</v>
      </c>
      <c r="BX159" s="90" t="n">
        <f aca="false">IF(BT159&gt;0,BP159/BT159,0)</f>
        <v>0.259961029312238</v>
      </c>
      <c r="BY159" s="90" t="n">
        <f aca="false">IF(BU159&gt;0,BQ159/BU159,0)</f>
        <v>0.268737842102069</v>
      </c>
      <c r="BZ159" s="90" t="n">
        <f aca="false">IF(BV159&gt;0,BR159/BV159,0)</f>
        <v>0.215430825307341</v>
      </c>
      <c r="CA159" s="90" t="n">
        <f aca="false">INDEX(in_mkt_listing_3464,1,C159)*(1-IF(sku_flute_3464="B",T159,0))*(1-S159)*N159</f>
        <v>0.234</v>
      </c>
      <c r="CB159" s="90" t="n">
        <f aca="false">INDEX(in_mkt_listing_3463,1,C159)*(1-IF(sku_flute_3463="B",T159,0))*(1-S159)*N159</f>
        <v>0.27</v>
      </c>
      <c r="CC159" s="90" t="n">
        <f aca="false">INDEX(in_mkt_listing_3460,1,C159)*(1-IF(sku_flute_3460="B",T159,0))*(1-S159)*N159</f>
        <v>0.225</v>
      </c>
      <c r="CD159" s="88" t="n">
        <f aca="false">BT159*CA159+BU159*CB159+BV159*CC159</f>
        <v>18526.077</v>
      </c>
      <c r="CE159" s="88" t="n">
        <f aca="false">CD159-BM159</f>
        <v>-384.490982787236</v>
      </c>
      <c r="CF159" s="87" t="n">
        <f aca="false">IF(CD159&gt;0,CE159/CD159,0)</f>
        <v>-0.0207540421421781</v>
      </c>
      <c r="CG159" s="87" t="n">
        <f aca="false">W159+INDEX(in_sel_processing,1,C159)+INDEX(in_sel_bad_debt,1,C159)</f>
        <v>0.058</v>
      </c>
      <c r="CH159" s="88" t="n">
        <f aca="false">CD159*CG159</f>
        <v>1074.512466</v>
      </c>
      <c r="CI159" s="88" t="n">
        <f aca="false">INDEX(in_sel_testing,1,C159)*X159+INDEX(in_sel_admin,1,C159)</f>
        <v>3000</v>
      </c>
      <c r="CJ159" s="79" t="n">
        <f aca="false">INDEX(in_sup_lead_days,1,C159)</f>
        <v>21</v>
      </c>
      <c r="CK159" s="79" t="n">
        <f aca="false">CJ159+INDEX(in_oce_transit,1,C159)+IF(F159=4,INDEX(in_oce_lcl_extra_days,1,C159),0)</f>
        <v>51</v>
      </c>
      <c r="CL159" s="79" t="n">
        <f aca="false">CK159+2+INDEX(in_cus_dem_days,1,C159)</f>
        <v>53</v>
      </c>
      <c r="CM159" s="79" t="n">
        <f aca="false">CL159+U159</f>
        <v>98</v>
      </c>
      <c r="CN159" s="79" t="n">
        <f aca="false">CJ159+INDEX(in_sup_vat_lag,1,C159)</f>
        <v>81</v>
      </c>
      <c r="CO159" s="91" t="n">
        <f aca="false">INDEX(in_sup_advance,1,C159)</f>
        <v>0.5</v>
      </c>
      <c r="CP159" s="88" t="n">
        <f aca="false">CO159*(AL159+AM159)+AO159+INDEX(in_sel_testing,1,C159)*X159</f>
        <v>8955.05980126879</v>
      </c>
      <c r="CQ159" s="88" t="n">
        <f aca="false">(1-CO159)*(AL159+AM159)+AR159+AU159+AZ159</f>
        <v>11937.9769890175</v>
      </c>
      <c r="CR159" s="88" t="n">
        <f aca="false">BB159+BC159+BD159+BF159+BJ159</f>
        <v>592.984477023125</v>
      </c>
      <c r="CS159" s="88" t="n">
        <f aca="false">BK159+BL159</f>
        <v>1510</v>
      </c>
      <c r="CT159" s="88" t="n">
        <f aca="false">IF(K159=2,AM159,0)</f>
        <v>1585.45328452216</v>
      </c>
      <c r="CU159" s="85" t="n">
        <f aca="false">IF(K159=2,CO159*AM159*(CN159-0)+(1-CO159)*AM159*(CN159-CJ159),0)</f>
        <v>111774.456558812</v>
      </c>
      <c r="CV159" s="85" t="n">
        <f aca="false">(CP159-CO159*CT159)*(CM159-0)+(CQ159-(1-CO159)*CT159)*(CM159-CJ159)+CR159*(CM159-CK159)+CS159*(CM159-CL159)</f>
        <v>1753913.19670309</v>
      </c>
      <c r="CW159" s="88" t="n">
        <f aca="false">INDEX(in_sel_fin_rate,1,C159)/365*(CU159+CV159)</f>
        <v>511.147302263534</v>
      </c>
      <c r="CX159" s="85" t="n">
        <f aca="false">CP159-IF(CN159&lt;=0,CT159,0)</f>
        <v>8955.05980126879</v>
      </c>
      <c r="CY159" s="85" t="n">
        <f aca="false">CP159+CQ159-IF(CN159&lt;=CJ159,CT159,0)</f>
        <v>20893.0367902863</v>
      </c>
      <c r="CZ159" s="85" t="n">
        <f aca="false">CP159+CQ159+CR159-IF(CN159&lt;=CK159,CT159,0)</f>
        <v>21486.0212673094</v>
      </c>
      <c r="DA159" s="85" t="n">
        <f aca="false">CP159+CQ159+CR159+CS159-IF(CN159&lt;=CL159,CT159,0)</f>
        <v>22996.0212673094</v>
      </c>
      <c r="DB159" s="88" t="n">
        <f aca="false">MAX(CX159,CY159,CZ159,DA159)</f>
        <v>22996.0212673094</v>
      </c>
      <c r="DC159" s="88" t="n">
        <f aca="false">CP159+CQ159+CR159+CS159</f>
        <v>22996.0212673094</v>
      </c>
      <c r="DD159" s="88" t="n">
        <f aca="false">CE159-CH159-CI159-CW159</f>
        <v>-4970.15075105077</v>
      </c>
      <c r="DE159" s="87" t="n">
        <f aca="false">IF(CD159&gt;0,DD159/CD159,0)</f>
        <v>-0.268278640483399</v>
      </c>
      <c r="DF159" s="86" t="n">
        <f aca="false">IF(CD159&gt;0,(BM159+CI159+CW159)/(CD159*(1-CG159)),0)</f>
        <v>1.28479685826263</v>
      </c>
      <c r="DG159" s="90" t="n">
        <f aca="false">IF(BW159&gt;0,BM159/BW159,0)</f>
        <v>0.248043232240549</v>
      </c>
      <c r="DH159" s="90" t="n">
        <f aca="false">IF(BW159&gt;0,CD159/BW159,0)</f>
        <v>0.243</v>
      </c>
      <c r="DI159" s="90" t="n">
        <f aca="false">IF(AI159&gt;0,(AI159*IF(K159=3,INDEX(in_sup_vat_rate,1,C159),0)+AV159*BA159+(BC159+BD159)*AV159/AY159+AZ159*AI159/AL159)/AI159,0)</f>
        <v>0.0113367116891461</v>
      </c>
      <c r="DJ159" s="90" t="n">
        <f aca="false">IF(AJ159&gt;0,(AJ159*IF(K159=3,INDEX(in_sup_vat_rate,1,C159),0)+AW159*BA159+(BC159+BD159)*AW159/AY159+AZ159*AJ159/AL159)/AJ159,0)</f>
        <v>0.0113367116891461</v>
      </c>
      <c r="DK159" s="90" t="n">
        <f aca="false">IF(AK159&gt;0,(AK159*IF(K159=3,INDEX(in_sup_vat_rate,1,C159),0)+AX159*BA159+(BC159+BD159)*AX159/AY159+AZ159*AK159/AL159)/AK159,0)</f>
        <v>0.0113367116891461</v>
      </c>
      <c r="DL159" s="90" t="n">
        <f aca="false">IF(Y159&gt;0,(BP159-AI159*(1+DI159))/Y159,0)</f>
        <v>0.0957610235665805</v>
      </c>
      <c r="DM159" s="90" t="n">
        <f aca="false">IF(Z159&gt;0,(BQ159-AJ159*(1+DJ159))/Z159,0)</f>
        <v>0.113317095640031</v>
      </c>
      <c r="DN159" s="90" t="n">
        <f aca="false">IF(AA159&gt;0,(BR159-AK159*(1+DK159))/AA159,0)</f>
        <v>0.0799729345820983</v>
      </c>
      <c r="DO159" s="86" t="n">
        <f aca="false">IF(Y159&gt;0,(CA159*(1-thr_gm_go)*(1-R159)-DL159)/(1+DI159)*I159/((1+AH159)*J159),"")</f>
        <v>4.02366375653651</v>
      </c>
      <c r="DP159" s="86" t="n">
        <f aca="false">IF(Z159&gt;0,(CB159*(1-thr_gm_go)*(1-R159)-DM159)/(1+DJ159)*I159/((1+AH159)*J159),"")</f>
        <v>4.49534406639232</v>
      </c>
      <c r="DQ159" s="86" t="n">
        <f aca="false">IF(AA159&gt;0,(CC159*(1-thr_gm_go)*(1-R159)-DN159)/(1+DK159)*I159/((1+AH159)*J159),"")</f>
        <v>4.50058383811118</v>
      </c>
      <c r="DR159" s="92" t="n">
        <f aca="false">IF(AND(AY159*INDEX(in_cus_mpf_rate,1,C159)&gt;INDEX(in_cus_mpf_min,1,C159),AY159*INDEX(in_cus_mpf_rate,1,C159)&lt;INDEX(in_cus_mpf_max,1,C159)),INDEX(in_cus_mpf_rate,1,C159),0)</f>
        <v>0.003464</v>
      </c>
      <c r="DS159" s="88" t="n">
        <f aca="false">IF(AZ159&gt;INDEX(in_oce_ins_min,1,C159),INDEX(in_oce_ins_rate,1,C159)*(1+INDEX(in_oce_ins_uplift,1,C159))*AL159,0)</f>
        <v>0</v>
      </c>
      <c r="DT159" s="88" t="n">
        <f aca="false">(AL159+AN159)*(1+BA159+INDEX(in_cus_hmf,1,C159)+DR159)+DS159</f>
        <v>11378.0507950385</v>
      </c>
      <c r="DU159" s="86" t="n">
        <f aca="false">IF(DT159&gt;0,(CD159*(1-thr_gm_go)-(BM159-DT159))/DT159,0)</f>
        <v>0.559150304112327</v>
      </c>
      <c r="DV159" s="86" t="n">
        <f aca="false">IF(DT159&gt;0,(CD159-(BM159-DT159))/DT159,0)</f>
        <v>0.966207658085435</v>
      </c>
      <c r="DW159" s="87" t="n">
        <f aca="false">(1+AH159)*J159*DU159-1</f>
        <v>-0.440849695887673</v>
      </c>
      <c r="DX159" s="87" t="n">
        <f aca="false">(1+AH159)*J159*DV159-1</f>
        <v>-0.0337923419145655</v>
      </c>
      <c r="DY159" s="85" t="n">
        <f aca="false">IF(G159&gt;0,(CD159*(1-thr_gm_go)-(BM159-AT159))/G159,"")</f>
        <v>-1016.01023278724</v>
      </c>
      <c r="DZ159" s="90" t="n">
        <f aca="false">IF(AB159&gt;0,(AL159+AN159+BB159+BC159+BD159)/AB159,0)</f>
        <v>0.147003240245976</v>
      </c>
      <c r="EA159" s="88" t="n">
        <f aca="false">BM159-DZ159*AB159</f>
        <v>7532.5171877487</v>
      </c>
      <c r="EB159" s="90" t="n">
        <f aca="false">IF(AB159&gt;0,CD159/AB159,0)</f>
        <v>0.239355</v>
      </c>
      <c r="EC159" s="85" t="n">
        <f aca="false">IF(EB159*(1-thr_gm_go)-DZ159&gt;0,EA159/(EB159*(1-thr_gm_go)-DZ159),"n/a")</f>
        <v>231677.019283532</v>
      </c>
      <c r="ED159" s="85" t="n">
        <f aca="false">IF(EB159-DZ159&gt;0,EA159/(EB159-DZ159),"n/a")</f>
        <v>81563.3314168709</v>
      </c>
      <c r="EE159" s="93" t="b">
        <f aca="false">INDEX(cfg_fits,D159,C159)</f>
        <v>1</v>
      </c>
      <c r="EF159" s="87" t="n">
        <f aca="false">IF(F159=4,"",INDEX(cfg_lenutil,D159,C159))</f>
        <v>0.999580888516345</v>
      </c>
      <c r="EG159" s="31" t="str">
        <f aca="false">IF(O159&gt;1,"Check fit (units scaled up)","")</f>
        <v/>
      </c>
    </row>
    <row r="160" customFormat="false" ht="15" hidden="false" customHeight="false" outlineLevel="0" collapsed="false">
      <c r="A160" s="78" t="n">
        <v>900006</v>
      </c>
      <c r="B160" s="9" t="s">
        <v>3308</v>
      </c>
      <c r="C160" s="10" t="n">
        <f aca="false">sel_scen</f>
        <v>2</v>
      </c>
      <c r="D160" s="10" t="n">
        <f aca="false">sel_cfg</f>
        <v>4</v>
      </c>
      <c r="E160" s="10" t="n">
        <f aca="false">sel_dest</f>
        <v>1</v>
      </c>
      <c r="F160" s="79" t="n">
        <f aca="false">INDEX(cfg_ct,D160)</f>
        <v>3</v>
      </c>
      <c r="G160" s="79" t="n">
        <f aca="false">INDEX(cfg_n,D160)</f>
        <v>1</v>
      </c>
      <c r="H160" s="79" t="n">
        <f aca="false">INDEX(dest_port,E160)</f>
        <v>1</v>
      </c>
      <c r="I160" s="80" t="n">
        <f aca="false">INDEX(in_fx_cbe,1,C160)*(1-INDEX(in_fx_spread,1,C160))</f>
        <v>52.7748</v>
      </c>
      <c r="J160" s="81" t="n">
        <f aca="false">1</f>
        <v>1</v>
      </c>
      <c r="K160" s="82" t="n">
        <f aca="false">INDEX(in_sup_vat_mode,1,C160)</f>
        <v>2</v>
      </c>
      <c r="L160" s="28" t="n">
        <v>0.25</v>
      </c>
      <c r="M160" s="84" t="n">
        <f aca="false">1</f>
        <v>1</v>
      </c>
      <c r="N160" s="81" t="n">
        <f aca="false">1</f>
        <v>1</v>
      </c>
      <c r="O160" s="81" t="n">
        <f aca="false">1</f>
        <v>1</v>
      </c>
      <c r="P160" s="81" t="n">
        <f aca="false">1</f>
        <v>1</v>
      </c>
      <c r="Q160" s="81" t="n">
        <f aca="false">1</f>
        <v>1</v>
      </c>
      <c r="R160" s="83" t="n">
        <f aca="false">INDEX(in_sel_damage,1,C160)</f>
        <v>0.015</v>
      </c>
      <c r="S160" s="83" t="n">
        <f aca="false">INDEX(in_mkt_dist_margin,1,C160)</f>
        <v>0.25</v>
      </c>
      <c r="T160" s="83" t="n">
        <f aca="false">INDEX(in_mkt_eflute_disc,1,C160)</f>
        <v>0.2</v>
      </c>
      <c r="U160" s="82" t="n">
        <f aca="false">INDEX(in_sel_credit_days,1,C160)</f>
        <v>45</v>
      </c>
      <c r="V160" s="81" t="n">
        <f aca="false">1</f>
        <v>1</v>
      </c>
      <c r="W160" s="83" t="n">
        <f aca="false">INDEX(in_sel_commission,1,C160)</f>
        <v>0.05</v>
      </c>
      <c r="X160" s="82" t="n">
        <f aca="false">1</f>
        <v>1</v>
      </c>
      <c r="Y160" s="85" t="n">
        <f aca="false">INDEX(cfg_u_3464,D160,C160)*O160</f>
        <v>25800</v>
      </c>
      <c r="Z160" s="85" t="n">
        <f aca="false">INDEX(cfg_u_3463,D160,C160)*O160</f>
        <v>25800</v>
      </c>
      <c r="AA160" s="85" t="n">
        <f aca="false">INDEX(cfg_u_3460,D160,C160)*O160</f>
        <v>25800</v>
      </c>
      <c r="AB160" s="85" t="n">
        <f aca="false">Y160+Z160+AA160</f>
        <v>77400</v>
      </c>
      <c r="AC160" s="86" t="n">
        <f aca="false">Y160*INDEX(lg_vpu_3464,C160)</f>
        <v>18.3539136</v>
      </c>
      <c r="AD160" s="86" t="n">
        <f aca="false">Z160*INDEX(lg_vpu_3463,C160)</f>
        <v>22.4530176</v>
      </c>
      <c r="AE160" s="86" t="n">
        <f aca="false">AA160*INDEX(lg_vpu_3460,C160)</f>
        <v>14.6676096</v>
      </c>
      <c r="AF160" s="86" t="n">
        <f aca="false">AC160+AD160+AE160</f>
        <v>55.4745408</v>
      </c>
      <c r="AG160" s="85" t="n">
        <f aca="false">Y160*INDEX(lg_kpu_3464,C160)+Z160*INDEX(lg_kpu_3463,C160)+AA160*INDEX(lg_kpu_3460,C160)</f>
        <v>13341.3537888</v>
      </c>
      <c r="AH160" s="87" t="n">
        <f aca="false">INDEX(in_sup_requote,1,C160)</f>
        <v>0</v>
      </c>
      <c r="AI160" s="88" t="n">
        <f aca="false">Y160*q_price_3464*(1+AH160)*J160/I160</f>
        <v>4089.39493849337</v>
      </c>
      <c r="AJ160" s="88" t="n">
        <f aca="false">Z160*q_price_3463*(1+AH160)*J160/I160</f>
        <v>3862.07053366379</v>
      </c>
      <c r="AK160" s="88" t="n">
        <f aca="false">AA160*q_price_3460*(1+AH160)*J160/I160</f>
        <v>3373.20084585825</v>
      </c>
      <c r="AL160" s="88" t="n">
        <f aca="false">AI160+AJ160+AK160</f>
        <v>11324.6663180154</v>
      </c>
      <c r="AM160" s="88" t="n">
        <f aca="false">IF(OR(K160=2,K160=3),AL160*INDEX(in_sup_vat_rate,1,C160),0)</f>
        <v>1585.45328452216</v>
      </c>
      <c r="AN160" s="88" t="n">
        <f aca="false">IF(K160=3,AM160,0)</f>
        <v>0</v>
      </c>
      <c r="AO160" s="88" t="n">
        <f aca="false">INDEX(in_sup_tooling_egp,1,C160)/I160</f>
        <v>0</v>
      </c>
      <c r="AP160" s="88" t="n">
        <f aca="false">IF(F160=4,INDEX(in_ori_lcl_truck,1,C160)*V160/I160+INDEX(in_ori_lcl_cfs_o,1,C160),G160*(IF(F160=1,INDEX(in_ori_truck_20,1,C160),INDEX(in_ori_truck_40,1,C160))*V160/I160+INDEX(in_ori_terminal,1,C160)+IF(F160=1,INDEX(in_ori_othc_20,1,C160),INDEX(in_ori_othc_40,1,C160))*(1-INDEX(in_ori_othc_in_freight,1,C160))+INDEX(in_ori_seal,1,C160)+INDEX(in_ori_inspection,1,C160)+INDEX(in_ori_dd_days,1,C160)*IF(F160=1,INDEX(in_ori_dd_20,1,C160),INDEX(in_ori_dd_40,1,C160))+INDEX(in_ori_loading_egp,1,C160)/I160))</f>
        <v>555.278125165799</v>
      </c>
      <c r="AQ160" s="88" t="n">
        <f aca="false">(INDEX(in_ori_clearance,1,C160)+INDEX(in_ori_coo,1,C160))/I160+INDEX(in_ori_bl_fee,1,C160)+INDEX(in_ori_fwd_fee,1,C160)+INDEX(in_ori_qc,1,C160)+INDEX(in_ori_wires,1,C160)*INDEX(in_ori_wire_fee,1,C160)</f>
        <v>817.639062582899</v>
      </c>
      <c r="AR160" s="88" t="n">
        <f aca="false">AP160+AQ160</f>
        <v>1372.9171877487</v>
      </c>
      <c r="AS160" s="85" t="n">
        <f aca="false">INDEX(tbl_port_diff,H160,C160)</f>
        <v>0</v>
      </c>
      <c r="AT160" s="88" t="n">
        <f aca="false">IF(F160=4,MAX(AF160*INDEX(in_oce_lcl_factor,1,C160),AG160/1000,1)*INDEX(in_oce_lcl_rate,1,C160)*M160,G160*(INDEX(tbl_ocean_rate,MIN(F160,3),C160)+AS160)*M160)</f>
        <v>4000</v>
      </c>
      <c r="AU160" s="88" t="n">
        <f aca="false">AT160+INDEX(in_oce_ams,1,C160)</f>
        <v>4035</v>
      </c>
      <c r="AV160" s="88" t="n">
        <f aca="false">AI160*(1+IF(K160=3,INDEX(in_sup_vat_rate,1,C160),0))+AO160*Y160/AB160</f>
        <v>4089.39493849337</v>
      </c>
      <c r="AW160" s="88" t="n">
        <f aca="false">AJ160*(1+IF(K160=3,INDEX(in_sup_vat_rate,1,C160),0))+AO160*Z160/AB160</f>
        <v>3862.07053366379</v>
      </c>
      <c r="AX160" s="88" t="n">
        <f aca="false">AK160*(1+IF(K160=3,INDEX(in_sup_vat_rate,1,C160),0))+AO160*AA160/AB160</f>
        <v>3373.20084585825</v>
      </c>
      <c r="AY160" s="88" t="n">
        <f aca="false">AV160+AW160+AX160</f>
        <v>11324.6663180154</v>
      </c>
      <c r="AZ160" s="88" t="n">
        <f aca="false">MAX(INDEX(in_oce_ins_min,1,C160),INDEX(in_oce_ins_rate,1,C160)*(1+INDEX(in_oce_ins_uplift,1,C160))*(AL160+AO160+AR160+AU160))*(1-INDEX(in_oce_ins_in_other,1,C160))</f>
        <v>75</v>
      </c>
      <c r="BA160" s="87" t="n">
        <f aca="false">INDEX(in_cus_mfn,1,C160)+L160</f>
        <v>0.25</v>
      </c>
      <c r="BB160" s="88" t="n">
        <f aca="false">AY160*BA160</f>
        <v>2831.16657950385</v>
      </c>
      <c r="BC160" s="88" t="n">
        <f aca="false">MIN(MAX(AY160*INDEX(in_cus_mpf_rate,1,C160),INDEX(in_cus_mpf_min,1,C160)),INDEX(in_cus_mpf_max,1,C160))</f>
        <v>39.2286441256054</v>
      </c>
      <c r="BD160" s="88" t="n">
        <f aca="false">AY160*INDEX(in_cus_hmf,1,C160)</f>
        <v>14.1558328975193</v>
      </c>
      <c r="BE160" s="88" t="n">
        <f aca="false">MAX(INDEX(in_cus_stb_min,1,C160),INDEX(in_cus_stb_rate,1,C160)/1000*(AY160+BB160+BC160+BD160))</f>
        <v>85.2553042472544</v>
      </c>
      <c r="BF160" s="88" t="n">
        <f aca="false">INDEX(in_cus_broker,1,C160)+INDEX(in_cus_isf,1,C160)+INDEX(in_cus_do_fee,1,C160)+BE160+INDEX(in_cus_isf_bond,1,C160)</f>
        <v>520.255304247254</v>
      </c>
      <c r="BG160" s="88" t="n">
        <f aca="false">IF(H160=1,INDEX(in_cus_cfc,1,C160)*INDEX(ct_teu,F160)*G160*(1-INDEX(in_cus_cfc_in_freight,1,C160)),0)</f>
        <v>29.6</v>
      </c>
      <c r="BH160" s="88" t="n">
        <f aca="false">IF(F160=4,1,G160)*(INDEX(in_cus_exam,1,C160)+INDEX(in_cus_exam_dray,1,C160))</f>
        <v>0</v>
      </c>
      <c r="BI160" s="88" t="n">
        <f aca="false">IF(F160=4,1,G160)*INDEX(in_cus_dem_days,1,C160)*INDEX(in_cus_dem_rate,1,C160)</f>
        <v>0</v>
      </c>
      <c r="BJ160" s="88" t="n">
        <f aca="false">BG160+BH160+BI160</f>
        <v>29.6</v>
      </c>
      <c r="BK160" s="88" t="n">
        <f aca="false">IF(F160=4,(INDEX(in_dra_lcl_cfs_d,1,C160)+INDEX(in_dra_lcl_deliv,1,C160))*P160,G160*(INDEX(tbl_dest_line,E160,C160)*P160*(1+INDEX(in_dra_fsc,1,C160))+INDEX(tbl_dest_tolls,E160,C160)+INDEX(in_dra_chassis_days,1,C160)*INDEX(tbl_dest_chassis,E160,C160)*(1-INDEX(in_dra_chassis_in_dray,1,C160))+INDEX(in_dra_wait_hours,1,C160)*INDEX(in_dra_wait_rate,1,C160)+INDEX(in_dra_split,1,C160)+INDEX(in_dra_prepull,1,C160)+INDEX(in_dra_dryrun,1,C160)))</f>
        <v>1060</v>
      </c>
      <c r="BL160" s="88" t="n">
        <f aca="false">IF(F160=4,0,G160*IF(F160=1,INDEX(in_dra_unload_20,1,C160),INDEX(in_dra_unload_40,1,C160))*Q160*(1-INDEX(in_dra_unload_in_dray,1,C160)))</f>
        <v>450</v>
      </c>
      <c r="BM160" s="88" t="n">
        <f aca="false">AL160+AN160+AO160+AR160+AU160+AZ160+BB160+BC160+BD160+BF160+BJ160+BK160+BL160</f>
        <v>21751.9898665383</v>
      </c>
      <c r="BN160" s="88" t="n">
        <f aca="false">AP160+AU160+BJ160+BK160+BL160</f>
        <v>6129.8781251658</v>
      </c>
      <c r="BO160" s="88" t="n">
        <f aca="false">AQ160+BF160</f>
        <v>1337.89436683015</v>
      </c>
      <c r="BP160" s="88" t="n">
        <f aca="false">AI160*(1+IF(K160=3,INDEX(in_sup_vat_rate,1,C160),0))+AO160*Y160/AB160+AV160*BA160+(BC160+BD160)*AV160/AY160+AZ160*AI160/AL160+BN160*AC160/AF160+BO160*Y160/AB160</f>
        <v>7632.15680728433</v>
      </c>
      <c r="BQ160" s="88" t="n">
        <f aca="false">AJ160*(1+IF(K160=3,INDEX(in_sup_vat_rate,1,C160),0))+AO160*Z160/AB160+AW160*BA160+(BC160+BD160)*AW160/AY160+AZ160*AJ160/AL160+BN160*AD160/AF160+BO160*Z160/AB160</f>
        <v>7798.37084950491</v>
      </c>
      <c r="BR160" s="88" t="n">
        <f aca="false">AK160*(1+IF(K160=3,INDEX(in_sup_vat_rate,1,C160),0))+AO160*AA160/AB160+AX160*BA160+(BC160+BD160)*AX160/AY160+AZ160*AK160/AL160+BN160*AE160/AF160+BO160*AA160/AB160</f>
        <v>6321.46220974911</v>
      </c>
      <c r="BS160" s="89" t="n">
        <f aca="false">BP160+BQ160+BR160-BM160</f>
        <v>0</v>
      </c>
      <c r="BT160" s="85" t="n">
        <f aca="false">Y160*(1-R160)</f>
        <v>25413</v>
      </c>
      <c r="BU160" s="85" t="n">
        <f aca="false">Z160*(1-R160)</f>
        <v>25413</v>
      </c>
      <c r="BV160" s="85" t="n">
        <f aca="false">AA160*(1-R160)</f>
        <v>25413</v>
      </c>
      <c r="BW160" s="85" t="n">
        <f aca="false">BT160+BU160+BV160</f>
        <v>76239</v>
      </c>
      <c r="BX160" s="90" t="n">
        <f aca="false">IF(BT160&gt;0,BP160/BT160,0)</f>
        <v>0.300324904863036</v>
      </c>
      <c r="BY160" s="90" t="n">
        <f aca="false">IF(BU160&gt;0,BQ160/BU160,0)</f>
        <v>0.306865417286621</v>
      </c>
      <c r="BZ160" s="90" t="n">
        <f aca="false">IF(BV160&gt;0,BR160/BV160,0)</f>
        <v>0.248749152392441</v>
      </c>
      <c r="CA160" s="90" t="n">
        <f aca="false">INDEX(in_mkt_listing_3464,1,C160)*(1-IF(sku_flute_3464="B",T160,0))*(1-S160)*N160</f>
        <v>0.234</v>
      </c>
      <c r="CB160" s="90" t="n">
        <f aca="false">INDEX(in_mkt_listing_3463,1,C160)*(1-IF(sku_flute_3463="B",T160,0))*(1-S160)*N160</f>
        <v>0.27</v>
      </c>
      <c r="CC160" s="90" t="n">
        <f aca="false">INDEX(in_mkt_listing_3460,1,C160)*(1-IF(sku_flute_3460="B",T160,0))*(1-S160)*N160</f>
        <v>0.225</v>
      </c>
      <c r="CD160" s="88" t="n">
        <f aca="false">BT160*CA160+BU160*CB160+BV160*CC160</f>
        <v>18526.077</v>
      </c>
      <c r="CE160" s="88" t="n">
        <f aca="false">CD160-BM160</f>
        <v>-3225.91286653834</v>
      </c>
      <c r="CF160" s="87" t="n">
        <f aca="false">IF(CD160&gt;0,CE160/CD160,0)</f>
        <v>-0.174128222965841</v>
      </c>
      <c r="CG160" s="87" t="n">
        <f aca="false">W160+INDEX(in_sel_processing,1,C160)+INDEX(in_sel_bad_debt,1,C160)</f>
        <v>0.058</v>
      </c>
      <c r="CH160" s="88" t="n">
        <f aca="false">CD160*CG160</f>
        <v>1074.512466</v>
      </c>
      <c r="CI160" s="88" t="n">
        <f aca="false">INDEX(in_sel_testing,1,C160)*X160+INDEX(in_sel_admin,1,C160)</f>
        <v>3000</v>
      </c>
      <c r="CJ160" s="79" t="n">
        <f aca="false">INDEX(in_sup_lead_days,1,C160)</f>
        <v>21</v>
      </c>
      <c r="CK160" s="79" t="n">
        <f aca="false">CJ160+INDEX(in_oce_transit,1,C160)+IF(F160=4,INDEX(in_oce_lcl_extra_days,1,C160),0)</f>
        <v>51</v>
      </c>
      <c r="CL160" s="79" t="n">
        <f aca="false">CK160+2+INDEX(in_cus_dem_days,1,C160)</f>
        <v>53</v>
      </c>
      <c r="CM160" s="79" t="n">
        <f aca="false">CL160+U160</f>
        <v>98</v>
      </c>
      <c r="CN160" s="79" t="n">
        <f aca="false">CJ160+INDEX(in_sup_vat_lag,1,C160)</f>
        <v>81</v>
      </c>
      <c r="CO160" s="91" t="n">
        <f aca="false">INDEX(in_sup_advance,1,C160)</f>
        <v>0.5</v>
      </c>
      <c r="CP160" s="88" t="n">
        <f aca="false">CO160*(AL160+AM160)+AO160+INDEX(in_sel_testing,1,C160)*X160</f>
        <v>8955.05980126879</v>
      </c>
      <c r="CQ160" s="88" t="n">
        <f aca="false">(1-CO160)*(AL160+AM160)+AR160+AU160+AZ160</f>
        <v>11937.9769890175</v>
      </c>
      <c r="CR160" s="88" t="n">
        <f aca="false">BB160+BC160+BD160+BF160+BJ160</f>
        <v>3434.40636077423</v>
      </c>
      <c r="CS160" s="88" t="n">
        <f aca="false">BK160+BL160</f>
        <v>1510</v>
      </c>
      <c r="CT160" s="88" t="n">
        <f aca="false">IF(K160=2,AM160,0)</f>
        <v>1585.45328452216</v>
      </c>
      <c r="CU160" s="85" t="n">
        <f aca="false">IF(K160=2,CO160*AM160*(CN160-0)+(1-CO160)*AM160*(CN160-CJ160),0)</f>
        <v>111774.456558812</v>
      </c>
      <c r="CV160" s="85" t="n">
        <f aca="false">(CP160-CO160*CT160)*(CM160-0)+(CQ160-(1-CO160)*CT160)*(CM160-CJ160)+CR160*(CM160-CK160)+CS160*(CM160-CL160)</f>
        <v>1887460.02523939</v>
      </c>
      <c r="CW160" s="88" t="n">
        <f aca="false">INDEX(in_sel_fin_rate,1,C160)/365*(CU160+CV160)</f>
        <v>547.73547446526</v>
      </c>
      <c r="CX160" s="85" t="n">
        <f aca="false">CP160-IF(CN160&lt;=0,CT160,0)</f>
        <v>8955.05980126879</v>
      </c>
      <c r="CY160" s="85" t="n">
        <f aca="false">CP160+CQ160-IF(CN160&lt;=CJ160,CT160,0)</f>
        <v>20893.0367902863</v>
      </c>
      <c r="CZ160" s="85" t="n">
        <f aca="false">CP160+CQ160+CR160-IF(CN160&lt;=CK160,CT160,0)</f>
        <v>24327.4431510605</v>
      </c>
      <c r="DA160" s="85" t="n">
        <f aca="false">CP160+CQ160+CR160+CS160-IF(CN160&lt;=CL160,CT160,0)</f>
        <v>25837.4431510605</v>
      </c>
      <c r="DB160" s="88" t="n">
        <f aca="false">MAX(CX160,CY160,CZ160,DA160)</f>
        <v>25837.4431510605</v>
      </c>
      <c r="DC160" s="88" t="n">
        <f aca="false">CP160+CQ160+CR160+CS160</f>
        <v>25837.4431510605</v>
      </c>
      <c r="DD160" s="88" t="n">
        <f aca="false">CE160-CH160-CI160-CW160</f>
        <v>-7848.1608070036</v>
      </c>
      <c r="DE160" s="87" t="n">
        <f aca="false">IF(CD160&gt;0,DD160/CD160,0)</f>
        <v>-0.423627776512189</v>
      </c>
      <c r="DF160" s="86" t="n">
        <f aca="false">IF(CD160&gt;0,(BM160+CI160+CW160)/(CD160*(1-CG160)),0)</f>
        <v>1.44971101540572</v>
      </c>
      <c r="DG160" s="90" t="n">
        <f aca="false">IF(BW160&gt;0,BM160/BW160,0)</f>
        <v>0.285313158180699</v>
      </c>
      <c r="DH160" s="90" t="n">
        <f aca="false">IF(BW160&gt;0,CD160/BW160,0)</f>
        <v>0.243</v>
      </c>
      <c r="DI160" s="90" t="n">
        <f aca="false">IF(AI160&gt;0,(AI160*IF(K160=3,INDEX(in_sup_vat_rate,1,C160),0)+AV160*BA160+(BC160+BD160)*AV160/AY160+AZ160*AI160/AL160)/AI160,0)</f>
        <v>0.261336711689146</v>
      </c>
      <c r="DJ160" s="90" t="n">
        <f aca="false">IF(AJ160&gt;0,(AJ160*IF(K160=3,INDEX(in_sup_vat_rate,1,C160),0)+AW160*BA160+(BC160+BD160)*AW160/AY160+AZ160*AJ160/AL160)/AJ160,0)</f>
        <v>0.261336711689146</v>
      </c>
      <c r="DK160" s="90" t="n">
        <f aca="false">IF(AK160&gt;0,(AK160*IF(K160=3,INDEX(in_sup_vat_rate,1,C160),0)+AX160*BA160+(BC160+BD160)*AX160/AY160+AZ160*AK160/AL160)/AK160,0)</f>
        <v>0.261336711689146</v>
      </c>
      <c r="DL160" s="90" t="n">
        <f aca="false">IF(Y160&gt;0,(BP160-AI160*(1+DI160))/Y160,0)</f>
        <v>0.0958935210374753</v>
      </c>
      <c r="DM160" s="90" t="n">
        <f aca="false">IF(Z160&gt;0,(BQ160-AJ160*(1+DJ160))/Z160,0)</f>
        <v>0.113449593110925</v>
      </c>
      <c r="DN160" s="90" t="n">
        <f aca="false">IF(AA160&gt;0,(BR160-AK160*(1+DK160))/AA160,0)</f>
        <v>0.080105432052993</v>
      </c>
      <c r="DO160" s="86" t="n">
        <f aca="false">IF(Y160&gt;0,(CA160*(1-thr_gm_go)*(1-R160)-DL160)/(1+DI160)*I160/((1+AH160)*J160),"")</f>
        <v>3.22062008288917</v>
      </c>
      <c r="DP160" s="86" t="n">
        <f aca="false">IF(Z160&gt;0,(CB160*(1-thr_gm_go)*(1-R160)-DM160)/(1+DJ160)*I160/((1+AH160)*J160),"")</f>
        <v>3.59881220963641</v>
      </c>
      <c r="DQ160" s="86" t="n">
        <f aca="false">IF(AA160&gt;0,(CC160*(1-thr_gm_go)*(1-R160)-DN160)/(1+DK160)*I160/((1+AH160)*J160),"")</f>
        <v>3.60301344587338</v>
      </c>
      <c r="DR160" s="92" t="n">
        <f aca="false">IF(AND(AY160*INDEX(in_cus_mpf_rate,1,C160)&gt;INDEX(in_cus_mpf_min,1,C160),AY160*INDEX(in_cus_mpf_rate,1,C160)&lt;INDEX(in_cus_mpf_max,1,C160)),INDEX(in_cus_mpf_rate,1,C160),0)</f>
        <v>0.003464</v>
      </c>
      <c r="DS160" s="88" t="n">
        <f aca="false">IF(AZ160&gt;INDEX(in_oce_ins_min,1,C160),INDEX(in_oce_ins_rate,1,C160)*(1+INDEX(in_oce_ins_uplift,1,C160))*AL160,0)</f>
        <v>0</v>
      </c>
      <c r="DT160" s="88" t="n">
        <f aca="false">(AL160+AN160)*(1+BA160+INDEX(in_cus_hmf,1,C160)+DR160)+DS160</f>
        <v>14209.2173745424</v>
      </c>
      <c r="DU160" s="86" t="n">
        <f aca="false">IF(DT160&gt;0,(CD160*(1-thr_gm_go)-(BM160-DT160))/DT160,0)</f>
        <v>0.447018656311366</v>
      </c>
      <c r="DV160" s="86" t="n">
        <f aca="false">IF(DT160&gt;0,(CD160-(BM160-DT160))/DT160,0)</f>
        <v>0.772970404948694</v>
      </c>
      <c r="DW160" s="87" t="n">
        <f aca="false">(1+AH160)*J160*DU160-1</f>
        <v>-0.552981343688634</v>
      </c>
      <c r="DX160" s="87" t="n">
        <f aca="false">(1+AH160)*J160*DV160-1</f>
        <v>-0.227029595051306</v>
      </c>
      <c r="DY160" s="85" t="n">
        <f aca="false">IF(G160&gt;0,(CD160*(1-thr_gm_go)-(BM160-AT160))/G160,"")</f>
        <v>-3857.43211653834</v>
      </c>
      <c r="DZ160" s="90" t="n">
        <f aca="false">IF(AB160&gt;0,(AL160+AN160+BB160+BC160+BD160)/AB160,0)</f>
        <v>0.183581619826129</v>
      </c>
      <c r="EA160" s="88" t="n">
        <f aca="false">BM160-DZ160*AB160</f>
        <v>7542.77249199595</v>
      </c>
      <c r="EB160" s="90" t="n">
        <f aca="false">IF(AB160&gt;0,CD160/AB160,0)</f>
        <v>0.239355</v>
      </c>
      <c r="EC160" s="85" t="str">
        <f aca="false">IF(EB160*(1-thr_gm_go)-DZ160&gt;0,EA160/(EB160*(1-thr_gm_go)-DZ160),"n/a")</f>
        <v>n/a</v>
      </c>
      <c r="ED160" s="85" t="n">
        <f aca="false">IF(EB160-DZ160&gt;0,EA160/(EB160-DZ160),"n/a")</f>
        <v>135239.651397884</v>
      </c>
      <c r="EE160" s="93" t="b">
        <f aca="false">INDEX(cfg_fits,D160,C160)</f>
        <v>1</v>
      </c>
      <c r="EF160" s="87" t="n">
        <f aca="false">IF(F160=4,"",INDEX(cfg_lenutil,D160,C160))</f>
        <v>0.999580888516345</v>
      </c>
      <c r="EG160" s="31" t="str">
        <f aca="false">IF(O160&gt;1,"Check fit (units scaled up)","")</f>
        <v/>
      </c>
    </row>
    <row r="161" customFormat="false" ht="15" hidden="false" customHeight="false" outlineLevel="0" collapsed="false">
      <c r="A161" s="78" t="n">
        <v>900007</v>
      </c>
      <c r="B161" s="9" t="s">
        <v>3309</v>
      </c>
      <c r="C161" s="10" t="n">
        <f aca="false">sel_scen</f>
        <v>2</v>
      </c>
      <c r="D161" s="10" t="n">
        <f aca="false">sel_cfg</f>
        <v>4</v>
      </c>
      <c r="E161" s="10" t="n">
        <f aca="false">sel_dest</f>
        <v>1</v>
      </c>
      <c r="F161" s="79" t="n">
        <f aca="false">INDEX(cfg_ct,D161)</f>
        <v>3</v>
      </c>
      <c r="G161" s="79" t="n">
        <f aca="false">INDEX(cfg_n,D161)</f>
        <v>1</v>
      </c>
      <c r="H161" s="79" t="n">
        <f aca="false">INDEX(dest_port,E161)</f>
        <v>1</v>
      </c>
      <c r="I161" s="80" t="n">
        <f aca="false">INDEX(in_fx_cbe,1,C161)*(1-INDEX(in_fx_spread,1,C161))</f>
        <v>52.7748</v>
      </c>
      <c r="J161" s="95" t="n">
        <v>0.9</v>
      </c>
      <c r="K161" s="82" t="n">
        <f aca="false">INDEX(in_sup_vat_mode,1,C161)</f>
        <v>2</v>
      </c>
      <c r="L161" s="83" t="n">
        <f aca="false">INDEX(in_cus_s301,1,C161)</f>
        <v>0.125</v>
      </c>
      <c r="M161" s="84" t="n">
        <f aca="false">1</f>
        <v>1</v>
      </c>
      <c r="N161" s="81" t="n">
        <f aca="false">1</f>
        <v>1</v>
      </c>
      <c r="O161" s="81" t="n">
        <f aca="false">1</f>
        <v>1</v>
      </c>
      <c r="P161" s="81" t="n">
        <f aca="false">1</f>
        <v>1</v>
      </c>
      <c r="Q161" s="81" t="n">
        <f aca="false">1</f>
        <v>1</v>
      </c>
      <c r="R161" s="83" t="n">
        <f aca="false">INDEX(in_sel_damage,1,C161)</f>
        <v>0.015</v>
      </c>
      <c r="S161" s="83" t="n">
        <f aca="false">INDEX(in_mkt_dist_margin,1,C161)</f>
        <v>0.25</v>
      </c>
      <c r="T161" s="83" t="n">
        <f aca="false">INDEX(in_mkt_eflute_disc,1,C161)</f>
        <v>0.2</v>
      </c>
      <c r="U161" s="82" t="n">
        <f aca="false">INDEX(in_sel_credit_days,1,C161)</f>
        <v>45</v>
      </c>
      <c r="V161" s="81" t="n">
        <f aca="false">1</f>
        <v>1</v>
      </c>
      <c r="W161" s="83" t="n">
        <f aca="false">INDEX(in_sel_commission,1,C161)</f>
        <v>0.05</v>
      </c>
      <c r="X161" s="82" t="n">
        <f aca="false">1</f>
        <v>1</v>
      </c>
      <c r="Y161" s="85" t="n">
        <f aca="false">INDEX(cfg_u_3464,D161,C161)*O161</f>
        <v>25800</v>
      </c>
      <c r="Z161" s="85" t="n">
        <f aca="false">INDEX(cfg_u_3463,D161,C161)*O161</f>
        <v>25800</v>
      </c>
      <c r="AA161" s="85" t="n">
        <f aca="false">INDEX(cfg_u_3460,D161,C161)*O161</f>
        <v>25800</v>
      </c>
      <c r="AB161" s="85" t="n">
        <f aca="false">Y161+Z161+AA161</f>
        <v>77400</v>
      </c>
      <c r="AC161" s="86" t="n">
        <f aca="false">Y161*INDEX(lg_vpu_3464,C161)</f>
        <v>18.3539136</v>
      </c>
      <c r="AD161" s="86" t="n">
        <f aca="false">Z161*INDEX(lg_vpu_3463,C161)</f>
        <v>22.4530176</v>
      </c>
      <c r="AE161" s="86" t="n">
        <f aca="false">AA161*INDEX(lg_vpu_3460,C161)</f>
        <v>14.6676096</v>
      </c>
      <c r="AF161" s="86" t="n">
        <f aca="false">AC161+AD161+AE161</f>
        <v>55.4745408</v>
      </c>
      <c r="AG161" s="85" t="n">
        <f aca="false">Y161*INDEX(lg_kpu_3464,C161)+Z161*INDEX(lg_kpu_3463,C161)+AA161*INDEX(lg_kpu_3460,C161)</f>
        <v>13341.3537888</v>
      </c>
      <c r="AH161" s="87" t="n">
        <f aca="false">INDEX(in_sup_requote,1,C161)</f>
        <v>0</v>
      </c>
      <c r="AI161" s="88" t="n">
        <f aca="false">Y161*q_price_3464*(1+AH161)*J161/I161</f>
        <v>3680.45544464404</v>
      </c>
      <c r="AJ161" s="88" t="n">
        <f aca="false">Z161*q_price_3463*(1+AH161)*J161/I161</f>
        <v>3475.86348029741</v>
      </c>
      <c r="AK161" s="88" t="n">
        <f aca="false">AA161*q_price_3460*(1+AH161)*J161/I161</f>
        <v>3035.88076127243</v>
      </c>
      <c r="AL161" s="88" t="n">
        <f aca="false">AI161+AJ161+AK161</f>
        <v>10192.1996862139</v>
      </c>
      <c r="AM161" s="88" t="n">
        <f aca="false">IF(OR(K161=2,K161=3),AL161*INDEX(in_sup_vat_rate,1,C161),0)</f>
        <v>1426.90795606994</v>
      </c>
      <c r="AN161" s="88" t="n">
        <f aca="false">IF(K161=3,AM161,0)</f>
        <v>0</v>
      </c>
      <c r="AO161" s="88" t="n">
        <f aca="false">INDEX(in_sup_tooling_egp,1,C161)/I161</f>
        <v>0</v>
      </c>
      <c r="AP161" s="88" t="n">
        <f aca="false">IF(F161=4,INDEX(in_ori_lcl_truck,1,C161)*V161/I161+INDEX(in_ori_lcl_cfs_o,1,C161),G161*(IF(F161=1,INDEX(in_ori_truck_20,1,C161),INDEX(in_ori_truck_40,1,C161))*V161/I161+INDEX(in_ori_terminal,1,C161)+IF(F161=1,INDEX(in_ori_othc_20,1,C161),INDEX(in_ori_othc_40,1,C161))*(1-INDEX(in_ori_othc_in_freight,1,C161))+INDEX(in_ori_seal,1,C161)+INDEX(in_ori_inspection,1,C161)+INDEX(in_ori_dd_days,1,C161)*IF(F161=1,INDEX(in_ori_dd_20,1,C161),INDEX(in_ori_dd_40,1,C161))+INDEX(in_ori_loading_egp,1,C161)/I161))</f>
        <v>555.278125165799</v>
      </c>
      <c r="AQ161" s="88" t="n">
        <f aca="false">(INDEX(in_ori_clearance,1,C161)+INDEX(in_ori_coo,1,C161))/I161+INDEX(in_ori_bl_fee,1,C161)+INDEX(in_ori_fwd_fee,1,C161)+INDEX(in_ori_qc,1,C161)+INDEX(in_ori_wires,1,C161)*INDEX(in_ori_wire_fee,1,C161)</f>
        <v>817.639062582899</v>
      </c>
      <c r="AR161" s="88" t="n">
        <f aca="false">AP161+AQ161</f>
        <v>1372.9171877487</v>
      </c>
      <c r="AS161" s="85" t="n">
        <f aca="false">INDEX(tbl_port_diff,H161,C161)</f>
        <v>0</v>
      </c>
      <c r="AT161" s="88" t="n">
        <f aca="false">IF(F161=4,MAX(AF161*INDEX(in_oce_lcl_factor,1,C161),AG161/1000,1)*INDEX(in_oce_lcl_rate,1,C161)*M161,G161*(INDEX(tbl_ocean_rate,MIN(F161,3),C161)+AS161)*M161)</f>
        <v>4000</v>
      </c>
      <c r="AU161" s="88" t="n">
        <f aca="false">AT161+INDEX(in_oce_ams,1,C161)</f>
        <v>4035</v>
      </c>
      <c r="AV161" s="88" t="n">
        <f aca="false">AI161*(1+IF(K161=3,INDEX(in_sup_vat_rate,1,C161),0))+AO161*Y161/AB161</f>
        <v>3680.45544464404</v>
      </c>
      <c r="AW161" s="88" t="n">
        <f aca="false">AJ161*(1+IF(K161=3,INDEX(in_sup_vat_rate,1,C161),0))+AO161*Z161/AB161</f>
        <v>3475.86348029741</v>
      </c>
      <c r="AX161" s="88" t="n">
        <f aca="false">AK161*(1+IF(K161=3,INDEX(in_sup_vat_rate,1,C161),0))+AO161*AA161/AB161</f>
        <v>3035.88076127243</v>
      </c>
      <c r="AY161" s="88" t="n">
        <f aca="false">AV161+AW161+AX161</f>
        <v>10192.1996862139</v>
      </c>
      <c r="AZ161" s="88" t="n">
        <f aca="false">MAX(INDEX(in_oce_ins_min,1,C161),INDEX(in_oce_ins_rate,1,C161)*(1+INDEX(in_oce_ins_uplift,1,C161))*(AL161+AO161+AR161+AU161))*(1-INDEX(in_oce_ins_in_other,1,C161))</f>
        <v>75</v>
      </c>
      <c r="BA161" s="87" t="n">
        <f aca="false">INDEX(in_cus_mfn,1,C161)+L161</f>
        <v>0.125</v>
      </c>
      <c r="BB161" s="88" t="n">
        <f aca="false">AY161*BA161</f>
        <v>1274.02496077673</v>
      </c>
      <c r="BC161" s="88" t="n">
        <f aca="false">MIN(MAX(AY161*INDEX(in_cus_mpf_rate,1,C161),INDEX(in_cus_mpf_min,1,C161)),INDEX(in_cus_mpf_max,1,C161))</f>
        <v>35.3057797130449</v>
      </c>
      <c r="BD161" s="88" t="n">
        <f aca="false">AY161*INDEX(in_cus_hmf,1,C161)</f>
        <v>12.7402496077673</v>
      </c>
      <c r="BE161" s="88" t="n">
        <f aca="false">MAX(INDEX(in_cus_stb_min,1,C161),INDEX(in_cus_stb_rate,1,C161)/1000*(AY161+BB161+BC161+BD161))</f>
        <v>75</v>
      </c>
      <c r="BF161" s="88" t="n">
        <f aca="false">INDEX(in_cus_broker,1,C161)+INDEX(in_cus_isf,1,C161)+INDEX(in_cus_do_fee,1,C161)+BE161+INDEX(in_cus_isf_bond,1,C161)</f>
        <v>510</v>
      </c>
      <c r="BG161" s="88" t="n">
        <f aca="false">IF(H161=1,INDEX(in_cus_cfc,1,C161)*INDEX(ct_teu,F161)*G161*(1-INDEX(in_cus_cfc_in_freight,1,C161)),0)</f>
        <v>29.6</v>
      </c>
      <c r="BH161" s="88" t="n">
        <f aca="false">IF(F161=4,1,G161)*(INDEX(in_cus_exam,1,C161)+INDEX(in_cus_exam_dray,1,C161))</f>
        <v>0</v>
      </c>
      <c r="BI161" s="88" t="n">
        <f aca="false">IF(F161=4,1,G161)*INDEX(in_cus_dem_days,1,C161)*INDEX(in_cus_dem_rate,1,C161)</f>
        <v>0</v>
      </c>
      <c r="BJ161" s="88" t="n">
        <f aca="false">BG161+BH161+BI161</f>
        <v>29.6</v>
      </c>
      <c r="BK161" s="88" t="n">
        <f aca="false">IF(F161=4,(INDEX(in_dra_lcl_cfs_d,1,C161)+INDEX(in_dra_lcl_deliv,1,C161))*P161,G161*(INDEX(tbl_dest_line,E161,C161)*P161*(1+INDEX(in_dra_fsc,1,C161))+INDEX(tbl_dest_tolls,E161,C161)+INDEX(in_dra_chassis_days,1,C161)*INDEX(tbl_dest_chassis,E161,C161)*(1-INDEX(in_dra_chassis_in_dray,1,C161))+INDEX(in_dra_wait_hours,1,C161)*INDEX(in_dra_wait_rate,1,C161)+INDEX(in_dra_split,1,C161)+INDEX(in_dra_prepull,1,C161)+INDEX(in_dra_dryrun,1,C161)))</f>
        <v>1060</v>
      </c>
      <c r="BL161" s="88" t="n">
        <f aca="false">IF(F161=4,0,G161*IF(F161=1,INDEX(in_dra_unload_20,1,C161),INDEX(in_dra_unload_40,1,C161))*Q161*(1-INDEX(in_dra_unload_in_dray,1,C161)))</f>
        <v>450</v>
      </c>
      <c r="BM161" s="88" t="n">
        <f aca="false">AL161+AN161+AO161+AR161+AU161+AZ161+BB161+BC161+BD161+BF161+BJ161+BK161+BL161</f>
        <v>19046.7878640601</v>
      </c>
      <c r="BN161" s="88" t="n">
        <f aca="false">AP161+AU161+BJ161+BK161+BL161</f>
        <v>6129.8781251658</v>
      </c>
      <c r="BO161" s="88" t="n">
        <f aca="false">AQ161+BF161</f>
        <v>1327.6390625829</v>
      </c>
      <c r="BP161" s="88" t="n">
        <f aca="false">AI161*(1+IF(K161=3,INDEX(in_sup_vat_rate,1,C161),0))+AO161*Y161/AB161+AV161*BA161+(BC161+BD161)*AV161/AY161+AZ161*AI161/AL161+BN161*AC161/AF161+BO161*Y161/AB161</f>
        <v>6655.57933386906</v>
      </c>
      <c r="BQ161" s="88" t="n">
        <f aca="false">AJ161*(1+IF(K161=3,INDEX(in_sup_vat_rate,1,C161),0))+AO161*Z161/AB161+AW161*BA161+(BC161+BD161)*AW161/AY161+AZ161*AJ161/AL161+BN161*AD161/AF161+BO161*Z161/AB161</f>
        <v>6875.8900829611</v>
      </c>
      <c r="BR161" s="88" t="n">
        <f aca="false">AK161*(1+IF(K161=3,INDEX(in_sup_vat_rate,1,C161),0))+AO161*AA161/AB161+AX161*BA161+(BC161+BD161)*AX161/AY161+AZ161*AK161/AL161+BN161*AE161/AF161+BO161*AA161/AB161</f>
        <v>5515.31844722996</v>
      </c>
      <c r="BS161" s="89" t="n">
        <f aca="false">BP161+BQ161+BR161-BM161</f>
        <v>0</v>
      </c>
      <c r="BT161" s="85" t="n">
        <f aca="false">Y161*(1-R161)</f>
        <v>25413</v>
      </c>
      <c r="BU161" s="85" t="n">
        <f aca="false">Z161*(1-R161)</f>
        <v>25413</v>
      </c>
      <c r="BV161" s="85" t="n">
        <f aca="false">AA161*(1-R161)</f>
        <v>25413</v>
      </c>
      <c r="BW161" s="85" t="n">
        <f aca="false">BT161+BU161+BV161</f>
        <v>76239</v>
      </c>
      <c r="BX161" s="90" t="n">
        <f aca="false">IF(BT161&gt;0,BP161/BT161,0)</f>
        <v>0.261896640847954</v>
      </c>
      <c r="BY161" s="90" t="n">
        <f aca="false">IF(BU161&gt;0,BQ161/BU161,0)</f>
        <v>0.270565855387444</v>
      </c>
      <c r="BZ161" s="90" t="n">
        <f aca="false">IF(BV161&gt;0,BR161/BV161,0)</f>
        <v>0.21702744450596</v>
      </c>
      <c r="CA161" s="90" t="n">
        <f aca="false">INDEX(in_mkt_listing_3464,1,C161)*(1-IF(sku_flute_3464="B",T161,0))*(1-S161)*N161</f>
        <v>0.234</v>
      </c>
      <c r="CB161" s="90" t="n">
        <f aca="false">INDEX(in_mkt_listing_3463,1,C161)*(1-IF(sku_flute_3463="B",T161,0))*(1-S161)*N161</f>
        <v>0.27</v>
      </c>
      <c r="CC161" s="90" t="n">
        <f aca="false">INDEX(in_mkt_listing_3460,1,C161)*(1-IF(sku_flute_3460="B",T161,0))*(1-S161)*N161</f>
        <v>0.225</v>
      </c>
      <c r="CD161" s="88" t="n">
        <f aca="false">BT161*CA161+BU161*CB161+BV161*CC161</f>
        <v>18526.077</v>
      </c>
      <c r="CE161" s="88" t="n">
        <f aca="false">CD161-BM161</f>
        <v>-520.710864060118</v>
      </c>
      <c r="CF161" s="87" t="n">
        <f aca="false">IF(CD161&gt;0,CE161/CD161,0)</f>
        <v>-0.0281069145971982</v>
      </c>
      <c r="CG161" s="87" t="n">
        <f aca="false">W161+INDEX(in_sel_processing,1,C161)+INDEX(in_sel_bad_debt,1,C161)</f>
        <v>0.058</v>
      </c>
      <c r="CH161" s="88" t="n">
        <f aca="false">CD161*CG161</f>
        <v>1074.512466</v>
      </c>
      <c r="CI161" s="88" t="n">
        <f aca="false">INDEX(in_sel_testing,1,C161)*X161+INDEX(in_sel_admin,1,C161)</f>
        <v>3000</v>
      </c>
      <c r="CJ161" s="79" t="n">
        <f aca="false">INDEX(in_sup_lead_days,1,C161)</f>
        <v>21</v>
      </c>
      <c r="CK161" s="79" t="n">
        <f aca="false">CJ161+INDEX(in_oce_transit,1,C161)+IF(F161=4,INDEX(in_oce_lcl_extra_days,1,C161),0)</f>
        <v>51</v>
      </c>
      <c r="CL161" s="79" t="n">
        <f aca="false">CK161+2+INDEX(in_cus_dem_days,1,C161)</f>
        <v>53</v>
      </c>
      <c r="CM161" s="79" t="n">
        <f aca="false">CL161+U161</f>
        <v>98</v>
      </c>
      <c r="CN161" s="79" t="n">
        <f aca="false">CJ161+INDEX(in_sup_vat_lag,1,C161)</f>
        <v>81</v>
      </c>
      <c r="CO161" s="91" t="n">
        <f aca="false">INDEX(in_sup_advance,1,C161)</f>
        <v>0.5</v>
      </c>
      <c r="CP161" s="88" t="n">
        <f aca="false">CO161*(AL161+AM161)+AO161+INDEX(in_sel_testing,1,C161)*X161</f>
        <v>8309.55382114191</v>
      </c>
      <c r="CQ161" s="88" t="n">
        <f aca="false">(1-CO161)*(AL161+AM161)+AR161+AU161+AZ161</f>
        <v>11292.4710088906</v>
      </c>
      <c r="CR161" s="88" t="n">
        <f aca="false">BB161+BC161+BD161+BF161+BJ161</f>
        <v>1861.67099009755</v>
      </c>
      <c r="CS161" s="88" t="n">
        <f aca="false">BK161+BL161</f>
        <v>1510</v>
      </c>
      <c r="CT161" s="88" t="n">
        <f aca="false">IF(K161=2,AM161,0)</f>
        <v>1426.90795606994</v>
      </c>
      <c r="CU161" s="85" t="n">
        <f aca="false">IF(K161=2,CO161*AM161*(CN161-0)+(1-CO161)*AM161*(CN161-CJ161),0)</f>
        <v>100597.010902931</v>
      </c>
      <c r="CV161" s="85" t="n">
        <f aca="false">(CP161-CO161*CT161)*(CM161-0)+(CQ161-(1-CO161)*CT161)*(CM161-CJ161)+CR161*(CM161-CK161)+CS161*(CM161-CL161)</f>
        <v>1714450.63253495</v>
      </c>
      <c r="CW161" s="88" t="n">
        <f aca="false">INDEX(in_sel_fin_rate,1,C161)/365*(CU161+CV161)</f>
        <v>497.273326969282</v>
      </c>
      <c r="CX161" s="85" t="n">
        <f aca="false">CP161-IF(CN161&lt;=0,CT161,0)</f>
        <v>8309.55382114191</v>
      </c>
      <c r="CY161" s="85" t="n">
        <f aca="false">CP161+CQ161-IF(CN161&lt;=CJ161,CT161,0)</f>
        <v>19602.0248300325</v>
      </c>
      <c r="CZ161" s="85" t="n">
        <f aca="false">CP161+CQ161+CR161-IF(CN161&lt;=CK161,CT161,0)</f>
        <v>21463.6958201301</v>
      </c>
      <c r="DA161" s="85" t="n">
        <f aca="false">CP161+CQ161+CR161+CS161-IF(CN161&lt;=CL161,CT161,0)</f>
        <v>22973.6958201301</v>
      </c>
      <c r="DB161" s="88" t="n">
        <f aca="false">MAX(CX161,CY161,CZ161,DA161)</f>
        <v>22973.6958201301</v>
      </c>
      <c r="DC161" s="88" t="n">
        <f aca="false">CP161+CQ161+CR161+CS161</f>
        <v>22973.6958201301</v>
      </c>
      <c r="DD161" s="88" t="n">
        <f aca="false">CE161-CH161-CI161-CW161</f>
        <v>-5092.4966570294</v>
      </c>
      <c r="DE161" s="87" t="n">
        <f aca="false">IF(CD161&gt;0,DD161/CD161,0)</f>
        <v>-0.274882623937566</v>
      </c>
      <c r="DF161" s="86" t="n">
        <f aca="false">IF(CD161&gt;0,(BM161+CI161+CW161)/(CD161*(1-CG161)),0)</f>
        <v>1.29180745640931</v>
      </c>
      <c r="DG161" s="90" t="n">
        <f aca="false">IF(BW161&gt;0,BM161/BW161,0)</f>
        <v>0.249829980247119</v>
      </c>
      <c r="DH161" s="90" t="n">
        <f aca="false">IF(BW161&gt;0,CD161/BW161,0)</f>
        <v>0.243</v>
      </c>
      <c r="DI161" s="90" t="n">
        <f aca="false">IF(AI161&gt;0,(AI161*IF(K161=3,INDEX(in_sup_vat_rate,1,C161),0)+AV161*BA161+(BC161+BD161)*AV161/AY161+AZ161*AI161/AL161)/AI161,0)</f>
        <v>0.137072568543496</v>
      </c>
      <c r="DJ161" s="90" t="n">
        <f aca="false">IF(AJ161&gt;0,(AJ161*IF(K161=3,INDEX(in_sup_vat_rate,1,C161),0)+AW161*BA161+(BC161+BD161)*AW161/AY161+AZ161*AJ161/AL161)/AJ161,0)</f>
        <v>0.137072568543496</v>
      </c>
      <c r="DK161" s="90" t="n">
        <f aca="false">IF(AK161&gt;0,(AK161*IF(K161=3,INDEX(in_sup_vat_rate,1,C161),0)+AX161*BA161+(BC161+BD161)*AX161/AY161+AZ161*AK161/AL161)/AK161,0)</f>
        <v>0.137072568543496</v>
      </c>
      <c r="DL161" s="90" t="n">
        <f aca="false">IF(Y161&gt;0,(BP161-AI161*(1+DI161))/Y161,0)</f>
        <v>0.0957610235665805</v>
      </c>
      <c r="DM161" s="90" t="n">
        <f aca="false">IF(Z161&gt;0,(BQ161-AJ161*(1+DJ161))/Z161,0)</f>
        <v>0.11331709564003</v>
      </c>
      <c r="DN161" s="90" t="n">
        <f aca="false">IF(AA161&gt;0,(BR161-AK161*(1+DK161))/AA161,0)</f>
        <v>0.0799729345820983</v>
      </c>
      <c r="DO161" s="86" t="n">
        <f aca="false">IF(Y161&gt;0,(CA161*(1-thr_gm_go)*(1-R161)-DL161)/(1+DI161)*I161/((1+AH161)*J161),"")</f>
        <v>3.97636975378984</v>
      </c>
      <c r="DP161" s="86" t="n">
        <f aca="false">IF(Z161&gt;0,(CB161*(1-thr_gm_go)*(1-R161)-DM161)/(1+DJ161)*I161/((1+AH161)*J161),"")</f>
        <v>4.44250594981813</v>
      </c>
      <c r="DQ161" s="86" t="n">
        <f aca="false">IF(AA161&gt;0,(CC161*(1-thr_gm_go)*(1-R161)-DN161)/(1+DK161)*I161/((1+AH161)*J161),"")</f>
        <v>4.44768413344389</v>
      </c>
      <c r="DR161" s="92" t="n">
        <f aca="false">IF(AND(AY161*INDEX(in_cus_mpf_rate,1,C161)&gt;INDEX(in_cus_mpf_min,1,C161),AY161*INDEX(in_cus_mpf_rate,1,C161)&lt;INDEX(in_cus_mpf_max,1,C161)),INDEX(in_cus_mpf_rate,1,C161),0)</f>
        <v>0.003464</v>
      </c>
      <c r="DS161" s="88" t="n">
        <f aca="false">IF(AZ161&gt;INDEX(in_oce_ins_min,1,C161),INDEX(in_oce_ins_rate,1,C161)*(1+INDEX(in_oce_ins_uplift,1,C161))*AL161,0)</f>
        <v>0</v>
      </c>
      <c r="DT161" s="88" t="n">
        <f aca="false">(AL161+AN161)*(1+BA161+INDEX(in_cus_hmf,1,C161)+DR161)+DS161</f>
        <v>11514.2706763114</v>
      </c>
      <c r="DU161" s="86" t="n">
        <f aca="false">IF(DT161&gt;0,(CD161*(1-thr_gm_go)-(BM161-DT161))/DT161,0)</f>
        <v>0.552535261772166</v>
      </c>
      <c r="DV161" s="86" t="n">
        <f aca="false">IF(DT161&gt;0,(CD161-(BM161-DT161))/DT161,0)</f>
        <v>0.954776913041363</v>
      </c>
      <c r="DW161" s="87" t="n">
        <f aca="false">(1+AH161)*J161*DU161-1</f>
        <v>-0.502718264405051</v>
      </c>
      <c r="DX161" s="87" t="n">
        <f aca="false">(1+AH161)*J161*DV161-1</f>
        <v>-0.140700778262774</v>
      </c>
      <c r="DY161" s="85" t="n">
        <f aca="false">IF(G161&gt;0,(CD161*(1-thr_gm_go)-(BM161-AT161))/G161,"")</f>
        <v>-1152.23011406012</v>
      </c>
      <c r="DZ161" s="90" t="n">
        <f aca="false">IF(AB161&gt;0,(AL161+AN161+BB161+BC161+BD161)/AB161,0)</f>
        <v>0.148763187032447</v>
      </c>
      <c r="EA161" s="88" t="n">
        <f aca="false">BM161-DZ161*AB161</f>
        <v>7532.5171877487</v>
      </c>
      <c r="EB161" s="90" t="n">
        <f aca="false">IF(AB161&gt;0,CD161/AB161,0)</f>
        <v>0.239355</v>
      </c>
      <c r="EC161" s="85" t="n">
        <f aca="false">IF(EB161*(1-thr_gm_go)-DZ161&gt;0,EA161/(EB161*(1-thr_gm_go)-DZ161),"n/a")</f>
        <v>244935.510836634</v>
      </c>
      <c r="ED161" s="85" t="n">
        <f aca="false">IF(EB161-DZ161&gt;0,EA161/(EB161-DZ161),"n/a")</f>
        <v>83147.8799353163</v>
      </c>
      <c r="EE161" s="93" t="b">
        <f aca="false">INDEX(cfg_fits,D161,C161)</f>
        <v>1</v>
      </c>
      <c r="EF161" s="87" t="n">
        <f aca="false">IF(F161=4,"",INDEX(cfg_lenutil,D161,C161))</f>
        <v>0.999580888516345</v>
      </c>
      <c r="EG161" s="31" t="str">
        <f aca="false">IF(O161&gt;1,"Check fit (units scaled up)","")</f>
        <v/>
      </c>
    </row>
    <row r="162" customFormat="false" ht="15" hidden="false" customHeight="false" outlineLevel="0" collapsed="false">
      <c r="A162" s="78" t="n">
        <v>900008</v>
      </c>
      <c r="B162" s="9" t="s">
        <v>3310</v>
      </c>
      <c r="C162" s="10" t="n">
        <f aca="false">sel_scen</f>
        <v>2</v>
      </c>
      <c r="D162" s="10" t="n">
        <f aca="false">sel_cfg</f>
        <v>4</v>
      </c>
      <c r="E162" s="10" t="n">
        <f aca="false">sel_dest</f>
        <v>1</v>
      </c>
      <c r="F162" s="79" t="n">
        <f aca="false">INDEX(cfg_ct,D162)</f>
        <v>3</v>
      </c>
      <c r="G162" s="79" t="n">
        <f aca="false">INDEX(cfg_n,D162)</f>
        <v>1</v>
      </c>
      <c r="H162" s="79" t="n">
        <f aca="false">INDEX(dest_port,E162)</f>
        <v>1</v>
      </c>
      <c r="I162" s="80" t="n">
        <f aca="false">INDEX(in_fx_cbe,1,C162)*(1-INDEX(in_fx_spread,1,C162))</f>
        <v>52.7748</v>
      </c>
      <c r="J162" s="95" t="n">
        <v>1.1</v>
      </c>
      <c r="K162" s="82" t="n">
        <f aca="false">INDEX(in_sup_vat_mode,1,C162)</f>
        <v>2</v>
      </c>
      <c r="L162" s="83" t="n">
        <f aca="false">INDEX(in_cus_s301,1,C162)</f>
        <v>0.125</v>
      </c>
      <c r="M162" s="84" t="n">
        <f aca="false">1</f>
        <v>1</v>
      </c>
      <c r="N162" s="81" t="n">
        <f aca="false">1</f>
        <v>1</v>
      </c>
      <c r="O162" s="81" t="n">
        <f aca="false">1</f>
        <v>1</v>
      </c>
      <c r="P162" s="81" t="n">
        <f aca="false">1</f>
        <v>1</v>
      </c>
      <c r="Q162" s="81" t="n">
        <f aca="false">1</f>
        <v>1</v>
      </c>
      <c r="R162" s="83" t="n">
        <f aca="false">INDEX(in_sel_damage,1,C162)</f>
        <v>0.015</v>
      </c>
      <c r="S162" s="83" t="n">
        <f aca="false">INDEX(in_mkt_dist_margin,1,C162)</f>
        <v>0.25</v>
      </c>
      <c r="T162" s="83" t="n">
        <f aca="false">INDEX(in_mkt_eflute_disc,1,C162)</f>
        <v>0.2</v>
      </c>
      <c r="U162" s="82" t="n">
        <f aca="false">INDEX(in_sel_credit_days,1,C162)</f>
        <v>45</v>
      </c>
      <c r="V162" s="81" t="n">
        <f aca="false">1</f>
        <v>1</v>
      </c>
      <c r="W162" s="83" t="n">
        <f aca="false">INDEX(in_sel_commission,1,C162)</f>
        <v>0.05</v>
      </c>
      <c r="X162" s="82" t="n">
        <f aca="false">1</f>
        <v>1</v>
      </c>
      <c r="Y162" s="85" t="n">
        <f aca="false">INDEX(cfg_u_3464,D162,C162)*O162</f>
        <v>25800</v>
      </c>
      <c r="Z162" s="85" t="n">
        <f aca="false">INDEX(cfg_u_3463,D162,C162)*O162</f>
        <v>25800</v>
      </c>
      <c r="AA162" s="85" t="n">
        <f aca="false">INDEX(cfg_u_3460,D162,C162)*O162</f>
        <v>25800</v>
      </c>
      <c r="AB162" s="85" t="n">
        <f aca="false">Y162+Z162+AA162</f>
        <v>77400</v>
      </c>
      <c r="AC162" s="86" t="n">
        <f aca="false">Y162*INDEX(lg_vpu_3464,C162)</f>
        <v>18.3539136</v>
      </c>
      <c r="AD162" s="86" t="n">
        <f aca="false">Z162*INDEX(lg_vpu_3463,C162)</f>
        <v>22.4530176</v>
      </c>
      <c r="AE162" s="86" t="n">
        <f aca="false">AA162*INDEX(lg_vpu_3460,C162)</f>
        <v>14.6676096</v>
      </c>
      <c r="AF162" s="86" t="n">
        <f aca="false">AC162+AD162+AE162</f>
        <v>55.4745408</v>
      </c>
      <c r="AG162" s="85" t="n">
        <f aca="false">Y162*INDEX(lg_kpu_3464,C162)+Z162*INDEX(lg_kpu_3463,C162)+AA162*INDEX(lg_kpu_3460,C162)</f>
        <v>13341.3537888</v>
      </c>
      <c r="AH162" s="87" t="n">
        <f aca="false">INDEX(in_sup_requote,1,C162)</f>
        <v>0</v>
      </c>
      <c r="AI162" s="88" t="n">
        <f aca="false">Y162*q_price_3464*(1+AH162)*J162/I162</f>
        <v>4498.33443234271</v>
      </c>
      <c r="AJ162" s="88" t="n">
        <f aca="false">Z162*q_price_3463*(1+AH162)*J162/I162</f>
        <v>4248.27758703017</v>
      </c>
      <c r="AK162" s="88" t="n">
        <f aca="false">AA162*q_price_3460*(1+AH162)*J162/I162</f>
        <v>3710.52093044408</v>
      </c>
      <c r="AL162" s="88" t="n">
        <f aca="false">AI162+AJ162+AK162</f>
        <v>12457.132949817</v>
      </c>
      <c r="AM162" s="88" t="n">
        <f aca="false">IF(OR(K162=2,K162=3),AL162*INDEX(in_sup_vat_rate,1,C162),0)</f>
        <v>1743.99861297437</v>
      </c>
      <c r="AN162" s="88" t="n">
        <f aca="false">IF(K162=3,AM162,0)</f>
        <v>0</v>
      </c>
      <c r="AO162" s="88" t="n">
        <f aca="false">INDEX(in_sup_tooling_egp,1,C162)/I162</f>
        <v>0</v>
      </c>
      <c r="AP162" s="88" t="n">
        <f aca="false">IF(F162=4,INDEX(in_ori_lcl_truck,1,C162)*V162/I162+INDEX(in_ori_lcl_cfs_o,1,C162),G162*(IF(F162=1,INDEX(in_ori_truck_20,1,C162),INDEX(in_ori_truck_40,1,C162))*V162/I162+INDEX(in_ori_terminal,1,C162)+IF(F162=1,INDEX(in_ori_othc_20,1,C162),INDEX(in_ori_othc_40,1,C162))*(1-INDEX(in_ori_othc_in_freight,1,C162))+INDEX(in_ori_seal,1,C162)+INDEX(in_ori_inspection,1,C162)+INDEX(in_ori_dd_days,1,C162)*IF(F162=1,INDEX(in_ori_dd_20,1,C162),INDEX(in_ori_dd_40,1,C162))+INDEX(in_ori_loading_egp,1,C162)/I162))</f>
        <v>555.278125165799</v>
      </c>
      <c r="AQ162" s="88" t="n">
        <f aca="false">(INDEX(in_ori_clearance,1,C162)+INDEX(in_ori_coo,1,C162))/I162+INDEX(in_ori_bl_fee,1,C162)+INDEX(in_ori_fwd_fee,1,C162)+INDEX(in_ori_qc,1,C162)+INDEX(in_ori_wires,1,C162)*INDEX(in_ori_wire_fee,1,C162)</f>
        <v>817.639062582899</v>
      </c>
      <c r="AR162" s="88" t="n">
        <f aca="false">AP162+AQ162</f>
        <v>1372.9171877487</v>
      </c>
      <c r="AS162" s="85" t="n">
        <f aca="false">INDEX(tbl_port_diff,H162,C162)</f>
        <v>0</v>
      </c>
      <c r="AT162" s="88" t="n">
        <f aca="false">IF(F162=4,MAX(AF162*INDEX(in_oce_lcl_factor,1,C162),AG162/1000,1)*INDEX(in_oce_lcl_rate,1,C162)*M162,G162*(INDEX(tbl_ocean_rate,MIN(F162,3),C162)+AS162)*M162)</f>
        <v>4000</v>
      </c>
      <c r="AU162" s="88" t="n">
        <f aca="false">AT162+INDEX(in_oce_ams,1,C162)</f>
        <v>4035</v>
      </c>
      <c r="AV162" s="88" t="n">
        <f aca="false">AI162*(1+IF(K162=3,INDEX(in_sup_vat_rate,1,C162),0))+AO162*Y162/AB162</f>
        <v>4498.33443234271</v>
      </c>
      <c r="AW162" s="88" t="n">
        <f aca="false">AJ162*(1+IF(K162=3,INDEX(in_sup_vat_rate,1,C162),0))+AO162*Z162/AB162</f>
        <v>4248.27758703017</v>
      </c>
      <c r="AX162" s="88" t="n">
        <f aca="false">AK162*(1+IF(K162=3,INDEX(in_sup_vat_rate,1,C162),0))+AO162*AA162/AB162</f>
        <v>3710.52093044408</v>
      </c>
      <c r="AY162" s="88" t="n">
        <f aca="false">AV162+AW162+AX162</f>
        <v>12457.132949817</v>
      </c>
      <c r="AZ162" s="88" t="n">
        <f aca="false">MAX(INDEX(in_oce_ins_min,1,C162),INDEX(in_oce_ins_rate,1,C162)*(1+INDEX(in_oce_ins_uplift,1,C162))*(AL162+AO162+AR162+AU162))*(1-INDEX(in_oce_ins_in_other,1,C162))</f>
        <v>75</v>
      </c>
      <c r="BA162" s="87" t="n">
        <f aca="false">INDEX(in_cus_mfn,1,C162)+L162</f>
        <v>0.125</v>
      </c>
      <c r="BB162" s="88" t="n">
        <f aca="false">AY162*BA162</f>
        <v>1557.14161872712</v>
      </c>
      <c r="BC162" s="88" t="n">
        <f aca="false">MIN(MAX(AY162*INDEX(in_cus_mpf_rate,1,C162),INDEX(in_cus_mpf_min,1,C162)),INDEX(in_cus_mpf_max,1,C162))</f>
        <v>43.1515085381659</v>
      </c>
      <c r="BD162" s="88" t="n">
        <f aca="false">AY162*INDEX(in_cus_hmf,1,C162)</f>
        <v>15.5714161872712</v>
      </c>
      <c r="BE162" s="88" t="n">
        <f aca="false">MAX(INDEX(in_cus_stb_min,1,C162),INDEX(in_cus_stb_rate,1,C162)/1000*(AY162+BB162+BC162+BD162))</f>
        <v>84.4379849596171</v>
      </c>
      <c r="BF162" s="88" t="n">
        <f aca="false">INDEX(in_cus_broker,1,C162)+INDEX(in_cus_isf,1,C162)+INDEX(in_cus_do_fee,1,C162)+BE162+INDEX(in_cus_isf_bond,1,C162)</f>
        <v>519.437984959617</v>
      </c>
      <c r="BG162" s="88" t="n">
        <f aca="false">IF(H162=1,INDEX(in_cus_cfc,1,C162)*INDEX(ct_teu,F162)*G162*(1-INDEX(in_cus_cfc_in_freight,1,C162)),0)</f>
        <v>29.6</v>
      </c>
      <c r="BH162" s="88" t="n">
        <f aca="false">IF(F162=4,1,G162)*(INDEX(in_cus_exam,1,C162)+INDEX(in_cus_exam_dray,1,C162))</f>
        <v>0</v>
      </c>
      <c r="BI162" s="88" t="n">
        <f aca="false">IF(F162=4,1,G162)*INDEX(in_cus_dem_days,1,C162)*INDEX(in_cus_dem_rate,1,C162)</f>
        <v>0</v>
      </c>
      <c r="BJ162" s="88" t="n">
        <f aca="false">BG162+BH162+BI162</f>
        <v>29.6</v>
      </c>
      <c r="BK162" s="88" t="n">
        <f aca="false">IF(F162=4,(INDEX(in_dra_lcl_cfs_d,1,C162)+INDEX(in_dra_lcl_deliv,1,C162))*P162,G162*(INDEX(tbl_dest_line,E162,C162)*P162*(1+INDEX(in_dra_fsc,1,C162))+INDEX(tbl_dest_tolls,E162,C162)+INDEX(in_dra_chassis_days,1,C162)*INDEX(tbl_dest_chassis,E162,C162)*(1-INDEX(in_dra_chassis_in_dray,1,C162))+INDEX(in_dra_wait_hours,1,C162)*INDEX(in_dra_wait_rate,1,C162)+INDEX(in_dra_split,1,C162)+INDEX(in_dra_prepull,1,C162)+INDEX(in_dra_dryrun,1,C162)))</f>
        <v>1060</v>
      </c>
      <c r="BL162" s="88" t="n">
        <f aca="false">IF(F162=4,0,G162*IF(F162=1,INDEX(in_dra_unload_20,1,C162),INDEX(in_dra_unload_40,1,C162))*Q162*(1-INDEX(in_dra_unload_in_dray,1,C162)))</f>
        <v>450</v>
      </c>
      <c r="BM162" s="88" t="n">
        <f aca="false">AL162+AN162+AO162+AR162+AU162+AZ162+BB162+BC162+BD162+BF162+BJ162+BK162+BL162</f>
        <v>21614.9526659778</v>
      </c>
      <c r="BN162" s="88" t="n">
        <f aca="false">AP162+AU162+BJ162+BK162+BL162</f>
        <v>6129.8781251658</v>
      </c>
      <c r="BO162" s="88" t="n">
        <f aca="false">AQ162+BF162</f>
        <v>1337.07704754252</v>
      </c>
      <c r="BP162" s="88" t="n">
        <f aca="false">AI162*(1+IF(K162=3,INDEX(in_sup_vat_rate,1,C162),0))+AO162*Y162/AB162+AV162*BA162+(BC162+BD162)*AV162/AY162+AZ162*AI162/AL162+BN162*AC162/AF162+BO162*Y162/AB162</f>
        <v>7582.69467156462</v>
      </c>
      <c r="BQ162" s="88" t="n">
        <f aca="false">AJ162*(1+IF(K162=3,INDEX(in_sup_vat_rate,1,C162),0))+AO162*Z162/AB162+AW162*BA162+(BC162+BD162)*AW162/AY162+AZ162*AJ162/AL162+BN162*AD162/AF162+BO162*Z162/AB162</f>
        <v>7751.64310812113</v>
      </c>
      <c r="BR162" s="88" t="n">
        <f aca="false">AK162*(1+IF(K162=3,INDEX(in_sup_vat_rate,1,C162),0))+AO162*AA162/AB162+AX162*BA162+(BC162+BD162)*AX162/AY162+AZ162*AK162/AL162+BN162*AE162/AF162+BO162*AA162/AB162</f>
        <v>6280.61488629208</v>
      </c>
      <c r="BS162" s="89" t="n">
        <f aca="false">BP162+BQ162+BR162-BM162</f>
        <v>0</v>
      </c>
      <c r="BT162" s="85" t="n">
        <f aca="false">Y162*(1-R162)</f>
        <v>25413</v>
      </c>
      <c r="BU162" s="85" t="n">
        <f aca="false">Z162*(1-R162)</f>
        <v>25413</v>
      </c>
      <c r="BV162" s="85" t="n">
        <f aca="false">AA162*(1-R162)</f>
        <v>25413</v>
      </c>
      <c r="BW162" s="85" t="n">
        <f aca="false">BT162+BU162+BV162</f>
        <v>76239</v>
      </c>
      <c r="BX162" s="90" t="n">
        <f aca="false">IF(BT162&gt;0,BP162/BT162,0)</f>
        <v>0.29837857283928</v>
      </c>
      <c r="BY162" s="90" t="n">
        <f aca="false">IF(BU162&gt;0,BQ162/BU162,0)</f>
        <v>0.305026683513207</v>
      </c>
      <c r="BZ162" s="90" t="n">
        <f aca="false">IF(BV162&gt;0,BR162/BV162,0)</f>
        <v>0.247141812705783</v>
      </c>
      <c r="CA162" s="90" t="n">
        <f aca="false">INDEX(in_mkt_listing_3464,1,C162)*(1-IF(sku_flute_3464="B",T162,0))*(1-S162)*N162</f>
        <v>0.234</v>
      </c>
      <c r="CB162" s="90" t="n">
        <f aca="false">INDEX(in_mkt_listing_3463,1,C162)*(1-IF(sku_flute_3463="B",T162,0))*(1-S162)*N162</f>
        <v>0.27</v>
      </c>
      <c r="CC162" s="90" t="n">
        <f aca="false">INDEX(in_mkt_listing_3460,1,C162)*(1-IF(sku_flute_3460="B",T162,0))*(1-S162)*N162</f>
        <v>0.225</v>
      </c>
      <c r="CD162" s="88" t="n">
        <f aca="false">BT162*CA162+BU162*CB162+BV162*CC162</f>
        <v>18526.077</v>
      </c>
      <c r="CE162" s="88" t="n">
        <f aca="false">CD162-BM162</f>
        <v>-3088.87566597783</v>
      </c>
      <c r="CF162" s="87" t="n">
        <f aca="false">IF(CD162&gt;0,CE162/CD162,0)</f>
        <v>-0.166731233276091</v>
      </c>
      <c r="CG162" s="87" t="n">
        <f aca="false">W162+INDEX(in_sel_processing,1,C162)+INDEX(in_sel_bad_debt,1,C162)</f>
        <v>0.058</v>
      </c>
      <c r="CH162" s="88" t="n">
        <f aca="false">CD162*CG162</f>
        <v>1074.512466</v>
      </c>
      <c r="CI162" s="88" t="n">
        <f aca="false">INDEX(in_sel_testing,1,C162)*X162+INDEX(in_sel_admin,1,C162)</f>
        <v>3000</v>
      </c>
      <c r="CJ162" s="79" t="n">
        <f aca="false">INDEX(in_sup_lead_days,1,C162)</f>
        <v>21</v>
      </c>
      <c r="CK162" s="79" t="n">
        <f aca="false">CJ162+INDEX(in_oce_transit,1,C162)+IF(F162=4,INDEX(in_oce_lcl_extra_days,1,C162),0)</f>
        <v>51</v>
      </c>
      <c r="CL162" s="79" t="n">
        <f aca="false">CK162+2+INDEX(in_cus_dem_days,1,C162)</f>
        <v>53</v>
      </c>
      <c r="CM162" s="79" t="n">
        <f aca="false">CL162+U162</f>
        <v>98</v>
      </c>
      <c r="CN162" s="79" t="n">
        <f aca="false">CJ162+INDEX(in_sup_vat_lag,1,C162)</f>
        <v>81</v>
      </c>
      <c r="CO162" s="91" t="n">
        <f aca="false">INDEX(in_sup_advance,1,C162)</f>
        <v>0.5</v>
      </c>
      <c r="CP162" s="88" t="n">
        <f aca="false">CO162*(AL162+AM162)+AO162+INDEX(in_sel_testing,1,C162)*X162</f>
        <v>9600.56578139567</v>
      </c>
      <c r="CQ162" s="88" t="n">
        <f aca="false">(1-CO162)*(AL162+AM162)+AR162+AU162+AZ162</f>
        <v>12583.4829691444</v>
      </c>
      <c r="CR162" s="88" t="n">
        <f aca="false">BB162+BC162+BD162+BF162+BJ162</f>
        <v>2164.90252841217</v>
      </c>
      <c r="CS162" s="88" t="n">
        <f aca="false">BK162+BL162</f>
        <v>1510</v>
      </c>
      <c r="CT162" s="88" t="n">
        <f aca="false">IF(K162=2,AM162,0)</f>
        <v>1743.99861297437</v>
      </c>
      <c r="CU162" s="85" t="n">
        <f aca="false">IF(K162=2,CO162*AM162*(CN162-0)+(1-CO162)*AM162*(CN162-CJ162),0)</f>
        <v>122951.902214693</v>
      </c>
      <c r="CV162" s="85" t="n">
        <f aca="false">(CP162-CO162*CT162)*(CM162-0)+(CQ162-(1-CO162)*CT162)*(CM162-CJ162)+CR162*(CM162-CK162)+CS162*(CM162-CL162)</f>
        <v>1926884.17540101</v>
      </c>
      <c r="CW162" s="88" t="n">
        <f aca="false">INDEX(in_sel_fin_rate,1,C162)/365*(CU162+CV162)</f>
        <v>561.598925374164</v>
      </c>
      <c r="CX162" s="85" t="n">
        <f aca="false">CP162-IF(CN162&lt;=0,CT162,0)</f>
        <v>9600.56578139567</v>
      </c>
      <c r="CY162" s="85" t="n">
        <f aca="false">CP162+CQ162-IF(CN162&lt;=CJ162,CT162,0)</f>
        <v>22184.04875054</v>
      </c>
      <c r="CZ162" s="85" t="n">
        <f aca="false">CP162+CQ162+CR162-IF(CN162&lt;=CK162,CT162,0)</f>
        <v>24348.9512789522</v>
      </c>
      <c r="DA162" s="85" t="n">
        <f aca="false">CP162+CQ162+CR162+CS162-IF(CN162&lt;=CL162,CT162,0)</f>
        <v>25858.9512789522</v>
      </c>
      <c r="DB162" s="88" t="n">
        <f aca="false">MAX(CX162,CY162,CZ162,DA162)</f>
        <v>25858.9512789522</v>
      </c>
      <c r="DC162" s="88" t="n">
        <f aca="false">CP162+CQ162+CR162+CS162</f>
        <v>25858.9512789522</v>
      </c>
      <c r="DD162" s="88" t="n">
        <f aca="false">CE162-CH162-CI162-CW162</f>
        <v>-7724.98705735199</v>
      </c>
      <c r="DE162" s="87" t="n">
        <f aca="false">IF(CD162&gt;0,DD162/CD162,0)</f>
        <v>-0.416979107738351</v>
      </c>
      <c r="DF162" s="86" t="n">
        <f aca="false">IF(CD162&gt;0,(BM162+CI162+CW162)/(CD162*(1-CG162)),0)</f>
        <v>1.44265298061396</v>
      </c>
      <c r="DG162" s="90" t="n">
        <f aca="false">IF(BW162&gt;0,BM162/BW162,0)</f>
        <v>0.28351568968609</v>
      </c>
      <c r="DH162" s="90" t="n">
        <f aca="false">IF(BW162&gt;0,CD162/BW162,0)</f>
        <v>0.243</v>
      </c>
      <c r="DI162" s="90" t="n">
        <f aca="false">IF(AI162&gt;0,(AI162*IF(K162=3,INDEX(in_sup_vat_rate,1,C162),0)+AV162*BA162+(BC162+BD162)*AV162/AY162+AZ162*AI162/AL162)/AI162,0)</f>
        <v>0.135734646990133</v>
      </c>
      <c r="DJ162" s="90" t="n">
        <f aca="false">IF(AJ162&gt;0,(AJ162*IF(K162=3,INDEX(in_sup_vat_rate,1,C162),0)+AW162*BA162+(BC162+BD162)*AW162/AY162+AZ162*AJ162/AL162)/AJ162,0)</f>
        <v>0.135734646990133</v>
      </c>
      <c r="DK162" s="90" t="n">
        <f aca="false">IF(AK162&gt;0,(AK162*IF(K162=3,INDEX(in_sup_vat_rate,1,C162),0)+AX162*BA162+(BC162+BD162)*AX162/AY162+AZ162*AK162/AL162)/AK162,0)</f>
        <v>0.135734646990133</v>
      </c>
      <c r="DL162" s="90" t="n">
        <f aca="false">IF(Y162&gt;0,(BP162-AI162*(1+DI162))/Y162,0)</f>
        <v>0.0958829613567564</v>
      </c>
      <c r="DM162" s="90" t="n">
        <f aca="false">IF(Z162&gt;0,(BQ162-AJ162*(1+DJ162))/Z162,0)</f>
        <v>0.113439033430206</v>
      </c>
      <c r="DN162" s="90" t="n">
        <f aca="false">IF(AA162&gt;0,(BR162-AK162*(1+DK162))/AA162,0)</f>
        <v>0.0800948723722741</v>
      </c>
      <c r="DO162" s="86" t="n">
        <f aca="false">IF(Y162&gt;0,(CA162*(1-thr_gm_go)*(1-R162)-DL162)/(1+DI162)*I162/((1+AH162)*J162),"")</f>
        <v>3.25207496211341</v>
      </c>
      <c r="DP162" s="86" t="n">
        <f aca="false">IF(Z162&gt;0,(CB162*(1-thr_gm_go)*(1-R162)-DM162)/(1+DJ162)*I162/((1+AH162)*J162),"")</f>
        <v>3.63390840181878</v>
      </c>
      <c r="DQ162" s="86" t="n">
        <f aca="false">IF(AA162&gt;0,(CC162*(1-thr_gm_go)*(1-R162)-DN162)/(1+DK162)*I162/((1+AH162)*J162),"")</f>
        <v>3.63815008843762</v>
      </c>
      <c r="DR162" s="92" t="n">
        <f aca="false">IF(AND(AY162*INDEX(in_cus_mpf_rate,1,C162)&gt;INDEX(in_cus_mpf_min,1,C162),AY162*INDEX(in_cus_mpf_rate,1,C162)&lt;INDEX(in_cus_mpf_max,1,C162)),INDEX(in_cus_mpf_rate,1,C162),0)</f>
        <v>0.003464</v>
      </c>
      <c r="DS162" s="88" t="n">
        <f aca="false">IF(AZ162&gt;INDEX(in_oce_ins_min,1,C162),INDEX(in_oce_ins_rate,1,C162)*(1+INDEX(in_oce_ins_uplift,1,C162))*AL162,0)</f>
        <v>0</v>
      </c>
      <c r="DT162" s="88" t="n">
        <f aca="false">(AL162+AN162)*(1+BA162+INDEX(in_cus_hmf,1,C162)+DR162)+DS162</f>
        <v>14072.9974932695</v>
      </c>
      <c r="DU162" s="86" t="n">
        <f aca="false">IF(DT162&gt;0,(CD162*(1-thr_gm_go)-(BM162-DT162))/DT162,0)</f>
        <v>0.451403660117885</v>
      </c>
      <c r="DV162" s="86" t="n">
        <f aca="false">IF(DT162&gt;0,(CD162-(BM162-DT162))/DT162,0)</f>
        <v>0.780510465701774</v>
      </c>
      <c r="DW162" s="87" t="n">
        <f aca="false">(1+AH162)*J162*DU162-1</f>
        <v>-0.503455973870326</v>
      </c>
      <c r="DX162" s="87" t="n">
        <f aca="false">(1+AH162)*J162*DV162-1</f>
        <v>-0.141438487728048</v>
      </c>
      <c r="DY162" s="85" t="n">
        <f aca="false">IF(G162&gt;0,(CD162*(1-thr_gm_go)-(BM162-AT162))/G162,"")</f>
        <v>-3720.39491597783</v>
      </c>
      <c r="DZ162" s="90" t="n">
        <f aca="false">IF(AB162&gt;0,(AL162+AN162+BB162+BC162+BD162)/AB162,0)</f>
        <v>0.181821673039658</v>
      </c>
      <c r="EA162" s="88" t="n">
        <f aca="false">BM162-DZ162*AB162</f>
        <v>7541.95517270831</v>
      </c>
      <c r="EB162" s="90" t="n">
        <f aca="false">IF(AB162&gt;0,CD162/AB162,0)</f>
        <v>0.239355</v>
      </c>
      <c r="EC162" s="85" t="str">
        <f aca="false">IF(EB162*(1-thr_gm_go)-DZ162&gt;0,EA162/(EB162*(1-thr_gm_go)-DZ162),"n/a")</f>
        <v>n/a</v>
      </c>
      <c r="ED162" s="85" t="n">
        <f aca="false">IF(EB162-DZ162&gt;0,EA162/(EB162-DZ162),"n/a")</f>
        <v>131088.459005804</v>
      </c>
      <c r="EE162" s="93" t="b">
        <f aca="false">INDEX(cfg_fits,D162,C162)</f>
        <v>1</v>
      </c>
      <c r="EF162" s="87" t="n">
        <f aca="false">IF(F162=4,"",INDEX(cfg_lenutil,D162,C162))</f>
        <v>0.999580888516345</v>
      </c>
      <c r="EG162" s="31" t="str">
        <f aca="false">IF(O162&gt;1,"Check fit (units scaled up)","")</f>
        <v/>
      </c>
    </row>
    <row r="163" customFormat="false" ht="15" hidden="false" customHeight="false" outlineLevel="0" collapsed="false">
      <c r="A163" s="78" t="n">
        <v>900009</v>
      </c>
      <c r="B163" s="9" t="s">
        <v>3311</v>
      </c>
      <c r="C163" s="10" t="n">
        <f aca="false">sel_scen</f>
        <v>2</v>
      </c>
      <c r="D163" s="10" t="n">
        <f aca="false">sel_cfg</f>
        <v>4</v>
      </c>
      <c r="E163" s="10" t="n">
        <f aca="false">sel_dest</f>
        <v>1</v>
      </c>
      <c r="F163" s="79" t="n">
        <f aca="false">INDEX(cfg_ct,D163)</f>
        <v>3</v>
      </c>
      <c r="G163" s="79" t="n">
        <f aca="false">INDEX(cfg_n,D163)</f>
        <v>1</v>
      </c>
      <c r="H163" s="79" t="n">
        <f aca="false">INDEX(dest_port,E163)</f>
        <v>1</v>
      </c>
      <c r="I163" s="80" t="n">
        <f aca="false">INDEX(in_fx_cbe,1,C163)*(1-INDEX(in_fx_spread,1,C163))</f>
        <v>52.7748</v>
      </c>
      <c r="J163" s="81" t="n">
        <f aca="false">1</f>
        <v>1</v>
      </c>
      <c r="K163" s="82" t="n">
        <f aca="false">INDEX(in_sup_vat_mode,1,C163)</f>
        <v>2</v>
      </c>
      <c r="L163" s="83" t="n">
        <f aca="false">INDEX(in_cus_s301,1,C163)</f>
        <v>0.125</v>
      </c>
      <c r="M163" s="84" t="n">
        <f aca="false">1</f>
        <v>1</v>
      </c>
      <c r="N163" s="95" t="n">
        <v>0.85</v>
      </c>
      <c r="O163" s="81" t="n">
        <f aca="false">1</f>
        <v>1</v>
      </c>
      <c r="P163" s="81" t="n">
        <f aca="false">1</f>
        <v>1</v>
      </c>
      <c r="Q163" s="81" t="n">
        <f aca="false">1</f>
        <v>1</v>
      </c>
      <c r="R163" s="83" t="n">
        <f aca="false">INDEX(in_sel_damage,1,C163)</f>
        <v>0.015</v>
      </c>
      <c r="S163" s="83" t="n">
        <f aca="false">INDEX(in_mkt_dist_margin,1,C163)</f>
        <v>0.25</v>
      </c>
      <c r="T163" s="83" t="n">
        <f aca="false">INDEX(in_mkt_eflute_disc,1,C163)</f>
        <v>0.2</v>
      </c>
      <c r="U163" s="82" t="n">
        <f aca="false">INDEX(in_sel_credit_days,1,C163)</f>
        <v>45</v>
      </c>
      <c r="V163" s="81" t="n">
        <f aca="false">1</f>
        <v>1</v>
      </c>
      <c r="W163" s="83" t="n">
        <f aca="false">INDEX(in_sel_commission,1,C163)</f>
        <v>0.05</v>
      </c>
      <c r="X163" s="82" t="n">
        <f aca="false">1</f>
        <v>1</v>
      </c>
      <c r="Y163" s="85" t="n">
        <f aca="false">INDEX(cfg_u_3464,D163,C163)*O163</f>
        <v>25800</v>
      </c>
      <c r="Z163" s="85" t="n">
        <f aca="false">INDEX(cfg_u_3463,D163,C163)*O163</f>
        <v>25800</v>
      </c>
      <c r="AA163" s="85" t="n">
        <f aca="false">INDEX(cfg_u_3460,D163,C163)*O163</f>
        <v>25800</v>
      </c>
      <c r="AB163" s="85" t="n">
        <f aca="false">Y163+Z163+AA163</f>
        <v>77400</v>
      </c>
      <c r="AC163" s="86" t="n">
        <f aca="false">Y163*INDEX(lg_vpu_3464,C163)</f>
        <v>18.3539136</v>
      </c>
      <c r="AD163" s="86" t="n">
        <f aca="false">Z163*INDEX(lg_vpu_3463,C163)</f>
        <v>22.4530176</v>
      </c>
      <c r="AE163" s="86" t="n">
        <f aca="false">AA163*INDEX(lg_vpu_3460,C163)</f>
        <v>14.6676096</v>
      </c>
      <c r="AF163" s="86" t="n">
        <f aca="false">AC163+AD163+AE163</f>
        <v>55.4745408</v>
      </c>
      <c r="AG163" s="85" t="n">
        <f aca="false">Y163*INDEX(lg_kpu_3464,C163)+Z163*INDEX(lg_kpu_3463,C163)+AA163*INDEX(lg_kpu_3460,C163)</f>
        <v>13341.3537888</v>
      </c>
      <c r="AH163" s="87" t="n">
        <f aca="false">INDEX(in_sup_requote,1,C163)</f>
        <v>0</v>
      </c>
      <c r="AI163" s="88" t="n">
        <f aca="false">Y163*q_price_3464*(1+AH163)*J163/I163</f>
        <v>4089.39493849337</v>
      </c>
      <c r="AJ163" s="88" t="n">
        <f aca="false">Z163*q_price_3463*(1+AH163)*J163/I163</f>
        <v>3862.07053366379</v>
      </c>
      <c r="AK163" s="88" t="n">
        <f aca="false">AA163*q_price_3460*(1+AH163)*J163/I163</f>
        <v>3373.20084585825</v>
      </c>
      <c r="AL163" s="88" t="n">
        <f aca="false">AI163+AJ163+AK163</f>
        <v>11324.6663180154</v>
      </c>
      <c r="AM163" s="88" t="n">
        <f aca="false">IF(OR(K163=2,K163=3),AL163*INDEX(in_sup_vat_rate,1,C163),0)</f>
        <v>1585.45328452216</v>
      </c>
      <c r="AN163" s="88" t="n">
        <f aca="false">IF(K163=3,AM163,0)</f>
        <v>0</v>
      </c>
      <c r="AO163" s="88" t="n">
        <f aca="false">INDEX(in_sup_tooling_egp,1,C163)/I163</f>
        <v>0</v>
      </c>
      <c r="AP163" s="88" t="n">
        <f aca="false">IF(F163=4,INDEX(in_ori_lcl_truck,1,C163)*V163/I163+INDEX(in_ori_lcl_cfs_o,1,C163),G163*(IF(F163=1,INDEX(in_ori_truck_20,1,C163),INDEX(in_ori_truck_40,1,C163))*V163/I163+INDEX(in_ori_terminal,1,C163)+IF(F163=1,INDEX(in_ori_othc_20,1,C163),INDEX(in_ori_othc_40,1,C163))*(1-INDEX(in_ori_othc_in_freight,1,C163))+INDEX(in_ori_seal,1,C163)+INDEX(in_ori_inspection,1,C163)+INDEX(in_ori_dd_days,1,C163)*IF(F163=1,INDEX(in_ori_dd_20,1,C163),INDEX(in_ori_dd_40,1,C163))+INDEX(in_ori_loading_egp,1,C163)/I163))</f>
        <v>555.278125165799</v>
      </c>
      <c r="AQ163" s="88" t="n">
        <f aca="false">(INDEX(in_ori_clearance,1,C163)+INDEX(in_ori_coo,1,C163))/I163+INDEX(in_ori_bl_fee,1,C163)+INDEX(in_ori_fwd_fee,1,C163)+INDEX(in_ori_qc,1,C163)+INDEX(in_ori_wires,1,C163)*INDEX(in_ori_wire_fee,1,C163)</f>
        <v>817.639062582899</v>
      </c>
      <c r="AR163" s="88" t="n">
        <f aca="false">AP163+AQ163</f>
        <v>1372.9171877487</v>
      </c>
      <c r="AS163" s="85" t="n">
        <f aca="false">INDEX(tbl_port_diff,H163,C163)</f>
        <v>0</v>
      </c>
      <c r="AT163" s="88" t="n">
        <f aca="false">IF(F163=4,MAX(AF163*INDEX(in_oce_lcl_factor,1,C163),AG163/1000,1)*INDEX(in_oce_lcl_rate,1,C163)*M163,G163*(INDEX(tbl_ocean_rate,MIN(F163,3),C163)+AS163)*M163)</f>
        <v>4000</v>
      </c>
      <c r="AU163" s="88" t="n">
        <f aca="false">AT163+INDEX(in_oce_ams,1,C163)</f>
        <v>4035</v>
      </c>
      <c r="AV163" s="88" t="n">
        <f aca="false">AI163*(1+IF(K163=3,INDEX(in_sup_vat_rate,1,C163),0))+AO163*Y163/AB163</f>
        <v>4089.39493849337</v>
      </c>
      <c r="AW163" s="88" t="n">
        <f aca="false">AJ163*(1+IF(K163=3,INDEX(in_sup_vat_rate,1,C163),0))+AO163*Z163/AB163</f>
        <v>3862.07053366379</v>
      </c>
      <c r="AX163" s="88" t="n">
        <f aca="false">AK163*(1+IF(K163=3,INDEX(in_sup_vat_rate,1,C163),0))+AO163*AA163/AB163</f>
        <v>3373.20084585825</v>
      </c>
      <c r="AY163" s="88" t="n">
        <f aca="false">AV163+AW163+AX163</f>
        <v>11324.6663180154</v>
      </c>
      <c r="AZ163" s="88" t="n">
        <f aca="false">MAX(INDEX(in_oce_ins_min,1,C163),INDEX(in_oce_ins_rate,1,C163)*(1+INDEX(in_oce_ins_uplift,1,C163))*(AL163+AO163+AR163+AU163))*(1-INDEX(in_oce_ins_in_other,1,C163))</f>
        <v>75</v>
      </c>
      <c r="BA163" s="87" t="n">
        <f aca="false">INDEX(in_cus_mfn,1,C163)+L163</f>
        <v>0.125</v>
      </c>
      <c r="BB163" s="88" t="n">
        <f aca="false">AY163*BA163</f>
        <v>1415.58328975193</v>
      </c>
      <c r="BC163" s="88" t="n">
        <f aca="false">MIN(MAX(AY163*INDEX(in_cus_mpf_rate,1,C163),INDEX(in_cus_mpf_min,1,C163)),INDEX(in_cus_mpf_max,1,C163))</f>
        <v>39.2286441256054</v>
      </c>
      <c r="BD163" s="88" t="n">
        <f aca="false">AY163*INDEX(in_cus_hmf,1,C163)</f>
        <v>14.1558328975193</v>
      </c>
      <c r="BE163" s="88" t="n">
        <f aca="false">MAX(INDEX(in_cus_stb_min,1,C163),INDEX(in_cus_stb_rate,1,C163)/1000*(AY163+BB163+BC163+BD163))</f>
        <v>76.7618045087428</v>
      </c>
      <c r="BF163" s="88" t="n">
        <f aca="false">INDEX(in_cus_broker,1,C163)+INDEX(in_cus_isf,1,C163)+INDEX(in_cus_do_fee,1,C163)+BE163+INDEX(in_cus_isf_bond,1,C163)</f>
        <v>511.761804508743</v>
      </c>
      <c r="BG163" s="88" t="n">
        <f aca="false">IF(H163=1,INDEX(in_cus_cfc,1,C163)*INDEX(ct_teu,F163)*G163*(1-INDEX(in_cus_cfc_in_freight,1,C163)),0)</f>
        <v>29.6</v>
      </c>
      <c r="BH163" s="88" t="n">
        <f aca="false">IF(F163=4,1,G163)*(INDEX(in_cus_exam,1,C163)+INDEX(in_cus_exam_dray,1,C163))</f>
        <v>0</v>
      </c>
      <c r="BI163" s="88" t="n">
        <f aca="false">IF(F163=4,1,G163)*INDEX(in_cus_dem_days,1,C163)*INDEX(in_cus_dem_rate,1,C163)</f>
        <v>0</v>
      </c>
      <c r="BJ163" s="88" t="n">
        <f aca="false">BG163+BH163+BI163</f>
        <v>29.6</v>
      </c>
      <c r="BK163" s="88" t="n">
        <f aca="false">IF(F163=4,(INDEX(in_dra_lcl_cfs_d,1,C163)+INDEX(in_dra_lcl_deliv,1,C163))*P163,G163*(INDEX(tbl_dest_line,E163,C163)*P163*(1+INDEX(in_dra_fsc,1,C163))+INDEX(tbl_dest_tolls,E163,C163)+INDEX(in_dra_chassis_days,1,C163)*INDEX(tbl_dest_chassis,E163,C163)*(1-INDEX(in_dra_chassis_in_dray,1,C163))+INDEX(in_dra_wait_hours,1,C163)*INDEX(in_dra_wait_rate,1,C163)+INDEX(in_dra_split,1,C163)+INDEX(in_dra_prepull,1,C163)+INDEX(in_dra_dryrun,1,C163)))</f>
        <v>1060</v>
      </c>
      <c r="BL163" s="88" t="n">
        <f aca="false">IF(F163=4,0,G163*IF(F163=1,INDEX(in_dra_unload_20,1,C163),INDEX(in_dra_unload_40,1,C163))*Q163*(1-INDEX(in_dra_unload_in_dray,1,C163)))</f>
        <v>450</v>
      </c>
      <c r="BM163" s="88" t="n">
        <f aca="false">AL163+AN163+AO163+AR163+AU163+AZ163+BB163+BC163+BD163+BF163+BJ163+BK163+BL163</f>
        <v>20327.9130770479</v>
      </c>
      <c r="BN163" s="88" t="n">
        <f aca="false">AP163+AU163+BJ163+BK163+BL163</f>
        <v>6129.8781251658</v>
      </c>
      <c r="BO163" s="88" t="n">
        <f aca="false">AQ163+BF163</f>
        <v>1329.40086709164</v>
      </c>
      <c r="BP163" s="88" t="n">
        <f aca="false">AI163*(1+IF(K163=3,INDEX(in_sup_vat_rate,1,C163),0))+AO163*Y163/AB163+AV163*BA163+(BC163+BD163)*AV163/AY163+AZ163*AI163/AL163+BN163*AC163/AF163+BO163*Y163/AB163</f>
        <v>7118.15127339316</v>
      </c>
      <c r="BQ163" s="88" t="n">
        <f aca="false">AJ163*(1+IF(K163=3,INDEX(in_sup_vat_rate,1,C163),0))+AO163*Z163/AB163+AW163*BA163+(BC163+BD163)*AW163/AY163+AZ163*AJ163/AL163+BN163*AD163/AF163+BO163*Z163/AB163</f>
        <v>7312.78086621743</v>
      </c>
      <c r="BR163" s="88" t="n">
        <f aca="false">AK163*(1+IF(K163=3,INDEX(in_sup_vat_rate,1,C163),0))+AO163*AA163/AB163+AX163*BA163+(BC163+BD163)*AX163/AY163+AZ163*AK163/AL163+BN163*AE163/AF163+BO163*AA163/AB163</f>
        <v>5896.98093743733</v>
      </c>
      <c r="BS163" s="89" t="n">
        <f aca="false">BP163+BQ163+BR163-BM163</f>
        <v>0</v>
      </c>
      <c r="BT163" s="85" t="n">
        <f aca="false">Y163*(1-R163)</f>
        <v>25413</v>
      </c>
      <c r="BU163" s="85" t="n">
        <f aca="false">Z163*(1-R163)</f>
        <v>25413</v>
      </c>
      <c r="BV163" s="85" t="n">
        <f aca="false">AA163*(1-R163)</f>
        <v>25413</v>
      </c>
      <c r="BW163" s="85" t="n">
        <f aca="false">BT163+BU163+BV163</f>
        <v>76239</v>
      </c>
      <c r="BX163" s="90" t="n">
        <f aca="false">IF(BT163&gt;0,BP163/BT163,0)</f>
        <v>0.280098818454852</v>
      </c>
      <c r="BY163" s="90" t="n">
        <f aca="false">IF(BU163&gt;0,BQ163/BU163,0)</f>
        <v>0.28775748106156</v>
      </c>
      <c r="BZ163" s="90" t="n">
        <f aca="false">IF(BV163&gt;0,BR163/BV163,0)</f>
        <v>0.232045840217106</v>
      </c>
      <c r="CA163" s="90" t="n">
        <f aca="false">INDEX(in_mkt_listing_3464,1,C163)*(1-IF(sku_flute_3464="B",T163,0))*(1-S163)*N163</f>
        <v>0.1989</v>
      </c>
      <c r="CB163" s="90" t="n">
        <f aca="false">INDEX(in_mkt_listing_3463,1,C163)*(1-IF(sku_flute_3463="B",T163,0))*(1-S163)*N163</f>
        <v>0.2295</v>
      </c>
      <c r="CC163" s="90" t="n">
        <f aca="false">INDEX(in_mkt_listing_3460,1,C163)*(1-IF(sku_flute_3460="B",T163,0))*(1-S163)*N163</f>
        <v>0.19125</v>
      </c>
      <c r="CD163" s="88" t="n">
        <f aca="false">BT163*CA163+BU163*CB163+BV163*CC163</f>
        <v>15747.16545</v>
      </c>
      <c r="CE163" s="88" t="n">
        <f aca="false">CD163-BM163</f>
        <v>-4580.74762704791</v>
      </c>
      <c r="CF163" s="87" t="n">
        <f aca="false">IF(CD163&gt;0,CE163/CD163,0)</f>
        <v>-0.290893471691307</v>
      </c>
      <c r="CG163" s="87" t="n">
        <f aca="false">W163+INDEX(in_sel_processing,1,C163)+INDEX(in_sel_bad_debt,1,C163)</f>
        <v>0.058</v>
      </c>
      <c r="CH163" s="88" t="n">
        <f aca="false">CD163*CG163</f>
        <v>913.3355961</v>
      </c>
      <c r="CI163" s="88" t="n">
        <f aca="false">INDEX(in_sel_testing,1,C163)*X163+INDEX(in_sel_admin,1,C163)</f>
        <v>3000</v>
      </c>
      <c r="CJ163" s="79" t="n">
        <f aca="false">INDEX(in_sup_lead_days,1,C163)</f>
        <v>21</v>
      </c>
      <c r="CK163" s="79" t="n">
        <f aca="false">CJ163+INDEX(in_oce_transit,1,C163)+IF(F163=4,INDEX(in_oce_lcl_extra_days,1,C163),0)</f>
        <v>51</v>
      </c>
      <c r="CL163" s="79" t="n">
        <f aca="false">CK163+2+INDEX(in_cus_dem_days,1,C163)</f>
        <v>53</v>
      </c>
      <c r="CM163" s="79" t="n">
        <f aca="false">CL163+U163</f>
        <v>98</v>
      </c>
      <c r="CN163" s="79" t="n">
        <f aca="false">CJ163+INDEX(in_sup_vat_lag,1,C163)</f>
        <v>81</v>
      </c>
      <c r="CO163" s="91" t="n">
        <f aca="false">INDEX(in_sup_advance,1,C163)</f>
        <v>0.5</v>
      </c>
      <c r="CP163" s="88" t="n">
        <f aca="false">CO163*(AL163+AM163)+AO163+INDEX(in_sel_testing,1,C163)*X163</f>
        <v>8955.05980126879</v>
      </c>
      <c r="CQ163" s="88" t="n">
        <f aca="false">(1-CO163)*(AL163+AM163)+AR163+AU163+AZ163</f>
        <v>11937.9769890175</v>
      </c>
      <c r="CR163" s="88" t="n">
        <f aca="false">BB163+BC163+BD163+BF163+BJ163</f>
        <v>2010.32957128379</v>
      </c>
      <c r="CS163" s="88" t="n">
        <f aca="false">BK163+BL163</f>
        <v>1510</v>
      </c>
      <c r="CT163" s="88" t="n">
        <f aca="false">IF(K163=2,AM163,0)</f>
        <v>1585.45328452216</v>
      </c>
      <c r="CU163" s="85" t="n">
        <f aca="false">IF(K163=2,CO163*AM163*(CN163-0)+(1-CO163)*AM163*(CN163-CJ163),0)</f>
        <v>111774.456558812</v>
      </c>
      <c r="CV163" s="85" t="n">
        <f aca="false">(CP163-CO163*CT163)*(CM163-0)+(CQ163-(1-CO163)*CT163)*(CM163-CJ163)+CR163*(CM163-CK163)+CS163*(CM163-CL163)</f>
        <v>1820528.41613334</v>
      </c>
      <c r="CW163" s="88" t="n">
        <f aca="false">INDEX(in_sel_fin_rate,1,C163)/365*(CU163+CV163)</f>
        <v>529.398047312918</v>
      </c>
      <c r="CX163" s="85" t="n">
        <f aca="false">CP163-IF(CN163&lt;=0,CT163,0)</f>
        <v>8955.05980126879</v>
      </c>
      <c r="CY163" s="85" t="n">
        <f aca="false">CP163+CQ163-IF(CN163&lt;=CJ163,CT163,0)</f>
        <v>20893.0367902863</v>
      </c>
      <c r="CZ163" s="85" t="n">
        <f aca="false">CP163+CQ163+CR163-IF(CN163&lt;=CK163,CT163,0)</f>
        <v>22903.3663615701</v>
      </c>
      <c r="DA163" s="85" t="n">
        <f aca="false">CP163+CQ163+CR163+CS163-IF(CN163&lt;=CL163,CT163,0)</f>
        <v>24413.3663615701</v>
      </c>
      <c r="DB163" s="88" t="n">
        <f aca="false">MAX(CX163,CY163,CZ163,DA163)</f>
        <v>24413.3663615701</v>
      </c>
      <c r="DC163" s="88" t="n">
        <f aca="false">CP163+CQ163+CR163+CS163</f>
        <v>24413.3663615701</v>
      </c>
      <c r="DD163" s="88" t="n">
        <f aca="false">CE163-CH163-CI163-CW163</f>
        <v>-9023.48127046083</v>
      </c>
      <c r="DE163" s="87" t="n">
        <f aca="false">IF(CD163&gt;0,DD163/CD163,0)</f>
        <v>-0.573022573434689</v>
      </c>
      <c r="DF163" s="86" t="n">
        <f aca="false">IF(CD163&gt;0,(BM163+CI163+CW163)/(CD163*(1-CG163)),0)</f>
        <v>1.60830421808353</v>
      </c>
      <c r="DG163" s="90" t="n">
        <f aca="false">IF(BW163&gt;0,BM163/BW163,0)</f>
        <v>0.26663404657784</v>
      </c>
      <c r="DH163" s="90" t="n">
        <f aca="false">IF(BW163&gt;0,CD163/BW163,0)</f>
        <v>0.20655</v>
      </c>
      <c r="DI163" s="90" t="n">
        <f aca="false">IF(AI163&gt;0,(AI163*IF(K163=3,INDEX(in_sup_vat_rate,1,C163),0)+AV163*BA163+(BC163+BD163)*AV163/AY163+AZ163*AI163/AL163)/AI163,0)</f>
        <v>0.136336711689146</v>
      </c>
      <c r="DJ163" s="90" t="n">
        <f aca="false">IF(AJ163&gt;0,(AJ163*IF(K163=3,INDEX(in_sup_vat_rate,1,C163),0)+AW163*BA163+(BC163+BD163)*AW163/AY163+AZ163*AJ163/AL163)/AJ163,0)</f>
        <v>0.136336711689146</v>
      </c>
      <c r="DK163" s="90" t="n">
        <f aca="false">IF(AK163&gt;0,(AK163*IF(K163=3,INDEX(in_sup_vat_rate,1,C163),0)+AX163*BA163+(BC163+BD163)*AX163/AY163+AZ163*AK163/AL163)/AK163,0)</f>
        <v>0.136336711689146</v>
      </c>
      <c r="DL163" s="90" t="n">
        <f aca="false">IF(Y163&gt;0,(BP163-AI163*(1+DI163))/Y163,0)</f>
        <v>0.0957837858987348</v>
      </c>
      <c r="DM163" s="90" t="n">
        <f aca="false">IF(Z163&gt;0,(BQ163-AJ163*(1+DJ163))/Z163,0)</f>
        <v>0.113339857972185</v>
      </c>
      <c r="DN163" s="90" t="n">
        <f aca="false">IF(AA163&gt;0,(BR163-AK163*(1+DK163))/AA163,0)</f>
        <v>0.0799956969142526</v>
      </c>
      <c r="DO163" s="86" t="n">
        <f aca="false">IF(Y163&gt;0,(CA163*(1-thr_gm_go)*(1-R163)-DL163)/(1+DI163)*I163/((1+AH163)*J163),"")</f>
        <v>2.37572227169226</v>
      </c>
      <c r="DP163" s="86" t="n">
        <f aca="false">IF(Z163&gt;0,(CB163*(1-thr_gm_go)*(1-R163)-DM163)/(1+DJ163)*I163/((1+AH163)*J163),"")</f>
        <v>2.61024408190637</v>
      </c>
      <c r="DQ163" s="86" t="n">
        <f aca="false">IF(AA163&gt;0,(CC163*(1-thr_gm_go)*(1-R163)-DN163)/(1+DK163)*I163/((1+AH163)*J163),"")</f>
        <v>2.84649801030942</v>
      </c>
      <c r="DR163" s="92" t="n">
        <f aca="false">IF(AND(AY163*INDEX(in_cus_mpf_rate,1,C163)&gt;INDEX(in_cus_mpf_min,1,C163),AY163*INDEX(in_cus_mpf_rate,1,C163)&lt;INDEX(in_cus_mpf_max,1,C163)),INDEX(in_cus_mpf_rate,1,C163),0)</f>
        <v>0.003464</v>
      </c>
      <c r="DS163" s="88" t="n">
        <f aca="false">IF(AZ163&gt;INDEX(in_oce_ins_min,1,C163),INDEX(in_oce_ins_rate,1,C163)*(1+INDEX(in_oce_ins_uplift,1,C163))*AL163,0)</f>
        <v>0</v>
      </c>
      <c r="DT163" s="88" t="n">
        <f aca="false">(AL163+AN163)*(1+BA163+INDEX(in_cus_hmf,1,C163)+DR163)+DS163</f>
        <v>12793.6340847905</v>
      </c>
      <c r="DU163" s="86" t="n">
        <f aca="false">IF(DT163&gt;0,(CD163*(1-thr_gm_go)-(BM163-DT163))/DT163,0)</f>
        <v>0.334236157365649</v>
      </c>
      <c r="DV163" s="86" t="n">
        <f aca="false">IF(DT163&gt;0,(CD163-(BM163-DT163))/DT163,0)</f>
        <v>0.641951020586585</v>
      </c>
      <c r="DW163" s="87" t="n">
        <f aca="false">(1+AH163)*J163*DU163-1</f>
        <v>-0.665763842634351</v>
      </c>
      <c r="DX163" s="87" t="n">
        <f aca="false">(1+AH163)*J163*DV163-1</f>
        <v>-0.358048979413415</v>
      </c>
      <c r="DY163" s="85" t="n">
        <f aca="false">IF(G163&gt;0,(CD163*(1-thr_gm_go)-(BM163-AT163))/G163,"")</f>
        <v>-4517.53898954791</v>
      </c>
      <c r="DZ163" s="90" t="n">
        <f aca="false">IF(AB163&gt;0,(AL163+AN163+BB163+BC163+BD163)/AB163,0)</f>
        <v>0.165292430036053</v>
      </c>
      <c r="EA163" s="88" t="n">
        <f aca="false">BM163-DZ163*AB163</f>
        <v>7534.27899225744</v>
      </c>
      <c r="EB163" s="90" t="n">
        <f aca="false">IF(AB163&gt;0,CD163/AB163,0)</f>
        <v>0.20345175</v>
      </c>
      <c r="EC163" s="85" t="str">
        <f aca="false">IF(EB163*(1-thr_gm_go)-DZ163&gt;0,EA163/(EB163*(1-thr_gm_go)-DZ163),"n/a")</f>
        <v>n/a</v>
      </c>
      <c r="ED163" s="85" t="n">
        <f aca="false">IF(EB163-DZ163&gt;0,EA163/(EB163-DZ163),"n/a")</f>
        <v>197442.695503373</v>
      </c>
      <c r="EE163" s="93" t="b">
        <f aca="false">INDEX(cfg_fits,D163,C163)</f>
        <v>1</v>
      </c>
      <c r="EF163" s="87" t="n">
        <f aca="false">IF(F163=4,"",INDEX(cfg_lenutil,D163,C163))</f>
        <v>0.999580888516345</v>
      </c>
      <c r="EG163" s="31" t="str">
        <f aca="false">IF(O163&gt;1,"Check fit (units scaled up)","")</f>
        <v/>
      </c>
    </row>
    <row r="164" customFormat="false" ht="15" hidden="false" customHeight="false" outlineLevel="0" collapsed="false">
      <c r="A164" s="78" t="n">
        <v>900010</v>
      </c>
      <c r="B164" s="9" t="s">
        <v>3312</v>
      </c>
      <c r="C164" s="10" t="n">
        <f aca="false">sel_scen</f>
        <v>2</v>
      </c>
      <c r="D164" s="10" t="n">
        <f aca="false">sel_cfg</f>
        <v>4</v>
      </c>
      <c r="E164" s="10" t="n">
        <f aca="false">sel_dest</f>
        <v>1</v>
      </c>
      <c r="F164" s="79" t="n">
        <f aca="false">INDEX(cfg_ct,D164)</f>
        <v>3</v>
      </c>
      <c r="G164" s="79" t="n">
        <f aca="false">INDEX(cfg_n,D164)</f>
        <v>1</v>
      </c>
      <c r="H164" s="79" t="n">
        <f aca="false">INDEX(dest_port,E164)</f>
        <v>1</v>
      </c>
      <c r="I164" s="80" t="n">
        <f aca="false">INDEX(in_fx_cbe,1,C164)*(1-INDEX(in_fx_spread,1,C164))</f>
        <v>52.7748</v>
      </c>
      <c r="J164" s="81" t="n">
        <f aca="false">1</f>
        <v>1</v>
      </c>
      <c r="K164" s="82" t="n">
        <f aca="false">INDEX(in_sup_vat_mode,1,C164)</f>
        <v>2</v>
      </c>
      <c r="L164" s="83" t="n">
        <f aca="false">INDEX(in_cus_s301,1,C164)</f>
        <v>0.125</v>
      </c>
      <c r="M164" s="84" t="n">
        <f aca="false">1</f>
        <v>1</v>
      </c>
      <c r="N164" s="95" t="n">
        <v>1.15</v>
      </c>
      <c r="O164" s="81" t="n">
        <f aca="false">1</f>
        <v>1</v>
      </c>
      <c r="P164" s="81" t="n">
        <f aca="false">1</f>
        <v>1</v>
      </c>
      <c r="Q164" s="81" t="n">
        <f aca="false">1</f>
        <v>1</v>
      </c>
      <c r="R164" s="83" t="n">
        <f aca="false">INDEX(in_sel_damage,1,C164)</f>
        <v>0.015</v>
      </c>
      <c r="S164" s="83" t="n">
        <f aca="false">INDEX(in_mkt_dist_margin,1,C164)</f>
        <v>0.25</v>
      </c>
      <c r="T164" s="83" t="n">
        <f aca="false">INDEX(in_mkt_eflute_disc,1,C164)</f>
        <v>0.2</v>
      </c>
      <c r="U164" s="82" t="n">
        <f aca="false">INDEX(in_sel_credit_days,1,C164)</f>
        <v>45</v>
      </c>
      <c r="V164" s="81" t="n">
        <f aca="false">1</f>
        <v>1</v>
      </c>
      <c r="W164" s="83" t="n">
        <f aca="false">INDEX(in_sel_commission,1,C164)</f>
        <v>0.05</v>
      </c>
      <c r="X164" s="82" t="n">
        <f aca="false">1</f>
        <v>1</v>
      </c>
      <c r="Y164" s="85" t="n">
        <f aca="false">INDEX(cfg_u_3464,D164,C164)*O164</f>
        <v>25800</v>
      </c>
      <c r="Z164" s="85" t="n">
        <f aca="false">INDEX(cfg_u_3463,D164,C164)*O164</f>
        <v>25800</v>
      </c>
      <c r="AA164" s="85" t="n">
        <f aca="false">INDEX(cfg_u_3460,D164,C164)*O164</f>
        <v>25800</v>
      </c>
      <c r="AB164" s="85" t="n">
        <f aca="false">Y164+Z164+AA164</f>
        <v>77400</v>
      </c>
      <c r="AC164" s="86" t="n">
        <f aca="false">Y164*INDEX(lg_vpu_3464,C164)</f>
        <v>18.3539136</v>
      </c>
      <c r="AD164" s="86" t="n">
        <f aca="false">Z164*INDEX(lg_vpu_3463,C164)</f>
        <v>22.4530176</v>
      </c>
      <c r="AE164" s="86" t="n">
        <f aca="false">AA164*INDEX(lg_vpu_3460,C164)</f>
        <v>14.6676096</v>
      </c>
      <c r="AF164" s="86" t="n">
        <f aca="false">AC164+AD164+AE164</f>
        <v>55.4745408</v>
      </c>
      <c r="AG164" s="85" t="n">
        <f aca="false">Y164*INDEX(lg_kpu_3464,C164)+Z164*INDEX(lg_kpu_3463,C164)+AA164*INDEX(lg_kpu_3460,C164)</f>
        <v>13341.3537888</v>
      </c>
      <c r="AH164" s="87" t="n">
        <f aca="false">INDEX(in_sup_requote,1,C164)</f>
        <v>0</v>
      </c>
      <c r="AI164" s="88" t="n">
        <f aca="false">Y164*q_price_3464*(1+AH164)*J164/I164</f>
        <v>4089.39493849337</v>
      </c>
      <c r="AJ164" s="88" t="n">
        <f aca="false">Z164*q_price_3463*(1+AH164)*J164/I164</f>
        <v>3862.07053366379</v>
      </c>
      <c r="AK164" s="88" t="n">
        <f aca="false">AA164*q_price_3460*(1+AH164)*J164/I164</f>
        <v>3373.20084585825</v>
      </c>
      <c r="AL164" s="88" t="n">
        <f aca="false">AI164+AJ164+AK164</f>
        <v>11324.6663180154</v>
      </c>
      <c r="AM164" s="88" t="n">
        <f aca="false">IF(OR(K164=2,K164=3),AL164*INDEX(in_sup_vat_rate,1,C164),0)</f>
        <v>1585.45328452216</v>
      </c>
      <c r="AN164" s="88" t="n">
        <f aca="false">IF(K164=3,AM164,0)</f>
        <v>0</v>
      </c>
      <c r="AO164" s="88" t="n">
        <f aca="false">INDEX(in_sup_tooling_egp,1,C164)/I164</f>
        <v>0</v>
      </c>
      <c r="AP164" s="88" t="n">
        <f aca="false">IF(F164=4,INDEX(in_ori_lcl_truck,1,C164)*V164/I164+INDEX(in_ori_lcl_cfs_o,1,C164),G164*(IF(F164=1,INDEX(in_ori_truck_20,1,C164),INDEX(in_ori_truck_40,1,C164))*V164/I164+INDEX(in_ori_terminal,1,C164)+IF(F164=1,INDEX(in_ori_othc_20,1,C164),INDEX(in_ori_othc_40,1,C164))*(1-INDEX(in_ori_othc_in_freight,1,C164))+INDEX(in_ori_seal,1,C164)+INDEX(in_ori_inspection,1,C164)+INDEX(in_ori_dd_days,1,C164)*IF(F164=1,INDEX(in_ori_dd_20,1,C164),INDEX(in_ori_dd_40,1,C164))+INDEX(in_ori_loading_egp,1,C164)/I164))</f>
        <v>555.278125165799</v>
      </c>
      <c r="AQ164" s="88" t="n">
        <f aca="false">(INDEX(in_ori_clearance,1,C164)+INDEX(in_ori_coo,1,C164))/I164+INDEX(in_ori_bl_fee,1,C164)+INDEX(in_ori_fwd_fee,1,C164)+INDEX(in_ori_qc,1,C164)+INDEX(in_ori_wires,1,C164)*INDEX(in_ori_wire_fee,1,C164)</f>
        <v>817.639062582899</v>
      </c>
      <c r="AR164" s="88" t="n">
        <f aca="false">AP164+AQ164</f>
        <v>1372.9171877487</v>
      </c>
      <c r="AS164" s="85" t="n">
        <f aca="false">INDEX(tbl_port_diff,H164,C164)</f>
        <v>0</v>
      </c>
      <c r="AT164" s="88" t="n">
        <f aca="false">IF(F164=4,MAX(AF164*INDEX(in_oce_lcl_factor,1,C164),AG164/1000,1)*INDEX(in_oce_lcl_rate,1,C164)*M164,G164*(INDEX(tbl_ocean_rate,MIN(F164,3),C164)+AS164)*M164)</f>
        <v>4000</v>
      </c>
      <c r="AU164" s="88" t="n">
        <f aca="false">AT164+INDEX(in_oce_ams,1,C164)</f>
        <v>4035</v>
      </c>
      <c r="AV164" s="88" t="n">
        <f aca="false">AI164*(1+IF(K164=3,INDEX(in_sup_vat_rate,1,C164),0))+AO164*Y164/AB164</f>
        <v>4089.39493849337</v>
      </c>
      <c r="AW164" s="88" t="n">
        <f aca="false">AJ164*(1+IF(K164=3,INDEX(in_sup_vat_rate,1,C164),0))+AO164*Z164/AB164</f>
        <v>3862.07053366379</v>
      </c>
      <c r="AX164" s="88" t="n">
        <f aca="false">AK164*(1+IF(K164=3,INDEX(in_sup_vat_rate,1,C164),0))+AO164*AA164/AB164</f>
        <v>3373.20084585825</v>
      </c>
      <c r="AY164" s="88" t="n">
        <f aca="false">AV164+AW164+AX164</f>
        <v>11324.6663180154</v>
      </c>
      <c r="AZ164" s="88" t="n">
        <f aca="false">MAX(INDEX(in_oce_ins_min,1,C164),INDEX(in_oce_ins_rate,1,C164)*(1+INDEX(in_oce_ins_uplift,1,C164))*(AL164+AO164+AR164+AU164))*(1-INDEX(in_oce_ins_in_other,1,C164))</f>
        <v>75</v>
      </c>
      <c r="BA164" s="87" t="n">
        <f aca="false">INDEX(in_cus_mfn,1,C164)+L164</f>
        <v>0.125</v>
      </c>
      <c r="BB164" s="88" t="n">
        <f aca="false">AY164*BA164</f>
        <v>1415.58328975193</v>
      </c>
      <c r="BC164" s="88" t="n">
        <f aca="false">MIN(MAX(AY164*INDEX(in_cus_mpf_rate,1,C164),INDEX(in_cus_mpf_min,1,C164)),INDEX(in_cus_mpf_max,1,C164))</f>
        <v>39.2286441256054</v>
      </c>
      <c r="BD164" s="88" t="n">
        <f aca="false">AY164*INDEX(in_cus_hmf,1,C164)</f>
        <v>14.1558328975193</v>
      </c>
      <c r="BE164" s="88" t="n">
        <f aca="false">MAX(INDEX(in_cus_stb_min,1,C164),INDEX(in_cus_stb_rate,1,C164)/1000*(AY164+BB164+BC164+BD164))</f>
        <v>76.7618045087428</v>
      </c>
      <c r="BF164" s="88" t="n">
        <f aca="false">INDEX(in_cus_broker,1,C164)+INDEX(in_cus_isf,1,C164)+INDEX(in_cus_do_fee,1,C164)+BE164+INDEX(in_cus_isf_bond,1,C164)</f>
        <v>511.761804508743</v>
      </c>
      <c r="BG164" s="88" t="n">
        <f aca="false">IF(H164=1,INDEX(in_cus_cfc,1,C164)*INDEX(ct_teu,F164)*G164*(1-INDEX(in_cus_cfc_in_freight,1,C164)),0)</f>
        <v>29.6</v>
      </c>
      <c r="BH164" s="88" t="n">
        <f aca="false">IF(F164=4,1,G164)*(INDEX(in_cus_exam,1,C164)+INDEX(in_cus_exam_dray,1,C164))</f>
        <v>0</v>
      </c>
      <c r="BI164" s="88" t="n">
        <f aca="false">IF(F164=4,1,G164)*INDEX(in_cus_dem_days,1,C164)*INDEX(in_cus_dem_rate,1,C164)</f>
        <v>0</v>
      </c>
      <c r="BJ164" s="88" t="n">
        <f aca="false">BG164+BH164+BI164</f>
        <v>29.6</v>
      </c>
      <c r="BK164" s="88" t="n">
        <f aca="false">IF(F164=4,(INDEX(in_dra_lcl_cfs_d,1,C164)+INDEX(in_dra_lcl_deliv,1,C164))*P164,G164*(INDEX(tbl_dest_line,E164,C164)*P164*(1+INDEX(in_dra_fsc,1,C164))+INDEX(tbl_dest_tolls,E164,C164)+INDEX(in_dra_chassis_days,1,C164)*INDEX(tbl_dest_chassis,E164,C164)*(1-INDEX(in_dra_chassis_in_dray,1,C164))+INDEX(in_dra_wait_hours,1,C164)*INDEX(in_dra_wait_rate,1,C164)+INDEX(in_dra_split,1,C164)+INDEX(in_dra_prepull,1,C164)+INDEX(in_dra_dryrun,1,C164)))</f>
        <v>1060</v>
      </c>
      <c r="BL164" s="88" t="n">
        <f aca="false">IF(F164=4,0,G164*IF(F164=1,INDEX(in_dra_unload_20,1,C164),INDEX(in_dra_unload_40,1,C164))*Q164*(1-INDEX(in_dra_unload_in_dray,1,C164)))</f>
        <v>450</v>
      </c>
      <c r="BM164" s="88" t="n">
        <f aca="false">AL164+AN164+AO164+AR164+AU164+AZ164+BB164+BC164+BD164+BF164+BJ164+BK164+BL164</f>
        <v>20327.9130770479</v>
      </c>
      <c r="BN164" s="88" t="n">
        <f aca="false">AP164+AU164+BJ164+BK164+BL164</f>
        <v>6129.8781251658</v>
      </c>
      <c r="BO164" s="88" t="n">
        <f aca="false">AQ164+BF164</f>
        <v>1329.40086709164</v>
      </c>
      <c r="BP164" s="88" t="n">
        <f aca="false">AI164*(1+IF(K164=3,INDEX(in_sup_vat_rate,1,C164),0))+AO164*Y164/AB164+AV164*BA164+(BC164+BD164)*AV164/AY164+AZ164*AI164/AL164+BN164*AC164/AF164+BO164*Y164/AB164</f>
        <v>7118.15127339316</v>
      </c>
      <c r="BQ164" s="88" t="n">
        <f aca="false">AJ164*(1+IF(K164=3,INDEX(in_sup_vat_rate,1,C164),0))+AO164*Z164/AB164+AW164*BA164+(BC164+BD164)*AW164/AY164+AZ164*AJ164/AL164+BN164*AD164/AF164+BO164*Z164/AB164</f>
        <v>7312.78086621743</v>
      </c>
      <c r="BR164" s="88" t="n">
        <f aca="false">AK164*(1+IF(K164=3,INDEX(in_sup_vat_rate,1,C164),0))+AO164*AA164/AB164+AX164*BA164+(BC164+BD164)*AX164/AY164+AZ164*AK164/AL164+BN164*AE164/AF164+BO164*AA164/AB164</f>
        <v>5896.98093743733</v>
      </c>
      <c r="BS164" s="89" t="n">
        <f aca="false">BP164+BQ164+BR164-BM164</f>
        <v>0</v>
      </c>
      <c r="BT164" s="85" t="n">
        <f aca="false">Y164*(1-R164)</f>
        <v>25413</v>
      </c>
      <c r="BU164" s="85" t="n">
        <f aca="false">Z164*(1-R164)</f>
        <v>25413</v>
      </c>
      <c r="BV164" s="85" t="n">
        <f aca="false">AA164*(1-R164)</f>
        <v>25413</v>
      </c>
      <c r="BW164" s="85" t="n">
        <f aca="false">BT164+BU164+BV164</f>
        <v>76239</v>
      </c>
      <c r="BX164" s="90" t="n">
        <f aca="false">IF(BT164&gt;0,BP164/BT164,0)</f>
        <v>0.280098818454852</v>
      </c>
      <c r="BY164" s="90" t="n">
        <f aca="false">IF(BU164&gt;0,BQ164/BU164,0)</f>
        <v>0.28775748106156</v>
      </c>
      <c r="BZ164" s="90" t="n">
        <f aca="false">IF(BV164&gt;0,BR164/BV164,0)</f>
        <v>0.232045840217106</v>
      </c>
      <c r="CA164" s="90" t="n">
        <f aca="false">INDEX(in_mkt_listing_3464,1,C164)*(1-IF(sku_flute_3464="B",T164,0))*(1-S164)*N164</f>
        <v>0.2691</v>
      </c>
      <c r="CB164" s="90" t="n">
        <f aca="false">INDEX(in_mkt_listing_3463,1,C164)*(1-IF(sku_flute_3463="B",T164,0))*(1-S164)*N164</f>
        <v>0.3105</v>
      </c>
      <c r="CC164" s="90" t="n">
        <f aca="false">INDEX(in_mkt_listing_3460,1,C164)*(1-IF(sku_flute_3460="B",T164,0))*(1-S164)*N164</f>
        <v>0.25875</v>
      </c>
      <c r="CD164" s="88" t="n">
        <f aca="false">BT164*CA164+BU164*CB164+BV164*CC164</f>
        <v>21304.98855</v>
      </c>
      <c r="CE164" s="88" t="n">
        <f aca="false">CD164-BM164</f>
        <v>977.075472952092</v>
      </c>
      <c r="CF164" s="87" t="n">
        <f aca="false">IF(CD164&gt;0,CE164/CD164,0)</f>
        <v>0.0458613470107728</v>
      </c>
      <c r="CG164" s="87" t="n">
        <f aca="false">W164+INDEX(in_sel_processing,1,C164)+INDEX(in_sel_bad_debt,1,C164)</f>
        <v>0.058</v>
      </c>
      <c r="CH164" s="88" t="n">
        <f aca="false">CD164*CG164</f>
        <v>1235.6893359</v>
      </c>
      <c r="CI164" s="88" t="n">
        <f aca="false">INDEX(in_sel_testing,1,C164)*X164+INDEX(in_sel_admin,1,C164)</f>
        <v>3000</v>
      </c>
      <c r="CJ164" s="79" t="n">
        <f aca="false">INDEX(in_sup_lead_days,1,C164)</f>
        <v>21</v>
      </c>
      <c r="CK164" s="79" t="n">
        <f aca="false">CJ164+INDEX(in_oce_transit,1,C164)+IF(F164=4,INDEX(in_oce_lcl_extra_days,1,C164),0)</f>
        <v>51</v>
      </c>
      <c r="CL164" s="79" t="n">
        <f aca="false">CK164+2+INDEX(in_cus_dem_days,1,C164)</f>
        <v>53</v>
      </c>
      <c r="CM164" s="79" t="n">
        <f aca="false">CL164+U164</f>
        <v>98</v>
      </c>
      <c r="CN164" s="79" t="n">
        <f aca="false">CJ164+INDEX(in_sup_vat_lag,1,C164)</f>
        <v>81</v>
      </c>
      <c r="CO164" s="91" t="n">
        <f aca="false">INDEX(in_sup_advance,1,C164)</f>
        <v>0.5</v>
      </c>
      <c r="CP164" s="88" t="n">
        <f aca="false">CO164*(AL164+AM164)+AO164+INDEX(in_sel_testing,1,C164)*X164</f>
        <v>8955.05980126879</v>
      </c>
      <c r="CQ164" s="88" t="n">
        <f aca="false">(1-CO164)*(AL164+AM164)+AR164+AU164+AZ164</f>
        <v>11937.9769890175</v>
      </c>
      <c r="CR164" s="88" t="n">
        <f aca="false">BB164+BC164+BD164+BF164+BJ164</f>
        <v>2010.32957128379</v>
      </c>
      <c r="CS164" s="88" t="n">
        <f aca="false">BK164+BL164</f>
        <v>1510</v>
      </c>
      <c r="CT164" s="88" t="n">
        <f aca="false">IF(K164=2,AM164,0)</f>
        <v>1585.45328452216</v>
      </c>
      <c r="CU164" s="85" t="n">
        <f aca="false">IF(K164=2,CO164*AM164*(CN164-0)+(1-CO164)*AM164*(CN164-CJ164),0)</f>
        <v>111774.456558812</v>
      </c>
      <c r="CV164" s="85" t="n">
        <f aca="false">(CP164-CO164*CT164)*(CM164-0)+(CQ164-(1-CO164)*CT164)*(CM164-CJ164)+CR164*(CM164-CK164)+CS164*(CM164-CL164)</f>
        <v>1820528.41613334</v>
      </c>
      <c r="CW164" s="88" t="n">
        <f aca="false">INDEX(in_sel_fin_rate,1,C164)/365*(CU164+CV164)</f>
        <v>529.398047312918</v>
      </c>
      <c r="CX164" s="85" t="n">
        <f aca="false">CP164-IF(CN164&lt;=0,CT164,0)</f>
        <v>8955.05980126879</v>
      </c>
      <c r="CY164" s="85" t="n">
        <f aca="false">CP164+CQ164-IF(CN164&lt;=CJ164,CT164,0)</f>
        <v>20893.0367902863</v>
      </c>
      <c r="CZ164" s="85" t="n">
        <f aca="false">CP164+CQ164+CR164-IF(CN164&lt;=CK164,CT164,0)</f>
        <v>22903.3663615701</v>
      </c>
      <c r="DA164" s="85" t="n">
        <f aca="false">CP164+CQ164+CR164+CS164-IF(CN164&lt;=CL164,CT164,0)</f>
        <v>24413.3663615701</v>
      </c>
      <c r="DB164" s="88" t="n">
        <f aca="false">MAX(CX164,CY164,CZ164,DA164)</f>
        <v>24413.3663615701</v>
      </c>
      <c r="DC164" s="88" t="n">
        <f aca="false">CP164+CQ164+CR164+CS164</f>
        <v>24413.3663615701</v>
      </c>
      <c r="DD164" s="88" t="n">
        <f aca="false">CE164-CH164-CI164-CW164</f>
        <v>-3788.01191026083</v>
      </c>
      <c r="DE164" s="87" t="n">
        <f aca="false">IF(CD164&gt;0,DD164/CD164,0)</f>
        <v>-0.177799293408249</v>
      </c>
      <c r="DF164" s="86" t="n">
        <f aca="false">IF(CD164&gt;0,(BM164+CI164+CW164)/(CD164*(1-CG164)),0)</f>
        <v>1.18874659597479</v>
      </c>
      <c r="DG164" s="90" t="n">
        <f aca="false">IF(BW164&gt;0,BM164/BW164,0)</f>
        <v>0.26663404657784</v>
      </c>
      <c r="DH164" s="90" t="n">
        <f aca="false">IF(BW164&gt;0,CD164/BW164,0)</f>
        <v>0.27945</v>
      </c>
      <c r="DI164" s="90" t="n">
        <f aca="false">IF(AI164&gt;0,(AI164*IF(K164=3,INDEX(in_sup_vat_rate,1,C164),0)+AV164*BA164+(BC164+BD164)*AV164/AY164+AZ164*AI164/AL164)/AI164,0)</f>
        <v>0.136336711689146</v>
      </c>
      <c r="DJ164" s="90" t="n">
        <f aca="false">IF(AJ164&gt;0,(AJ164*IF(K164=3,INDEX(in_sup_vat_rate,1,C164),0)+AW164*BA164+(BC164+BD164)*AW164/AY164+AZ164*AJ164/AL164)/AJ164,0)</f>
        <v>0.136336711689146</v>
      </c>
      <c r="DK164" s="90" t="n">
        <f aca="false">IF(AK164&gt;0,(AK164*IF(K164=3,INDEX(in_sup_vat_rate,1,C164),0)+AX164*BA164+(BC164+BD164)*AX164/AY164+AZ164*AK164/AL164)/AK164,0)</f>
        <v>0.136336711689146</v>
      </c>
      <c r="DL164" s="90" t="n">
        <f aca="false">IF(Y164&gt;0,(BP164-AI164*(1+DI164))/Y164,0)</f>
        <v>0.0957837858987348</v>
      </c>
      <c r="DM164" s="90" t="n">
        <f aca="false">IF(Z164&gt;0,(BQ164-AJ164*(1+DJ164))/Z164,0)</f>
        <v>0.113339857972185</v>
      </c>
      <c r="DN164" s="90" t="n">
        <f aca="false">IF(AA164&gt;0,(BR164-AK164*(1+DK164))/AA164,0)</f>
        <v>0.0799956969142526</v>
      </c>
      <c r="DO164" s="86" t="n">
        <f aca="false">IF(Y164&gt;0,(CA164*(1-thr_gm_go)*(1-R164)-DL164)/(1+DI164)*I164/((1+AH164)*J164),"")</f>
        <v>4.78426394208467</v>
      </c>
      <c r="DP164" s="86" t="n">
        <f aca="false">IF(Z164&gt;0,(CB164*(1-thr_gm_go)*(1-R164)-DM164)/(1+DJ164)*I164/((1+AH164)*J164),"")</f>
        <v>5.38933062466685</v>
      </c>
      <c r="DQ164" s="86" t="n">
        <f aca="false">IF(AA164&gt;0,(CC164*(1-thr_gm_go)*(1-R164)-DN164)/(1+DK164)*I164/((1+AH164)*J164),"")</f>
        <v>5.16240346260982</v>
      </c>
      <c r="DR164" s="92" t="n">
        <f aca="false">IF(AND(AY164*INDEX(in_cus_mpf_rate,1,C164)&gt;INDEX(in_cus_mpf_min,1,C164),AY164*INDEX(in_cus_mpf_rate,1,C164)&lt;INDEX(in_cus_mpf_max,1,C164)),INDEX(in_cus_mpf_rate,1,C164),0)</f>
        <v>0.003464</v>
      </c>
      <c r="DS164" s="88" t="n">
        <f aca="false">IF(AZ164&gt;INDEX(in_oce_ins_min,1,C164),INDEX(in_oce_ins_rate,1,C164)*(1+INDEX(in_oce_ins_uplift,1,C164))*AL164,0)</f>
        <v>0</v>
      </c>
      <c r="DT164" s="88" t="n">
        <f aca="false">(AL164+AN164)*(1+BA164+INDEX(in_cus_hmf,1,C164)+DR164)+DS164</f>
        <v>12793.6340847905</v>
      </c>
      <c r="DU164" s="86" t="n">
        <f aca="false">IF(DT164&gt;0,(CD164*(1-thr_gm_go)-(BM164-DT164))/DT164,0)</f>
        <v>0.660051894893699</v>
      </c>
      <c r="DV164" s="86" t="n">
        <f aca="false">IF(DT164&gt;0,(CD164-(BM164-DT164))/DT164,0)</f>
        <v>1.07637200395732</v>
      </c>
      <c r="DW164" s="87" t="n">
        <f aca="false">(1+AH164)*J164*DU164-1</f>
        <v>-0.339948105106301</v>
      </c>
      <c r="DX164" s="87" t="n">
        <f aca="false">(1+AH164)*J164*DV164-1</f>
        <v>0.0763720039573177</v>
      </c>
      <c r="DY164" s="85" t="n">
        <f aca="false">IF(G164&gt;0,(CD164*(1-thr_gm_go)-(BM164-AT164))/G164,"")</f>
        <v>-349.171664547908</v>
      </c>
      <c r="DZ164" s="90" t="n">
        <f aca="false">IF(AB164&gt;0,(AL164+AN164+BB164+BC164+BD164)/AB164,0)</f>
        <v>0.165292430036053</v>
      </c>
      <c r="EA164" s="88" t="n">
        <f aca="false">BM164-DZ164*AB164</f>
        <v>7534.27899225744</v>
      </c>
      <c r="EB164" s="90" t="n">
        <f aca="false">IF(AB164&gt;0,CD164/AB164,0)</f>
        <v>0.27525825</v>
      </c>
      <c r="EC164" s="85" t="n">
        <f aca="false">IF(EB164*(1-thr_gm_go)-DZ164&gt;0,EA164/(EB164*(1-thr_gm_go)-DZ164),"n/a")</f>
        <v>183087.454833141</v>
      </c>
      <c r="ED164" s="85" t="n">
        <f aca="false">IF(EB164-DZ164&gt;0,EA164/(EB164-DZ164),"n/a")</f>
        <v>68514.7348033013</v>
      </c>
      <c r="EE164" s="93" t="b">
        <f aca="false">INDEX(cfg_fits,D164,C164)</f>
        <v>1</v>
      </c>
      <c r="EF164" s="87" t="n">
        <f aca="false">IF(F164=4,"",INDEX(cfg_lenutil,D164,C164))</f>
        <v>0.999580888516345</v>
      </c>
      <c r="EG164" s="31" t="str">
        <f aca="false">IF(O164&gt;1,"Check fit (units scaled up)","")</f>
        <v/>
      </c>
    </row>
    <row r="165" customFormat="false" ht="15" hidden="false" customHeight="false" outlineLevel="0" collapsed="false">
      <c r="A165" s="78" t="n">
        <v>900011</v>
      </c>
      <c r="B165" s="9" t="s">
        <v>3313</v>
      </c>
      <c r="C165" s="10" t="n">
        <f aca="false">sel_scen</f>
        <v>2</v>
      </c>
      <c r="D165" s="10" t="n">
        <f aca="false">sel_cfg</f>
        <v>4</v>
      </c>
      <c r="E165" s="10" t="n">
        <f aca="false">sel_dest</f>
        <v>1</v>
      </c>
      <c r="F165" s="79" t="n">
        <f aca="false">INDEX(cfg_ct,D165)</f>
        <v>3</v>
      </c>
      <c r="G165" s="79" t="n">
        <f aca="false">INDEX(cfg_n,D165)</f>
        <v>1</v>
      </c>
      <c r="H165" s="79" t="n">
        <f aca="false">INDEX(dest_port,E165)</f>
        <v>1</v>
      </c>
      <c r="I165" s="80" t="n">
        <f aca="false">INDEX(in_fx_cbe,1,C165)*(1-INDEX(in_fx_spread,1,C165))</f>
        <v>52.7748</v>
      </c>
      <c r="J165" s="81" t="n">
        <f aca="false">1</f>
        <v>1</v>
      </c>
      <c r="K165" s="82" t="n">
        <f aca="false">INDEX(in_sup_vat_mode,1,C165)</f>
        <v>2</v>
      </c>
      <c r="L165" s="83" t="n">
        <f aca="false">INDEX(in_cus_s301,1,C165)</f>
        <v>0.125</v>
      </c>
      <c r="M165" s="84" t="n">
        <f aca="false">1</f>
        <v>1</v>
      </c>
      <c r="N165" s="81" t="n">
        <f aca="false">1</f>
        <v>1</v>
      </c>
      <c r="O165" s="95" t="n">
        <v>0.8</v>
      </c>
      <c r="P165" s="81" t="n">
        <f aca="false">1</f>
        <v>1</v>
      </c>
      <c r="Q165" s="81" t="n">
        <f aca="false">1</f>
        <v>1</v>
      </c>
      <c r="R165" s="83" t="n">
        <f aca="false">INDEX(in_sel_damage,1,C165)</f>
        <v>0.015</v>
      </c>
      <c r="S165" s="83" t="n">
        <f aca="false">INDEX(in_mkt_dist_margin,1,C165)</f>
        <v>0.25</v>
      </c>
      <c r="T165" s="83" t="n">
        <f aca="false">INDEX(in_mkt_eflute_disc,1,C165)</f>
        <v>0.2</v>
      </c>
      <c r="U165" s="82" t="n">
        <f aca="false">INDEX(in_sel_credit_days,1,C165)</f>
        <v>45</v>
      </c>
      <c r="V165" s="81" t="n">
        <f aca="false">1</f>
        <v>1</v>
      </c>
      <c r="W165" s="83" t="n">
        <f aca="false">INDEX(in_sel_commission,1,C165)</f>
        <v>0.05</v>
      </c>
      <c r="X165" s="82" t="n">
        <f aca="false">1</f>
        <v>1</v>
      </c>
      <c r="Y165" s="85" t="n">
        <f aca="false">INDEX(cfg_u_3464,D165,C165)*O165</f>
        <v>20640</v>
      </c>
      <c r="Z165" s="85" t="n">
        <f aca="false">INDEX(cfg_u_3463,D165,C165)*O165</f>
        <v>20640</v>
      </c>
      <c r="AA165" s="85" t="n">
        <f aca="false">INDEX(cfg_u_3460,D165,C165)*O165</f>
        <v>20640</v>
      </c>
      <c r="AB165" s="85" t="n">
        <f aca="false">Y165+Z165+AA165</f>
        <v>61920</v>
      </c>
      <c r="AC165" s="86" t="n">
        <f aca="false">Y165*INDEX(lg_vpu_3464,C165)</f>
        <v>14.68313088</v>
      </c>
      <c r="AD165" s="86" t="n">
        <f aca="false">Z165*INDEX(lg_vpu_3463,C165)</f>
        <v>17.96241408</v>
      </c>
      <c r="AE165" s="86" t="n">
        <f aca="false">AA165*INDEX(lg_vpu_3460,C165)</f>
        <v>11.73408768</v>
      </c>
      <c r="AF165" s="86" t="n">
        <f aca="false">AC165+AD165+AE165</f>
        <v>44.37963264</v>
      </c>
      <c r="AG165" s="85" t="n">
        <f aca="false">Y165*INDEX(lg_kpu_3464,C165)+Z165*INDEX(lg_kpu_3463,C165)+AA165*INDEX(lg_kpu_3460,C165)</f>
        <v>10673.08303104</v>
      </c>
      <c r="AH165" s="87" t="n">
        <f aca="false">INDEX(in_sup_requote,1,C165)</f>
        <v>0</v>
      </c>
      <c r="AI165" s="88" t="n">
        <f aca="false">Y165*q_price_3464*(1+AH165)*J165/I165</f>
        <v>3271.5159507947</v>
      </c>
      <c r="AJ165" s="88" t="n">
        <f aca="false">Z165*q_price_3463*(1+AH165)*J165/I165</f>
        <v>3089.65642693104</v>
      </c>
      <c r="AK165" s="88" t="n">
        <f aca="false">AA165*q_price_3460*(1+AH165)*J165/I165</f>
        <v>2698.5606766866</v>
      </c>
      <c r="AL165" s="88" t="n">
        <f aca="false">AI165+AJ165+AK165</f>
        <v>9059.73305441233</v>
      </c>
      <c r="AM165" s="88" t="n">
        <f aca="false">IF(OR(K165=2,K165=3),AL165*INDEX(in_sup_vat_rate,1,C165),0)</f>
        <v>1268.36262761773</v>
      </c>
      <c r="AN165" s="88" t="n">
        <f aca="false">IF(K165=3,AM165,0)</f>
        <v>0</v>
      </c>
      <c r="AO165" s="88" t="n">
        <f aca="false">INDEX(in_sup_tooling_egp,1,C165)/I165</f>
        <v>0</v>
      </c>
      <c r="AP165" s="88" t="n">
        <f aca="false">IF(F165=4,INDEX(in_ori_lcl_truck,1,C165)*V165/I165+INDEX(in_ori_lcl_cfs_o,1,C165),G165*(IF(F165=1,INDEX(in_ori_truck_20,1,C165),INDEX(in_ori_truck_40,1,C165))*V165/I165+INDEX(in_ori_terminal,1,C165)+IF(F165=1,INDEX(in_ori_othc_20,1,C165),INDEX(in_ori_othc_40,1,C165))*(1-INDEX(in_ori_othc_in_freight,1,C165))+INDEX(in_ori_seal,1,C165)+INDEX(in_ori_inspection,1,C165)+INDEX(in_ori_dd_days,1,C165)*IF(F165=1,INDEX(in_ori_dd_20,1,C165),INDEX(in_ori_dd_40,1,C165))+INDEX(in_ori_loading_egp,1,C165)/I165))</f>
        <v>555.278125165799</v>
      </c>
      <c r="AQ165" s="88" t="n">
        <f aca="false">(INDEX(in_ori_clearance,1,C165)+INDEX(in_ori_coo,1,C165))/I165+INDEX(in_ori_bl_fee,1,C165)+INDEX(in_ori_fwd_fee,1,C165)+INDEX(in_ori_qc,1,C165)+INDEX(in_ori_wires,1,C165)*INDEX(in_ori_wire_fee,1,C165)</f>
        <v>817.639062582899</v>
      </c>
      <c r="AR165" s="88" t="n">
        <f aca="false">AP165+AQ165</f>
        <v>1372.9171877487</v>
      </c>
      <c r="AS165" s="85" t="n">
        <f aca="false">INDEX(tbl_port_diff,H165,C165)</f>
        <v>0</v>
      </c>
      <c r="AT165" s="88" t="n">
        <f aca="false">IF(F165=4,MAX(AF165*INDEX(in_oce_lcl_factor,1,C165),AG165/1000,1)*INDEX(in_oce_lcl_rate,1,C165)*M165,G165*(INDEX(tbl_ocean_rate,MIN(F165,3),C165)+AS165)*M165)</f>
        <v>4000</v>
      </c>
      <c r="AU165" s="88" t="n">
        <f aca="false">AT165+INDEX(in_oce_ams,1,C165)</f>
        <v>4035</v>
      </c>
      <c r="AV165" s="88" t="n">
        <f aca="false">AI165*(1+IF(K165=3,INDEX(in_sup_vat_rate,1,C165),0))+AO165*Y165/AB165</f>
        <v>3271.5159507947</v>
      </c>
      <c r="AW165" s="88" t="n">
        <f aca="false">AJ165*(1+IF(K165=3,INDEX(in_sup_vat_rate,1,C165),0))+AO165*Z165/AB165</f>
        <v>3089.65642693104</v>
      </c>
      <c r="AX165" s="88" t="n">
        <f aca="false">AK165*(1+IF(K165=3,INDEX(in_sup_vat_rate,1,C165),0))+AO165*AA165/AB165</f>
        <v>2698.5606766866</v>
      </c>
      <c r="AY165" s="88" t="n">
        <f aca="false">AV165+AW165+AX165</f>
        <v>9059.73305441233</v>
      </c>
      <c r="AZ165" s="88" t="n">
        <f aca="false">MAX(INDEX(in_oce_ins_min,1,C165),INDEX(in_oce_ins_rate,1,C165)*(1+INDEX(in_oce_ins_uplift,1,C165))*(AL165+AO165+AR165+AU165))*(1-INDEX(in_oce_ins_in_other,1,C165))</f>
        <v>75</v>
      </c>
      <c r="BA165" s="87" t="n">
        <f aca="false">INDEX(in_cus_mfn,1,C165)+L165</f>
        <v>0.125</v>
      </c>
      <c r="BB165" s="88" t="n">
        <f aca="false">AY165*BA165</f>
        <v>1132.46663180154</v>
      </c>
      <c r="BC165" s="88" t="n">
        <f aca="false">MIN(MAX(AY165*INDEX(in_cus_mpf_rate,1,C165),INDEX(in_cus_mpf_min,1,C165)),INDEX(in_cus_mpf_max,1,C165))</f>
        <v>34.58</v>
      </c>
      <c r="BD165" s="88" t="n">
        <f aca="false">AY165*INDEX(in_cus_hmf,1,C165)</f>
        <v>11.3246663180154</v>
      </c>
      <c r="BE165" s="88" t="n">
        <f aca="false">MAX(INDEX(in_cus_stb_min,1,C165),INDEX(in_cus_stb_rate,1,C165)/1000*(AY165+BB165+BC165+BD165))</f>
        <v>75</v>
      </c>
      <c r="BF165" s="88" t="n">
        <f aca="false">INDEX(in_cus_broker,1,C165)+INDEX(in_cus_isf,1,C165)+INDEX(in_cus_do_fee,1,C165)+BE165+INDEX(in_cus_isf_bond,1,C165)</f>
        <v>510</v>
      </c>
      <c r="BG165" s="88" t="n">
        <f aca="false">IF(H165=1,INDEX(in_cus_cfc,1,C165)*INDEX(ct_teu,F165)*G165*(1-INDEX(in_cus_cfc_in_freight,1,C165)),0)</f>
        <v>29.6</v>
      </c>
      <c r="BH165" s="88" t="n">
        <f aca="false">IF(F165=4,1,G165)*(INDEX(in_cus_exam,1,C165)+INDEX(in_cus_exam_dray,1,C165))</f>
        <v>0</v>
      </c>
      <c r="BI165" s="88" t="n">
        <f aca="false">IF(F165=4,1,G165)*INDEX(in_cus_dem_days,1,C165)*INDEX(in_cus_dem_rate,1,C165)</f>
        <v>0</v>
      </c>
      <c r="BJ165" s="88" t="n">
        <f aca="false">BG165+BH165+BI165</f>
        <v>29.6</v>
      </c>
      <c r="BK165" s="88" t="n">
        <f aca="false">IF(F165=4,(INDEX(in_dra_lcl_cfs_d,1,C165)+INDEX(in_dra_lcl_deliv,1,C165))*P165,G165*(INDEX(tbl_dest_line,E165,C165)*P165*(1+INDEX(in_dra_fsc,1,C165))+INDEX(tbl_dest_tolls,E165,C165)+INDEX(in_dra_chassis_days,1,C165)*INDEX(tbl_dest_chassis,E165,C165)*(1-INDEX(in_dra_chassis_in_dray,1,C165))+INDEX(in_dra_wait_hours,1,C165)*INDEX(in_dra_wait_rate,1,C165)+INDEX(in_dra_split,1,C165)+INDEX(in_dra_prepull,1,C165)+INDEX(in_dra_dryrun,1,C165)))</f>
        <v>1060</v>
      </c>
      <c r="BL165" s="88" t="n">
        <f aca="false">IF(F165=4,0,G165*IF(F165=1,INDEX(in_dra_unload_20,1,C165),INDEX(in_dra_unload_40,1,C165))*Q165*(1-INDEX(in_dra_unload_in_dray,1,C165)))</f>
        <v>450</v>
      </c>
      <c r="BM165" s="88" t="n">
        <f aca="false">AL165+AN165+AO165+AR165+AU165+AZ165+BB165+BC165+BD165+BF165+BJ165+BK165+BL165</f>
        <v>17770.6215402806</v>
      </c>
      <c r="BN165" s="88" t="n">
        <f aca="false">AP165+AU165+BJ165+BK165+BL165</f>
        <v>6129.8781251658</v>
      </c>
      <c r="BO165" s="88" t="n">
        <f aca="false">AQ165+BF165</f>
        <v>1327.6390625829</v>
      </c>
      <c r="BP165" s="88" t="n">
        <f aca="false">AI165*(1+IF(K165=3,INDEX(in_sup_vat_rate,1,C165),0))+AO165*Y165/AB165+AV165*BA165+(BC165+BD165)*AV165/AY165+AZ165*AI165/AL165+BN165*AC165/AF165+BO165*Y165/AB165</f>
        <v>6194.74914615416</v>
      </c>
      <c r="BQ165" s="88" t="n">
        <f aca="false">AJ165*(1+IF(K165=3,INDEX(in_sup_vat_rate,1,C165),0))+AO165*Z165/AB165+AW165*BA165+(BC165+BD165)*AW165/AY165+AZ165*AJ165/AL165+BN165*AD165/AF165+BO165*Z165/AB165</f>
        <v>6440.67687519688</v>
      </c>
      <c r="BR165" s="88" t="n">
        <f aca="false">AK165*(1+IF(K165=3,INDEX(in_sup_vat_rate,1,C165),0))+AO165*AA165/AB165+AX165*BA165+(BC165+BD165)*AX165/AY165+AZ165*AK165/AL165+BN165*AE165/AF165+BO165*AA165/AB165</f>
        <v>5135.19551892956</v>
      </c>
      <c r="BS165" s="89" t="n">
        <f aca="false">BP165+BQ165+BR165-BM165</f>
        <v>0</v>
      </c>
      <c r="BT165" s="85" t="n">
        <f aca="false">Y165*(1-R165)</f>
        <v>20330.4</v>
      </c>
      <c r="BU165" s="85" t="n">
        <f aca="false">Z165*(1-R165)</f>
        <v>20330.4</v>
      </c>
      <c r="BV165" s="85" t="n">
        <f aca="false">AA165*(1-R165)</f>
        <v>20330.4</v>
      </c>
      <c r="BW165" s="85" t="n">
        <f aca="false">BT165+BU165+BV165</f>
        <v>60991.2</v>
      </c>
      <c r="BX165" s="90" t="n">
        <f aca="false">IF(BT165&gt;0,BP165/BT165,0)</f>
        <v>0.304703751335643</v>
      </c>
      <c r="BY165" s="90" t="n">
        <f aca="false">IF(BU165&gt;0,BQ165/BU165,0)</f>
        <v>0.316800302758277</v>
      </c>
      <c r="BZ165" s="90" t="n">
        <f aca="false">IF(BV165&gt;0,BR165/BV165,0)</f>
        <v>0.252587038077439</v>
      </c>
      <c r="CA165" s="90" t="n">
        <f aca="false">INDEX(in_mkt_listing_3464,1,C165)*(1-IF(sku_flute_3464="B",T165,0))*(1-S165)*N165</f>
        <v>0.234</v>
      </c>
      <c r="CB165" s="90" t="n">
        <f aca="false">INDEX(in_mkt_listing_3463,1,C165)*(1-IF(sku_flute_3463="B",T165,0))*(1-S165)*N165</f>
        <v>0.27</v>
      </c>
      <c r="CC165" s="90" t="n">
        <f aca="false">INDEX(in_mkt_listing_3460,1,C165)*(1-IF(sku_flute_3460="B",T165,0))*(1-S165)*N165</f>
        <v>0.225</v>
      </c>
      <c r="CD165" s="88" t="n">
        <f aca="false">BT165*CA165+BU165*CB165+BV165*CC165</f>
        <v>14820.8616</v>
      </c>
      <c r="CE165" s="88" t="n">
        <f aca="false">CD165-BM165</f>
        <v>-2949.75994028059</v>
      </c>
      <c r="CF165" s="87" t="n">
        <f aca="false">IF(CD165&gt;0,CE165/CD165,0)</f>
        <v>-0.199027561277584</v>
      </c>
      <c r="CG165" s="87" t="n">
        <f aca="false">W165+INDEX(in_sel_processing,1,C165)+INDEX(in_sel_bad_debt,1,C165)</f>
        <v>0.058</v>
      </c>
      <c r="CH165" s="88" t="n">
        <f aca="false">CD165*CG165</f>
        <v>859.6099728</v>
      </c>
      <c r="CI165" s="88" t="n">
        <f aca="false">INDEX(in_sel_testing,1,C165)*X165+INDEX(in_sel_admin,1,C165)</f>
        <v>3000</v>
      </c>
      <c r="CJ165" s="79" t="n">
        <f aca="false">INDEX(in_sup_lead_days,1,C165)</f>
        <v>21</v>
      </c>
      <c r="CK165" s="79" t="n">
        <f aca="false">CJ165+INDEX(in_oce_transit,1,C165)+IF(F165=4,INDEX(in_oce_lcl_extra_days,1,C165),0)</f>
        <v>51</v>
      </c>
      <c r="CL165" s="79" t="n">
        <f aca="false">CK165+2+INDEX(in_cus_dem_days,1,C165)</f>
        <v>53</v>
      </c>
      <c r="CM165" s="79" t="n">
        <f aca="false">CL165+U165</f>
        <v>98</v>
      </c>
      <c r="CN165" s="79" t="n">
        <f aca="false">CJ165+INDEX(in_sup_vat_lag,1,C165)</f>
        <v>81</v>
      </c>
      <c r="CO165" s="91" t="n">
        <f aca="false">INDEX(in_sup_advance,1,C165)</f>
        <v>0.5</v>
      </c>
      <c r="CP165" s="88" t="n">
        <f aca="false">CO165*(AL165+AM165)+AO165+INDEX(in_sel_testing,1,C165)*X165</f>
        <v>7664.04784101503</v>
      </c>
      <c r="CQ165" s="88" t="n">
        <f aca="false">(1-CO165)*(AL165+AM165)+AR165+AU165+AZ165</f>
        <v>10646.9650287637</v>
      </c>
      <c r="CR165" s="88" t="n">
        <f aca="false">BB165+BC165+BD165+BF165+BJ165</f>
        <v>1717.97129811956</v>
      </c>
      <c r="CS165" s="88" t="n">
        <f aca="false">BK165+BL165</f>
        <v>1510</v>
      </c>
      <c r="CT165" s="88" t="n">
        <f aca="false">IF(K165=2,AM165,0)</f>
        <v>1268.36262761773</v>
      </c>
      <c r="CU165" s="85" t="n">
        <f aca="false">IF(K165=2,CO165*AM165*(CN165-0)+(1-CO165)*AM165*(CN165-CJ165),0)</f>
        <v>89419.5652470497</v>
      </c>
      <c r="CV165" s="85" t="n">
        <f aca="false">(CP165-CO165*CT165)*(CM165-0)+(CQ165-(1-CO165)*CT165)*(CM165-CJ165)+CR165*(CM165-CK165)+CS165*(CM165-CL165)</f>
        <v>1608605.91672935</v>
      </c>
      <c r="CW165" s="88" t="n">
        <f aca="false">INDEX(in_sel_fin_rate,1,C165)/365*(CU165+CV165)</f>
        <v>465.212460815452</v>
      </c>
      <c r="CX165" s="85" t="n">
        <f aca="false">CP165-IF(CN165&lt;=0,CT165,0)</f>
        <v>7664.04784101503</v>
      </c>
      <c r="CY165" s="85" t="n">
        <f aca="false">CP165+CQ165-IF(CN165&lt;=CJ165,CT165,0)</f>
        <v>18311.0128697788</v>
      </c>
      <c r="CZ165" s="85" t="n">
        <f aca="false">CP165+CQ165+CR165-IF(CN165&lt;=CK165,CT165,0)</f>
        <v>20028.9841678983</v>
      </c>
      <c r="DA165" s="85" t="n">
        <f aca="false">CP165+CQ165+CR165+CS165-IF(CN165&lt;=CL165,CT165,0)</f>
        <v>21538.9841678983</v>
      </c>
      <c r="DB165" s="88" t="n">
        <f aca="false">MAX(CX165,CY165,CZ165,DA165)</f>
        <v>21538.9841678983</v>
      </c>
      <c r="DC165" s="88" t="n">
        <f aca="false">CP165+CQ165+CR165+CS165</f>
        <v>21538.9841678983</v>
      </c>
      <c r="DD165" s="88" t="n">
        <f aca="false">CE165-CH165-CI165-CW165</f>
        <v>-7274.58237389604</v>
      </c>
      <c r="DE165" s="87" t="n">
        <f aca="false">IF(CD165&gt;0,DD165/CD165,0)</f>
        <v>-0.490833972425465</v>
      </c>
      <c r="DF165" s="86" t="n">
        <f aca="false">IF(CD165&gt;0,(BM165+CI165+CW165)/(CD165*(1-CG165)),0)</f>
        <v>1.52105517242618</v>
      </c>
      <c r="DG165" s="90" t="n">
        <f aca="false">IF(BW165&gt;0,BM165/BW165,0)</f>
        <v>0.291363697390453</v>
      </c>
      <c r="DH165" s="90" t="n">
        <f aca="false">IF(BW165&gt;0,CD165/BW165,0)</f>
        <v>0.243</v>
      </c>
      <c r="DI165" s="90" t="n">
        <f aca="false">IF(AI165&gt;0,(AI165*IF(K165=3,INDEX(in_sup_vat_rate,1,C165),0)+AV165*BA165+(BC165+BD165)*AV165/AY165+AZ165*AI165/AL165)/AI165,0)</f>
        <v>0.138345279114944</v>
      </c>
      <c r="DJ165" s="90" t="n">
        <f aca="false">IF(AJ165&gt;0,(AJ165*IF(K165=3,INDEX(in_sup_vat_rate,1,C165),0)+AW165*BA165+(BC165+BD165)*AW165/AY165+AZ165*AJ165/AL165)/AJ165,0)</f>
        <v>0.138345279114944</v>
      </c>
      <c r="DK165" s="90" t="n">
        <f aca="false">IF(AK165&gt;0,(AK165*IF(K165=3,INDEX(in_sup_vat_rate,1,C165),0)+AX165*BA165+(BC165+BD165)*AX165/AY165+AZ165*AK165/AL165)/AK165,0)</f>
        <v>0.138345279114944</v>
      </c>
      <c r="DL165" s="90" t="n">
        <f aca="false">IF(Y165&gt;0,(BP165-AI165*(1+DI165))/Y165,0)</f>
        <v>0.119701279458226</v>
      </c>
      <c r="DM165" s="90" t="n">
        <f aca="false">IF(Z165&gt;0,(BQ165-AJ165*(1+DJ165))/Z165,0)</f>
        <v>0.141646369550038</v>
      </c>
      <c r="DN165" s="90" t="n">
        <f aca="false">IF(AA165&gt;0,(BR165-AK165*(1+DK165))/AA165,0)</f>
        <v>0.0999661682276229</v>
      </c>
      <c r="DO165" s="86" t="n">
        <f aca="false">IF(Y165&gt;0,(CA165*(1-thr_gm_go)*(1-R165)-DL165)/(1+DI165)*I165/((1+AH165)*J165),"")</f>
        <v>2.46483796026242</v>
      </c>
      <c r="DP165" s="86" t="n">
        <f aca="false">IF(Z165&gt;0,(CB165*(1-thr_gm_go)*(1-R165)-DM165)/(1+DJ165)*I165/((1+AH165)*J165),"")</f>
        <v>2.68041232941464</v>
      </c>
      <c r="DQ165" s="86" t="n">
        <f aca="false">IF(AA165&gt;0,(CC165*(1-thr_gm_go)*(1-R165)-DN165)/(1+DK165)*I165/((1+AH165)*J165),"")</f>
        <v>3.07153446029954</v>
      </c>
      <c r="DR165" s="92" t="n">
        <f aca="false">IF(AND(AY165*INDEX(in_cus_mpf_rate,1,C165)&gt;INDEX(in_cus_mpf_min,1,C165),AY165*INDEX(in_cus_mpf_rate,1,C165)&lt;INDEX(in_cus_mpf_max,1,C165)),INDEX(in_cus_mpf_rate,1,C165),0)</f>
        <v>0</v>
      </c>
      <c r="DS165" s="88" t="n">
        <f aca="false">IF(AZ165&gt;INDEX(in_oce_ins_min,1,C165),INDEX(in_oce_ins_rate,1,C165)*(1+INDEX(in_oce_ins_uplift,1,C165))*AL165,0)</f>
        <v>0</v>
      </c>
      <c r="DT165" s="88" t="n">
        <f aca="false">(AL165+AN165)*(1+BA165+INDEX(in_cus_hmf,1,C165)+DR165)+DS165</f>
        <v>10203.5243525319</v>
      </c>
      <c r="DU165" s="86" t="n">
        <f aca="false">IF(DT165&gt;0,(CD165*(1-thr_gm_go)-(BM165-DT165))/DT165,0)</f>
        <v>0.347776796491966</v>
      </c>
      <c r="DV165" s="86" t="n">
        <f aca="false">IF(DT165&gt;0,(CD165-(BM165-DT165))/DT165,0)</f>
        <v>0.710907737526138</v>
      </c>
      <c r="DW165" s="87" t="n">
        <f aca="false">(1+AH165)*J165*DU165-1</f>
        <v>-0.652223203508034</v>
      </c>
      <c r="DX165" s="87" t="n">
        <f aca="false">(1+AH165)*J165*DV165-1</f>
        <v>-0.289092262473862</v>
      </c>
      <c r="DY165" s="85" t="n">
        <f aca="false">IF(G165&gt;0,(CD165*(1-thr_gm_go)-(BM165-AT165))/G165,"")</f>
        <v>-2654.97534028059</v>
      </c>
      <c r="DZ165" s="90" t="n">
        <f aca="false">IF(AB165&gt;0,(AL165+AN165+BB165+BC165+BD165)/AB165,0)</f>
        <v>0.16534406254089</v>
      </c>
      <c r="EA165" s="88" t="n">
        <f aca="false">BM165-DZ165*AB165</f>
        <v>7532.5171877487</v>
      </c>
      <c r="EB165" s="90" t="n">
        <f aca="false">IF(AB165&gt;0,CD165/AB165,0)</f>
        <v>0.239355</v>
      </c>
      <c r="EC165" s="85" t="n">
        <f aca="false">IF(EB165*(1-thr_gm_go)-DZ165&gt;0,EA165/(EB165*(1-thr_gm_go)-DZ165),"n/a")</f>
        <v>531499.968475688</v>
      </c>
      <c r="ED165" s="85" t="n">
        <f aca="false">IF(EB165-DZ165&gt;0,EA165/(EB165-DZ165),"n/a")</f>
        <v>101775.729998154</v>
      </c>
      <c r="EE165" s="93" t="b">
        <f aca="false">INDEX(cfg_fits,D165,C165)</f>
        <v>1</v>
      </c>
      <c r="EF165" s="87" t="n">
        <f aca="false">IF(F165=4,"",INDEX(cfg_lenutil,D165,C165))</f>
        <v>0.999580888516345</v>
      </c>
      <c r="EG165" s="31" t="str">
        <f aca="false">IF(O165&gt;1,"Check fit (units scaled up)","")</f>
        <v/>
      </c>
    </row>
    <row r="166" customFormat="false" ht="15" hidden="false" customHeight="false" outlineLevel="0" collapsed="false">
      <c r="A166" s="78" t="n">
        <v>900012</v>
      </c>
      <c r="B166" s="9" t="s">
        <v>3314</v>
      </c>
      <c r="C166" s="10" t="n">
        <f aca="false">sel_scen</f>
        <v>2</v>
      </c>
      <c r="D166" s="10" t="n">
        <f aca="false">sel_cfg</f>
        <v>4</v>
      </c>
      <c r="E166" s="10" t="n">
        <f aca="false">sel_dest</f>
        <v>1</v>
      </c>
      <c r="F166" s="79" t="n">
        <f aca="false">INDEX(cfg_ct,D166)</f>
        <v>3</v>
      </c>
      <c r="G166" s="79" t="n">
        <f aca="false">INDEX(cfg_n,D166)</f>
        <v>1</v>
      </c>
      <c r="H166" s="79" t="n">
        <f aca="false">INDEX(dest_port,E166)</f>
        <v>1</v>
      </c>
      <c r="I166" s="80" t="n">
        <f aca="false">INDEX(in_fx_cbe,1,C166)*(1-INDEX(in_fx_spread,1,C166))</f>
        <v>52.7748</v>
      </c>
      <c r="J166" s="81" t="n">
        <f aca="false">1</f>
        <v>1</v>
      </c>
      <c r="K166" s="82" t="n">
        <f aca="false">INDEX(in_sup_vat_mode,1,C166)</f>
        <v>2</v>
      </c>
      <c r="L166" s="83" t="n">
        <f aca="false">INDEX(in_cus_s301,1,C166)</f>
        <v>0.125</v>
      </c>
      <c r="M166" s="84" t="n">
        <f aca="false">1</f>
        <v>1</v>
      </c>
      <c r="N166" s="81" t="n">
        <f aca="false">1</f>
        <v>1</v>
      </c>
      <c r="O166" s="95" t="n">
        <v>1.2</v>
      </c>
      <c r="P166" s="81" t="n">
        <f aca="false">1</f>
        <v>1</v>
      </c>
      <c r="Q166" s="81" t="n">
        <f aca="false">1</f>
        <v>1</v>
      </c>
      <c r="R166" s="83" t="n">
        <f aca="false">INDEX(in_sel_damage,1,C166)</f>
        <v>0.015</v>
      </c>
      <c r="S166" s="83" t="n">
        <f aca="false">INDEX(in_mkt_dist_margin,1,C166)</f>
        <v>0.25</v>
      </c>
      <c r="T166" s="83" t="n">
        <f aca="false">INDEX(in_mkt_eflute_disc,1,C166)</f>
        <v>0.2</v>
      </c>
      <c r="U166" s="82" t="n">
        <f aca="false">INDEX(in_sel_credit_days,1,C166)</f>
        <v>45</v>
      </c>
      <c r="V166" s="81" t="n">
        <f aca="false">1</f>
        <v>1</v>
      </c>
      <c r="W166" s="83" t="n">
        <f aca="false">INDEX(in_sel_commission,1,C166)</f>
        <v>0.05</v>
      </c>
      <c r="X166" s="82" t="n">
        <f aca="false">1</f>
        <v>1</v>
      </c>
      <c r="Y166" s="85" t="n">
        <f aca="false">INDEX(cfg_u_3464,D166,C166)*O166</f>
        <v>30960</v>
      </c>
      <c r="Z166" s="85" t="n">
        <f aca="false">INDEX(cfg_u_3463,D166,C166)*O166</f>
        <v>30960</v>
      </c>
      <c r="AA166" s="85" t="n">
        <f aca="false">INDEX(cfg_u_3460,D166,C166)*O166</f>
        <v>30960</v>
      </c>
      <c r="AB166" s="85" t="n">
        <f aca="false">Y166+Z166+AA166</f>
        <v>92880</v>
      </c>
      <c r="AC166" s="86" t="n">
        <f aca="false">Y166*INDEX(lg_vpu_3464,C166)</f>
        <v>22.02469632</v>
      </c>
      <c r="AD166" s="86" t="n">
        <f aca="false">Z166*INDEX(lg_vpu_3463,C166)</f>
        <v>26.94362112</v>
      </c>
      <c r="AE166" s="86" t="n">
        <f aca="false">AA166*INDEX(lg_vpu_3460,C166)</f>
        <v>17.60113152</v>
      </c>
      <c r="AF166" s="86" t="n">
        <f aca="false">AC166+AD166+AE166</f>
        <v>66.56944896</v>
      </c>
      <c r="AG166" s="85" t="n">
        <f aca="false">Y166*INDEX(lg_kpu_3464,C166)+Z166*INDEX(lg_kpu_3463,C166)+AA166*INDEX(lg_kpu_3460,C166)</f>
        <v>16009.62454656</v>
      </c>
      <c r="AH166" s="87" t="n">
        <f aca="false">INDEX(in_sup_requote,1,C166)</f>
        <v>0</v>
      </c>
      <c r="AI166" s="88" t="n">
        <f aca="false">Y166*q_price_3464*(1+AH166)*J166/I166</f>
        <v>4907.27392619205</v>
      </c>
      <c r="AJ166" s="88" t="n">
        <f aca="false">Z166*q_price_3463*(1+AH166)*J166/I166</f>
        <v>4634.48464039655</v>
      </c>
      <c r="AK166" s="88" t="n">
        <f aca="false">AA166*q_price_3460*(1+AH166)*J166/I166</f>
        <v>4047.8410150299</v>
      </c>
      <c r="AL166" s="88" t="n">
        <f aca="false">AI166+AJ166+AK166</f>
        <v>13589.5995816185</v>
      </c>
      <c r="AM166" s="88" t="n">
        <f aca="false">IF(OR(K166=2,K166=3),AL166*INDEX(in_sup_vat_rate,1,C166),0)</f>
        <v>1902.54394142659</v>
      </c>
      <c r="AN166" s="88" t="n">
        <f aca="false">IF(K166=3,AM166,0)</f>
        <v>0</v>
      </c>
      <c r="AO166" s="88" t="n">
        <f aca="false">INDEX(in_sup_tooling_egp,1,C166)/I166</f>
        <v>0</v>
      </c>
      <c r="AP166" s="88" t="n">
        <f aca="false">IF(F166=4,INDEX(in_ori_lcl_truck,1,C166)*V166/I166+INDEX(in_ori_lcl_cfs_o,1,C166),G166*(IF(F166=1,INDEX(in_ori_truck_20,1,C166),INDEX(in_ori_truck_40,1,C166))*V166/I166+INDEX(in_ori_terminal,1,C166)+IF(F166=1,INDEX(in_ori_othc_20,1,C166),INDEX(in_ori_othc_40,1,C166))*(1-INDEX(in_ori_othc_in_freight,1,C166))+INDEX(in_ori_seal,1,C166)+INDEX(in_ori_inspection,1,C166)+INDEX(in_ori_dd_days,1,C166)*IF(F166=1,INDEX(in_ori_dd_20,1,C166),INDEX(in_ori_dd_40,1,C166))+INDEX(in_ori_loading_egp,1,C166)/I166))</f>
        <v>555.278125165799</v>
      </c>
      <c r="AQ166" s="88" t="n">
        <f aca="false">(INDEX(in_ori_clearance,1,C166)+INDEX(in_ori_coo,1,C166))/I166+INDEX(in_ori_bl_fee,1,C166)+INDEX(in_ori_fwd_fee,1,C166)+INDEX(in_ori_qc,1,C166)+INDEX(in_ori_wires,1,C166)*INDEX(in_ori_wire_fee,1,C166)</f>
        <v>817.639062582899</v>
      </c>
      <c r="AR166" s="88" t="n">
        <f aca="false">AP166+AQ166</f>
        <v>1372.9171877487</v>
      </c>
      <c r="AS166" s="85" t="n">
        <f aca="false">INDEX(tbl_port_diff,H166,C166)</f>
        <v>0</v>
      </c>
      <c r="AT166" s="88" t="n">
        <f aca="false">IF(F166=4,MAX(AF166*INDEX(in_oce_lcl_factor,1,C166),AG166/1000,1)*INDEX(in_oce_lcl_rate,1,C166)*M166,G166*(INDEX(tbl_ocean_rate,MIN(F166,3),C166)+AS166)*M166)</f>
        <v>4000</v>
      </c>
      <c r="AU166" s="88" t="n">
        <f aca="false">AT166+INDEX(in_oce_ams,1,C166)</f>
        <v>4035</v>
      </c>
      <c r="AV166" s="88" t="n">
        <f aca="false">AI166*(1+IF(K166=3,INDEX(in_sup_vat_rate,1,C166),0))+AO166*Y166/AB166</f>
        <v>4907.27392619205</v>
      </c>
      <c r="AW166" s="88" t="n">
        <f aca="false">AJ166*(1+IF(K166=3,INDEX(in_sup_vat_rate,1,C166),0))+AO166*Z166/AB166</f>
        <v>4634.48464039655</v>
      </c>
      <c r="AX166" s="88" t="n">
        <f aca="false">AK166*(1+IF(K166=3,INDEX(in_sup_vat_rate,1,C166),0))+AO166*AA166/AB166</f>
        <v>4047.8410150299</v>
      </c>
      <c r="AY166" s="88" t="n">
        <f aca="false">AV166+AW166+AX166</f>
        <v>13589.5995816185</v>
      </c>
      <c r="AZ166" s="88" t="n">
        <f aca="false">MAX(INDEX(in_oce_ins_min,1,C166),INDEX(in_oce_ins_rate,1,C166)*(1+INDEX(in_oce_ins_uplift,1,C166))*(AL166+AO166+AR166+AU166))*(1-INDEX(in_oce_ins_in_other,1,C166))</f>
        <v>75</v>
      </c>
      <c r="BA166" s="87" t="n">
        <f aca="false">INDEX(in_cus_mfn,1,C166)+L166</f>
        <v>0.125</v>
      </c>
      <c r="BB166" s="88" t="n">
        <f aca="false">AY166*BA166</f>
        <v>1698.69994770231</v>
      </c>
      <c r="BC166" s="88" t="n">
        <f aca="false">MIN(MAX(AY166*INDEX(in_cus_mpf_rate,1,C166),INDEX(in_cus_mpf_min,1,C166)),INDEX(in_cus_mpf_max,1,C166))</f>
        <v>47.0743729507265</v>
      </c>
      <c r="BD166" s="88" t="n">
        <f aca="false">AY166*INDEX(in_cus_hmf,1,C166)</f>
        <v>16.9869994770231</v>
      </c>
      <c r="BE166" s="88" t="n">
        <f aca="false">MAX(INDEX(in_cus_stb_min,1,C166),INDEX(in_cus_stb_rate,1,C166)/1000*(AY166+BB166+BC166+BD166))</f>
        <v>92.1141654104914</v>
      </c>
      <c r="BF166" s="88" t="n">
        <f aca="false">INDEX(in_cus_broker,1,C166)+INDEX(in_cus_isf,1,C166)+INDEX(in_cus_do_fee,1,C166)+BE166+INDEX(in_cus_isf_bond,1,C166)</f>
        <v>527.114165410491</v>
      </c>
      <c r="BG166" s="88" t="n">
        <f aca="false">IF(H166=1,INDEX(in_cus_cfc,1,C166)*INDEX(ct_teu,F166)*G166*(1-INDEX(in_cus_cfc_in_freight,1,C166)),0)</f>
        <v>29.6</v>
      </c>
      <c r="BH166" s="88" t="n">
        <f aca="false">IF(F166=4,1,G166)*(INDEX(in_cus_exam,1,C166)+INDEX(in_cus_exam_dray,1,C166))</f>
        <v>0</v>
      </c>
      <c r="BI166" s="88" t="n">
        <f aca="false">IF(F166=4,1,G166)*INDEX(in_cus_dem_days,1,C166)*INDEX(in_cus_dem_rate,1,C166)</f>
        <v>0</v>
      </c>
      <c r="BJ166" s="88" t="n">
        <f aca="false">BG166+BH166+BI166</f>
        <v>29.6</v>
      </c>
      <c r="BK166" s="88" t="n">
        <f aca="false">IF(F166=4,(INDEX(in_dra_lcl_cfs_d,1,C166)+INDEX(in_dra_lcl_deliv,1,C166))*P166,G166*(INDEX(tbl_dest_line,E166,C166)*P166*(1+INDEX(in_dra_fsc,1,C166))+INDEX(tbl_dest_tolls,E166,C166)+INDEX(in_dra_chassis_days,1,C166)*INDEX(tbl_dest_chassis,E166,C166)*(1-INDEX(in_dra_chassis_in_dray,1,C166))+INDEX(in_dra_wait_hours,1,C166)*INDEX(in_dra_wait_rate,1,C166)+INDEX(in_dra_split,1,C166)+INDEX(in_dra_prepull,1,C166)+INDEX(in_dra_dryrun,1,C166)))</f>
        <v>1060</v>
      </c>
      <c r="BL166" s="88" t="n">
        <f aca="false">IF(F166=4,0,G166*IF(F166=1,INDEX(in_dra_unload_20,1,C166),INDEX(in_dra_unload_40,1,C166))*Q166*(1-INDEX(in_dra_unload_in_dray,1,C166)))</f>
        <v>450</v>
      </c>
      <c r="BM166" s="88" t="n">
        <f aca="false">AL166+AN166+AO166+AR166+AU166+AZ166+BB166+BC166+BD166+BF166+BJ166+BK166+BL166</f>
        <v>22901.9922549078</v>
      </c>
      <c r="BN166" s="88" t="n">
        <f aca="false">AP166+AU166+BJ166+BK166+BL166</f>
        <v>6129.8781251658</v>
      </c>
      <c r="BO166" s="88" t="n">
        <f aca="false">AQ166+BF166</f>
        <v>1344.75322799339</v>
      </c>
      <c r="BP166" s="88" t="n">
        <f aca="false">AI166*(1+IF(K166=3,INDEX(in_sup_vat_rate,1,C166),0))+AO166*Y166/AB166+AV166*BA166+(BC166+BD166)*AV166/AY166+AZ166*AI166/AL166+BN166*AC166/AF166+BO166*Y166/AB166</f>
        <v>8047.23806973609</v>
      </c>
      <c r="BQ166" s="88" t="n">
        <f aca="false">AJ166*(1+IF(K166=3,INDEX(in_sup_vat_rate,1,C166),0))+AO166*Z166/AB166+AW166*BA166+(BC166+BD166)*AW166/AY166+AZ166*AJ166/AL166+BN166*AD166/AF166+BO166*Z166/AB166</f>
        <v>8190.50535002484</v>
      </c>
      <c r="BR166" s="88" t="n">
        <f aca="false">AK166*(1+IF(K166=3,INDEX(in_sup_vat_rate,1,C166),0))+AO166*AA166/AB166+AX166*BA166+(BC166+BD166)*AX166/AY166+AZ166*AK166/AL166+BN166*AE166/AF166+BO166*AA166/AB166</f>
        <v>6664.24883514683</v>
      </c>
      <c r="BS166" s="89" t="n">
        <f aca="false">BP166+BQ166+BR166-BM166</f>
        <v>0</v>
      </c>
      <c r="BT166" s="85" t="n">
        <f aca="false">Y166*(1-R166)</f>
        <v>30495.6</v>
      </c>
      <c r="BU166" s="85" t="n">
        <f aca="false">Z166*(1-R166)</f>
        <v>30495.6</v>
      </c>
      <c r="BV166" s="85" t="n">
        <f aca="false">AA166*(1-R166)</f>
        <v>30495.6</v>
      </c>
      <c r="BW166" s="85" t="n">
        <f aca="false">BT166+BU166+BV166</f>
        <v>91486.8</v>
      </c>
      <c r="BX166" s="90" t="n">
        <f aca="false">IF(BT166&gt;0,BP166/BT166,0)</f>
        <v>0.26388193935309</v>
      </c>
      <c r="BY166" s="90" t="n">
        <f aca="false">IF(BU166&gt;0,BQ166/BU166,0)</f>
        <v>0.268579904970712</v>
      </c>
      <c r="BZ166" s="90" t="n">
        <f aca="false">IF(BV166&gt;0,BR166/BV166,0)</f>
        <v>0.21853148766205</v>
      </c>
      <c r="CA166" s="90" t="n">
        <f aca="false">INDEX(in_mkt_listing_3464,1,C166)*(1-IF(sku_flute_3464="B",T166,0))*(1-S166)*N166</f>
        <v>0.234</v>
      </c>
      <c r="CB166" s="90" t="n">
        <f aca="false">INDEX(in_mkt_listing_3463,1,C166)*(1-IF(sku_flute_3463="B",T166,0))*(1-S166)*N166</f>
        <v>0.27</v>
      </c>
      <c r="CC166" s="90" t="n">
        <f aca="false">INDEX(in_mkt_listing_3460,1,C166)*(1-IF(sku_flute_3460="B",T166,0))*(1-S166)*N166</f>
        <v>0.225</v>
      </c>
      <c r="CD166" s="88" t="n">
        <f aca="false">BT166*CA166+BU166*CB166+BV166*CC166</f>
        <v>22231.2924</v>
      </c>
      <c r="CE166" s="88" t="n">
        <f aca="false">CD166-BM166</f>
        <v>-670.699854907751</v>
      </c>
      <c r="CF166" s="87" t="n">
        <f aca="false">IF(CD166&gt;0,CE166/CD166,0)</f>
        <v>-0.0301691796788094</v>
      </c>
      <c r="CG166" s="87" t="n">
        <f aca="false">W166+INDEX(in_sel_processing,1,C166)+INDEX(in_sel_bad_debt,1,C166)</f>
        <v>0.058</v>
      </c>
      <c r="CH166" s="88" t="n">
        <f aca="false">CD166*CG166</f>
        <v>1289.4149592</v>
      </c>
      <c r="CI166" s="88" t="n">
        <f aca="false">INDEX(in_sel_testing,1,C166)*X166+INDEX(in_sel_admin,1,C166)</f>
        <v>3000</v>
      </c>
      <c r="CJ166" s="79" t="n">
        <f aca="false">INDEX(in_sup_lead_days,1,C166)</f>
        <v>21</v>
      </c>
      <c r="CK166" s="79" t="n">
        <f aca="false">CJ166+INDEX(in_oce_transit,1,C166)+IF(F166=4,INDEX(in_oce_lcl_extra_days,1,C166),0)</f>
        <v>51</v>
      </c>
      <c r="CL166" s="79" t="n">
        <f aca="false">CK166+2+INDEX(in_cus_dem_days,1,C166)</f>
        <v>53</v>
      </c>
      <c r="CM166" s="79" t="n">
        <f aca="false">CL166+U166</f>
        <v>98</v>
      </c>
      <c r="CN166" s="79" t="n">
        <f aca="false">CJ166+INDEX(in_sup_vat_lag,1,C166)</f>
        <v>81</v>
      </c>
      <c r="CO166" s="91" t="n">
        <f aca="false">INDEX(in_sup_advance,1,C166)</f>
        <v>0.5</v>
      </c>
      <c r="CP166" s="88" t="n">
        <f aca="false">CO166*(AL166+AM166)+AO166+INDEX(in_sel_testing,1,C166)*X166</f>
        <v>10246.0717615225</v>
      </c>
      <c r="CQ166" s="88" t="n">
        <f aca="false">(1-CO166)*(AL166+AM166)+AR166+AU166+AZ166</f>
        <v>13228.9889492712</v>
      </c>
      <c r="CR166" s="88" t="n">
        <f aca="false">BB166+BC166+BD166+BF166+BJ166</f>
        <v>2319.47548554055</v>
      </c>
      <c r="CS166" s="88" t="n">
        <f aca="false">BK166+BL166</f>
        <v>1510</v>
      </c>
      <c r="CT166" s="88" t="n">
        <f aca="false">IF(K166=2,AM166,0)</f>
        <v>1902.54394142659</v>
      </c>
      <c r="CU166" s="85" t="n">
        <f aca="false">IF(K166=2,CO166*AM166*(CN166-0)+(1-CO166)*AM166*(CN166-CJ166),0)</f>
        <v>134129.347870575</v>
      </c>
      <c r="CV166" s="85" t="n">
        <f aca="false">(CP166-CO166*CT166)*(CM166-0)+(CQ166-(1-CO166)*CT166)*(CM166-CJ166)+CR166*(CM166-CK166)+CS166*(CM166-CL166)</f>
        <v>2033239.93466867</v>
      </c>
      <c r="CW166" s="88" t="n">
        <f aca="false">INDEX(in_sel_fin_rate,1,C166)/365*(CU166+CV166)</f>
        <v>593.799803435411</v>
      </c>
      <c r="CX166" s="85" t="n">
        <f aca="false">CP166-IF(CN166&lt;=0,CT166,0)</f>
        <v>10246.0717615225</v>
      </c>
      <c r="CY166" s="85" t="n">
        <f aca="false">CP166+CQ166-IF(CN166&lt;=CJ166,CT166,0)</f>
        <v>23475.0607107938</v>
      </c>
      <c r="CZ166" s="85" t="n">
        <f aca="false">CP166+CQ166+CR166-IF(CN166&lt;=CK166,CT166,0)</f>
        <v>25794.5361963343</v>
      </c>
      <c r="DA166" s="85" t="n">
        <f aca="false">CP166+CQ166+CR166+CS166-IF(CN166&lt;=CL166,CT166,0)</f>
        <v>27304.5361963343</v>
      </c>
      <c r="DB166" s="88" t="n">
        <f aca="false">MAX(CX166,CY166,CZ166,DA166)</f>
        <v>27304.5361963343</v>
      </c>
      <c r="DC166" s="88" t="n">
        <f aca="false">CP166+CQ166+CR166+CS166</f>
        <v>27304.5361963343</v>
      </c>
      <c r="DD166" s="88" t="n">
        <f aca="false">CE166-CH166-CI166-CW166</f>
        <v>-5553.91461754316</v>
      </c>
      <c r="DE166" s="87" t="n">
        <f aca="false">IF(CD166&gt;0,DD166/CD166,0)</f>
        <v>-0.249824190047681</v>
      </c>
      <c r="DF166" s="86" t="n">
        <f aca="false">IF(CD166&gt;0,(BM166+CI166+CW166)/(CD166*(1-CG166)),0)</f>
        <v>1.26520614654743</v>
      </c>
      <c r="DG166" s="90" t="n">
        <f aca="false">IF(BW166&gt;0,BM166/BW166,0)</f>
        <v>0.250331110661951</v>
      </c>
      <c r="DH166" s="90" t="n">
        <f aca="false">IF(BW166&gt;0,CD166/BW166,0)</f>
        <v>0.243</v>
      </c>
      <c r="DI166" s="90" t="n">
        <f aca="false">IF(AI166&gt;0,(AI166*IF(K166=3,INDEX(in_sup_vat_rate,1,C166),0)+AV166*BA166+(BC166+BD166)*AV166/AY166+AZ166*AI166/AL166)/AI166,0)</f>
        <v>0.135232926407622</v>
      </c>
      <c r="DJ166" s="90" t="n">
        <f aca="false">IF(AJ166&gt;0,(AJ166*IF(K166=3,INDEX(in_sup_vat_rate,1,C166),0)+AW166*BA166+(BC166+BD166)*AW166/AY166+AZ166*AJ166/AL166)/AJ166,0)</f>
        <v>0.135232926407622</v>
      </c>
      <c r="DK166" s="90" t="n">
        <f aca="false">IF(AK166&gt;0,(AK166*IF(K166=3,INDEX(in_sup_vat_rate,1,C166),0)+AX166*BA166+(BC166+BD166)*AX166/AY166+AZ166*AK166/AL166)/AK166,0)</f>
        <v>0.135232926407622</v>
      </c>
      <c r="DL166" s="90" t="n">
        <f aca="false">IF(Y166&gt;0,(BP166-AI166*(1+DI166))/Y166,0)</f>
        <v>0.0799851140123151</v>
      </c>
      <c r="DM166" s="90" t="n">
        <f aca="false">IF(Z166&gt;0,(BQ166-AJ166*(1+DJ166))/Z166,0)</f>
        <v>0.0946151740735234</v>
      </c>
      <c r="DN166" s="90" t="n">
        <f aca="false">IF(AA166&gt;0,(BR166-AK166*(1+DK166))/AA166,0)</f>
        <v>0.0668283731919132</v>
      </c>
      <c r="DO166" s="86" t="n">
        <f aca="false">IF(Y166&gt;0,(CA166*(1-thr_gm_go)*(1-R166)-DL166)/(1+DI166)*I166/((1+AH166)*J166),"")</f>
        <v>4.31792386390209</v>
      </c>
      <c r="DP166" s="86" t="n">
        <f aca="false">IF(Z166&gt;0,(CB166*(1-thr_gm_go)*(1-R166)-DM166)/(1+DJ166)*I166/((1+AH166)*J166),"")</f>
        <v>4.87415095844199</v>
      </c>
      <c r="DQ166" s="86" t="n">
        <f aca="false">IF(AA166&gt;0,(CC166*(1-thr_gm_go)*(1-R166)-DN166)/(1+DK166)*I166/((1+AH166)*J166),"")</f>
        <v>4.62046786695122</v>
      </c>
      <c r="DR166" s="92" t="n">
        <f aca="false">IF(AND(AY166*INDEX(in_cus_mpf_rate,1,C166)&gt;INDEX(in_cus_mpf_min,1,C166),AY166*INDEX(in_cus_mpf_rate,1,C166)&lt;INDEX(in_cus_mpf_max,1,C166)),INDEX(in_cus_mpf_rate,1,C166),0)</f>
        <v>0.003464</v>
      </c>
      <c r="DS166" s="88" t="n">
        <f aca="false">IF(AZ166&gt;INDEX(in_oce_ins_min,1,C166),INDEX(in_oce_ins_rate,1,C166)*(1+INDEX(in_oce_ins_uplift,1,C166))*AL166,0)</f>
        <v>0</v>
      </c>
      <c r="DT166" s="88" t="n">
        <f aca="false">(AL166+AN166)*(1+BA166+INDEX(in_cus_hmf,1,C166)+DR166)+DS166</f>
        <v>15352.3609017486</v>
      </c>
      <c r="DU166" s="86" t="n">
        <f aca="false">IF(DT166&gt;0,(CD166*(1-thr_gm_go)-(BM166-DT166))/DT166,0)</f>
        <v>0.594295431512534</v>
      </c>
      <c r="DV166" s="86" t="n">
        <f aca="false">IF(DT166&gt;0,(CD166-(BM166-DT166))/DT166,0)</f>
        <v>0.956312917654811</v>
      </c>
      <c r="DW166" s="87" t="n">
        <f aca="false">(1+AH166)*J166*DU166-1</f>
        <v>-0.405704568487467</v>
      </c>
      <c r="DX166" s="87" t="n">
        <f aca="false">(1+AH166)*J166*DV166-1</f>
        <v>-0.043687082345189</v>
      </c>
      <c r="DY166" s="85" t="n">
        <f aca="false">IF(G166&gt;0,(CD166*(1-thr_gm_go)-(BM166-AT166))/G166,"")</f>
        <v>-2228.52295490775</v>
      </c>
      <c r="DZ166" s="90" t="n">
        <f aca="false">IF(AB166&gt;0,(AL166+AN166+BB166+BC166+BD166)/AB166,0)</f>
        <v>0.165292430036053</v>
      </c>
      <c r="EA166" s="88" t="n">
        <f aca="false">BM166-DZ166*AB166</f>
        <v>7549.63135315919</v>
      </c>
      <c r="EB166" s="90" t="n">
        <f aca="false">IF(AB166&gt;0,CD166/AB166,0)</f>
        <v>0.239355</v>
      </c>
      <c r="EC166" s="85" t="n">
        <f aca="false">IF(EB166*(1-thr_gm_go)-DZ166&gt;0,EA166/(EB166*(1-thr_gm_go)-DZ166),"n/a")</f>
        <v>530773.826742391</v>
      </c>
      <c r="ED166" s="85" t="n">
        <f aca="false">IF(EB166-DZ166&gt;0,EA166/(EB166-DZ166),"n/a")</f>
        <v>101935.85446514</v>
      </c>
      <c r="EE166" s="93" t="b">
        <f aca="false">INDEX(cfg_fits,D166,C166)</f>
        <v>1</v>
      </c>
      <c r="EF166" s="87" t="n">
        <f aca="false">IF(F166=4,"",INDEX(cfg_lenutil,D166,C166))</f>
        <v>0.999580888516345</v>
      </c>
      <c r="EG166" s="31" t="str">
        <f aca="false">IF(O166&gt;1,"Check fit (units scaled up)","")</f>
        <v>Check fit (units scaled up)</v>
      </c>
    </row>
    <row r="167" customFormat="false" ht="15" hidden="false" customHeight="false" outlineLevel="0" collapsed="false">
      <c r="A167" s="78" t="n">
        <v>900013</v>
      </c>
      <c r="B167" s="9" t="s">
        <v>3315</v>
      </c>
      <c r="C167" s="10" t="n">
        <f aca="false">sel_scen</f>
        <v>2</v>
      </c>
      <c r="D167" s="10" t="n">
        <f aca="false">sel_cfg</f>
        <v>4</v>
      </c>
      <c r="E167" s="10" t="n">
        <f aca="false">sel_dest</f>
        <v>1</v>
      </c>
      <c r="F167" s="79" t="n">
        <f aca="false">INDEX(cfg_ct,D167)</f>
        <v>3</v>
      </c>
      <c r="G167" s="79" t="n">
        <f aca="false">INDEX(cfg_n,D167)</f>
        <v>1</v>
      </c>
      <c r="H167" s="79" t="n">
        <f aca="false">INDEX(dest_port,E167)</f>
        <v>1</v>
      </c>
      <c r="I167" s="80" t="n">
        <f aca="false">INDEX(in_fx_cbe,1,C167)*(1-INDEX(in_fx_spread,1,C167))</f>
        <v>52.7748</v>
      </c>
      <c r="J167" s="81" t="n">
        <f aca="false">1</f>
        <v>1</v>
      </c>
      <c r="K167" s="82" t="n">
        <f aca="false">INDEX(in_sup_vat_mode,1,C167)</f>
        <v>2</v>
      </c>
      <c r="L167" s="83" t="n">
        <f aca="false">INDEX(in_cus_s301,1,C167)</f>
        <v>0.125</v>
      </c>
      <c r="M167" s="84" t="n">
        <f aca="false">1</f>
        <v>1</v>
      </c>
      <c r="N167" s="81" t="n">
        <f aca="false">1</f>
        <v>1</v>
      </c>
      <c r="O167" s="81" t="n">
        <f aca="false">1</f>
        <v>1</v>
      </c>
      <c r="P167" s="95" t="n">
        <v>0.75</v>
      </c>
      <c r="Q167" s="81" t="n">
        <f aca="false">1</f>
        <v>1</v>
      </c>
      <c r="R167" s="83" t="n">
        <f aca="false">INDEX(in_sel_damage,1,C167)</f>
        <v>0.015</v>
      </c>
      <c r="S167" s="83" t="n">
        <f aca="false">INDEX(in_mkt_dist_margin,1,C167)</f>
        <v>0.25</v>
      </c>
      <c r="T167" s="83" t="n">
        <f aca="false">INDEX(in_mkt_eflute_disc,1,C167)</f>
        <v>0.2</v>
      </c>
      <c r="U167" s="82" t="n">
        <f aca="false">INDEX(in_sel_credit_days,1,C167)</f>
        <v>45</v>
      </c>
      <c r="V167" s="81" t="n">
        <f aca="false">1</f>
        <v>1</v>
      </c>
      <c r="W167" s="83" t="n">
        <f aca="false">INDEX(in_sel_commission,1,C167)</f>
        <v>0.05</v>
      </c>
      <c r="X167" s="82" t="n">
        <f aca="false">1</f>
        <v>1</v>
      </c>
      <c r="Y167" s="85" t="n">
        <f aca="false">INDEX(cfg_u_3464,D167,C167)*O167</f>
        <v>25800</v>
      </c>
      <c r="Z167" s="85" t="n">
        <f aca="false">INDEX(cfg_u_3463,D167,C167)*O167</f>
        <v>25800</v>
      </c>
      <c r="AA167" s="85" t="n">
        <f aca="false">INDEX(cfg_u_3460,D167,C167)*O167</f>
        <v>25800</v>
      </c>
      <c r="AB167" s="85" t="n">
        <f aca="false">Y167+Z167+AA167</f>
        <v>77400</v>
      </c>
      <c r="AC167" s="86" t="n">
        <f aca="false">Y167*INDEX(lg_vpu_3464,C167)</f>
        <v>18.3539136</v>
      </c>
      <c r="AD167" s="86" t="n">
        <f aca="false">Z167*INDEX(lg_vpu_3463,C167)</f>
        <v>22.4530176</v>
      </c>
      <c r="AE167" s="86" t="n">
        <f aca="false">AA167*INDEX(lg_vpu_3460,C167)</f>
        <v>14.6676096</v>
      </c>
      <c r="AF167" s="86" t="n">
        <f aca="false">AC167+AD167+AE167</f>
        <v>55.4745408</v>
      </c>
      <c r="AG167" s="85" t="n">
        <f aca="false">Y167*INDEX(lg_kpu_3464,C167)+Z167*INDEX(lg_kpu_3463,C167)+AA167*INDEX(lg_kpu_3460,C167)</f>
        <v>13341.3537888</v>
      </c>
      <c r="AH167" s="87" t="n">
        <f aca="false">INDEX(in_sup_requote,1,C167)</f>
        <v>0</v>
      </c>
      <c r="AI167" s="88" t="n">
        <f aca="false">Y167*q_price_3464*(1+AH167)*J167/I167</f>
        <v>4089.39493849337</v>
      </c>
      <c r="AJ167" s="88" t="n">
        <f aca="false">Z167*q_price_3463*(1+AH167)*J167/I167</f>
        <v>3862.07053366379</v>
      </c>
      <c r="AK167" s="88" t="n">
        <f aca="false">AA167*q_price_3460*(1+AH167)*J167/I167</f>
        <v>3373.20084585825</v>
      </c>
      <c r="AL167" s="88" t="n">
        <f aca="false">AI167+AJ167+AK167</f>
        <v>11324.6663180154</v>
      </c>
      <c r="AM167" s="88" t="n">
        <f aca="false">IF(OR(K167=2,K167=3),AL167*INDEX(in_sup_vat_rate,1,C167),0)</f>
        <v>1585.45328452216</v>
      </c>
      <c r="AN167" s="88" t="n">
        <f aca="false">IF(K167=3,AM167,0)</f>
        <v>0</v>
      </c>
      <c r="AO167" s="88" t="n">
        <f aca="false">INDEX(in_sup_tooling_egp,1,C167)/I167</f>
        <v>0</v>
      </c>
      <c r="AP167" s="88" t="n">
        <f aca="false">IF(F167=4,INDEX(in_ori_lcl_truck,1,C167)*V167/I167+INDEX(in_ori_lcl_cfs_o,1,C167),G167*(IF(F167=1,INDEX(in_ori_truck_20,1,C167),INDEX(in_ori_truck_40,1,C167))*V167/I167+INDEX(in_ori_terminal,1,C167)+IF(F167=1,INDEX(in_ori_othc_20,1,C167),INDEX(in_ori_othc_40,1,C167))*(1-INDEX(in_ori_othc_in_freight,1,C167))+INDEX(in_ori_seal,1,C167)+INDEX(in_ori_inspection,1,C167)+INDEX(in_ori_dd_days,1,C167)*IF(F167=1,INDEX(in_ori_dd_20,1,C167),INDEX(in_ori_dd_40,1,C167))+INDEX(in_ori_loading_egp,1,C167)/I167))</f>
        <v>555.278125165799</v>
      </c>
      <c r="AQ167" s="88" t="n">
        <f aca="false">(INDEX(in_ori_clearance,1,C167)+INDEX(in_ori_coo,1,C167))/I167+INDEX(in_ori_bl_fee,1,C167)+INDEX(in_ori_fwd_fee,1,C167)+INDEX(in_ori_qc,1,C167)+INDEX(in_ori_wires,1,C167)*INDEX(in_ori_wire_fee,1,C167)</f>
        <v>817.639062582899</v>
      </c>
      <c r="AR167" s="88" t="n">
        <f aca="false">AP167+AQ167</f>
        <v>1372.9171877487</v>
      </c>
      <c r="AS167" s="85" t="n">
        <f aca="false">INDEX(tbl_port_diff,H167,C167)</f>
        <v>0</v>
      </c>
      <c r="AT167" s="88" t="n">
        <f aca="false">IF(F167=4,MAX(AF167*INDEX(in_oce_lcl_factor,1,C167),AG167/1000,1)*INDEX(in_oce_lcl_rate,1,C167)*M167,G167*(INDEX(tbl_ocean_rate,MIN(F167,3),C167)+AS167)*M167)</f>
        <v>4000</v>
      </c>
      <c r="AU167" s="88" t="n">
        <f aca="false">AT167+INDEX(in_oce_ams,1,C167)</f>
        <v>4035</v>
      </c>
      <c r="AV167" s="88" t="n">
        <f aca="false">AI167*(1+IF(K167=3,INDEX(in_sup_vat_rate,1,C167),0))+AO167*Y167/AB167</f>
        <v>4089.39493849337</v>
      </c>
      <c r="AW167" s="88" t="n">
        <f aca="false">AJ167*(1+IF(K167=3,INDEX(in_sup_vat_rate,1,C167),0))+AO167*Z167/AB167</f>
        <v>3862.07053366379</v>
      </c>
      <c r="AX167" s="88" t="n">
        <f aca="false">AK167*(1+IF(K167=3,INDEX(in_sup_vat_rate,1,C167),0))+AO167*AA167/AB167</f>
        <v>3373.20084585825</v>
      </c>
      <c r="AY167" s="88" t="n">
        <f aca="false">AV167+AW167+AX167</f>
        <v>11324.6663180154</v>
      </c>
      <c r="AZ167" s="88" t="n">
        <f aca="false">MAX(INDEX(in_oce_ins_min,1,C167),INDEX(in_oce_ins_rate,1,C167)*(1+INDEX(in_oce_ins_uplift,1,C167))*(AL167+AO167+AR167+AU167))*(1-INDEX(in_oce_ins_in_other,1,C167))</f>
        <v>75</v>
      </c>
      <c r="BA167" s="87" t="n">
        <f aca="false">INDEX(in_cus_mfn,1,C167)+L167</f>
        <v>0.125</v>
      </c>
      <c r="BB167" s="88" t="n">
        <f aca="false">AY167*BA167</f>
        <v>1415.58328975193</v>
      </c>
      <c r="BC167" s="88" t="n">
        <f aca="false">MIN(MAX(AY167*INDEX(in_cus_mpf_rate,1,C167),INDEX(in_cus_mpf_min,1,C167)),INDEX(in_cus_mpf_max,1,C167))</f>
        <v>39.2286441256054</v>
      </c>
      <c r="BD167" s="88" t="n">
        <f aca="false">AY167*INDEX(in_cus_hmf,1,C167)</f>
        <v>14.1558328975193</v>
      </c>
      <c r="BE167" s="88" t="n">
        <f aca="false">MAX(INDEX(in_cus_stb_min,1,C167),INDEX(in_cus_stb_rate,1,C167)/1000*(AY167+BB167+BC167+BD167))</f>
        <v>76.7618045087428</v>
      </c>
      <c r="BF167" s="88" t="n">
        <f aca="false">INDEX(in_cus_broker,1,C167)+INDEX(in_cus_isf,1,C167)+INDEX(in_cus_do_fee,1,C167)+BE167+INDEX(in_cus_isf_bond,1,C167)</f>
        <v>511.761804508743</v>
      </c>
      <c r="BG167" s="88" t="n">
        <f aca="false">IF(H167=1,INDEX(in_cus_cfc,1,C167)*INDEX(ct_teu,F167)*G167*(1-INDEX(in_cus_cfc_in_freight,1,C167)),0)</f>
        <v>29.6</v>
      </c>
      <c r="BH167" s="88" t="n">
        <f aca="false">IF(F167=4,1,G167)*(INDEX(in_cus_exam,1,C167)+INDEX(in_cus_exam_dray,1,C167))</f>
        <v>0</v>
      </c>
      <c r="BI167" s="88" t="n">
        <f aca="false">IF(F167=4,1,G167)*INDEX(in_cus_dem_days,1,C167)*INDEX(in_cus_dem_rate,1,C167)</f>
        <v>0</v>
      </c>
      <c r="BJ167" s="88" t="n">
        <f aca="false">BG167+BH167+BI167</f>
        <v>29.6</v>
      </c>
      <c r="BK167" s="88" t="n">
        <f aca="false">IF(F167=4,(INDEX(in_dra_lcl_cfs_d,1,C167)+INDEX(in_dra_lcl_deliv,1,C167))*P167,G167*(INDEX(tbl_dest_line,E167,C167)*P167*(1+INDEX(in_dra_fsc,1,C167))+INDEX(tbl_dest_tolls,E167,C167)+INDEX(in_dra_chassis_days,1,C167)*INDEX(tbl_dest_chassis,E167,C167)*(1-INDEX(in_dra_chassis_in_dray,1,C167))+INDEX(in_dra_wait_hours,1,C167)*INDEX(in_dra_wait_rate,1,C167)+INDEX(in_dra_split,1,C167)+INDEX(in_dra_prepull,1,C167)+INDEX(in_dra_dryrun,1,C167)))</f>
        <v>865</v>
      </c>
      <c r="BL167" s="88" t="n">
        <f aca="false">IF(F167=4,0,G167*IF(F167=1,INDEX(in_dra_unload_20,1,C167),INDEX(in_dra_unload_40,1,C167))*Q167*(1-INDEX(in_dra_unload_in_dray,1,C167)))</f>
        <v>450</v>
      </c>
      <c r="BM167" s="88" t="n">
        <f aca="false">AL167+AN167+AO167+AR167+AU167+AZ167+BB167+BC167+BD167+BF167+BJ167+BK167+BL167</f>
        <v>20132.9130770479</v>
      </c>
      <c r="BN167" s="88" t="n">
        <f aca="false">AP167+AU167+BJ167+BK167+BL167</f>
        <v>5934.8781251658</v>
      </c>
      <c r="BO167" s="88" t="n">
        <f aca="false">AQ167+BF167</f>
        <v>1329.40086709164</v>
      </c>
      <c r="BP167" s="88" t="n">
        <f aca="false">AI167*(1+IF(K167=3,INDEX(in_sup_vat_rate,1,C167),0))+AO167*Y167/AB167+AV167*BA167+(BC167+BD167)*AV167/AY167+AZ167*AI167/AL167+BN167*AC167/AF167+BO167*Y167/AB167</f>
        <v>7053.63495472901</v>
      </c>
      <c r="BQ167" s="88" t="n">
        <f aca="false">AJ167*(1+IF(K167=3,INDEX(in_sup_vat_rate,1,C167),0))+AO167*Z167/AB167+AW167*BA167+(BC167+BD167)*AW167/AY167+AZ167*AJ167/AL167+BN167*AD167/AF167+BO167*Z167/AB167</f>
        <v>7233.85568055821</v>
      </c>
      <c r="BR167" s="88" t="n">
        <f aca="false">AK167*(1+IF(K167=3,INDEX(in_sup_vat_rate,1,C167),0))+AO167*AA167/AB167+AX167*BA167+(BC167+BD167)*AX167/AY167+AZ167*AK167/AL167+BN167*AE167/AF167+BO167*AA167/AB167</f>
        <v>5845.4224417607</v>
      </c>
      <c r="BS167" s="89" t="n">
        <f aca="false">BP167+BQ167+BR167-BM167</f>
        <v>0</v>
      </c>
      <c r="BT167" s="85" t="n">
        <f aca="false">Y167*(1-R167)</f>
        <v>25413</v>
      </c>
      <c r="BU167" s="85" t="n">
        <f aca="false">Z167*(1-R167)</f>
        <v>25413</v>
      </c>
      <c r="BV167" s="85" t="n">
        <f aca="false">AA167*(1-R167)</f>
        <v>25413</v>
      </c>
      <c r="BW167" s="85" t="n">
        <f aca="false">BT167+BU167+BV167</f>
        <v>76239</v>
      </c>
      <c r="BX167" s="90" t="n">
        <f aca="false">IF(BT167&gt;0,BP167/BT167,0)</f>
        <v>0.277560105250423</v>
      </c>
      <c r="BY167" s="90" t="n">
        <f aca="false">IF(BU167&gt;0,BQ167/BU167,0)</f>
        <v>0.284651779819707</v>
      </c>
      <c r="BZ167" s="90" t="n">
        <f aca="false">IF(BV167&gt;0,BR167/BV167,0)</f>
        <v>0.230017016556908</v>
      </c>
      <c r="CA167" s="90" t="n">
        <f aca="false">INDEX(in_mkt_listing_3464,1,C167)*(1-IF(sku_flute_3464="B",T167,0))*(1-S167)*N167</f>
        <v>0.234</v>
      </c>
      <c r="CB167" s="90" t="n">
        <f aca="false">INDEX(in_mkt_listing_3463,1,C167)*(1-IF(sku_flute_3463="B",T167,0))*(1-S167)*N167</f>
        <v>0.27</v>
      </c>
      <c r="CC167" s="90" t="n">
        <f aca="false">INDEX(in_mkt_listing_3460,1,C167)*(1-IF(sku_flute_3460="B",T167,0))*(1-S167)*N167</f>
        <v>0.225</v>
      </c>
      <c r="CD167" s="88" t="n">
        <f aca="false">BT167*CA167+BU167*CB167+BV167*CC167</f>
        <v>18526.077</v>
      </c>
      <c r="CE167" s="88" t="n">
        <f aca="false">CD167-BM167</f>
        <v>-1606.83607704791</v>
      </c>
      <c r="CF167" s="87" t="n">
        <f aca="false">IF(CD167&gt;0,CE167/CD167,0)</f>
        <v>-0.0867337470878432</v>
      </c>
      <c r="CG167" s="87" t="n">
        <f aca="false">W167+INDEX(in_sel_processing,1,C167)+INDEX(in_sel_bad_debt,1,C167)</f>
        <v>0.058</v>
      </c>
      <c r="CH167" s="88" t="n">
        <f aca="false">CD167*CG167</f>
        <v>1074.512466</v>
      </c>
      <c r="CI167" s="88" t="n">
        <f aca="false">INDEX(in_sel_testing,1,C167)*X167+INDEX(in_sel_admin,1,C167)</f>
        <v>3000</v>
      </c>
      <c r="CJ167" s="79" t="n">
        <f aca="false">INDEX(in_sup_lead_days,1,C167)</f>
        <v>21</v>
      </c>
      <c r="CK167" s="79" t="n">
        <f aca="false">CJ167+INDEX(in_oce_transit,1,C167)+IF(F167=4,INDEX(in_oce_lcl_extra_days,1,C167),0)</f>
        <v>51</v>
      </c>
      <c r="CL167" s="79" t="n">
        <f aca="false">CK167+2+INDEX(in_cus_dem_days,1,C167)</f>
        <v>53</v>
      </c>
      <c r="CM167" s="79" t="n">
        <f aca="false">CL167+U167</f>
        <v>98</v>
      </c>
      <c r="CN167" s="79" t="n">
        <f aca="false">CJ167+INDEX(in_sup_vat_lag,1,C167)</f>
        <v>81</v>
      </c>
      <c r="CO167" s="91" t="n">
        <f aca="false">INDEX(in_sup_advance,1,C167)</f>
        <v>0.5</v>
      </c>
      <c r="CP167" s="88" t="n">
        <f aca="false">CO167*(AL167+AM167)+AO167+INDEX(in_sel_testing,1,C167)*X167</f>
        <v>8955.05980126879</v>
      </c>
      <c r="CQ167" s="88" t="n">
        <f aca="false">(1-CO167)*(AL167+AM167)+AR167+AU167+AZ167</f>
        <v>11937.9769890175</v>
      </c>
      <c r="CR167" s="88" t="n">
        <f aca="false">BB167+BC167+BD167+BF167+BJ167</f>
        <v>2010.32957128379</v>
      </c>
      <c r="CS167" s="88" t="n">
        <f aca="false">BK167+BL167</f>
        <v>1315</v>
      </c>
      <c r="CT167" s="88" t="n">
        <f aca="false">IF(K167=2,AM167,0)</f>
        <v>1585.45328452216</v>
      </c>
      <c r="CU167" s="85" t="n">
        <f aca="false">IF(K167=2,CO167*AM167*(CN167-0)+(1-CO167)*AM167*(CN167-CJ167),0)</f>
        <v>111774.456558812</v>
      </c>
      <c r="CV167" s="85" t="n">
        <f aca="false">(CP167-CO167*CT167)*(CM167-0)+(CQ167-(1-CO167)*CT167)*(CM167-CJ167)+CR167*(CM167-CK167)+CS167*(CM167-CL167)</f>
        <v>1811753.41613334</v>
      </c>
      <c r="CW167" s="88" t="n">
        <f aca="false">INDEX(in_sel_fin_rate,1,C167)/365*(CU167+CV167)</f>
        <v>526.993937723877</v>
      </c>
      <c r="CX167" s="85" t="n">
        <f aca="false">CP167-IF(CN167&lt;=0,CT167,0)</f>
        <v>8955.05980126879</v>
      </c>
      <c r="CY167" s="85" t="n">
        <f aca="false">CP167+CQ167-IF(CN167&lt;=CJ167,CT167,0)</f>
        <v>20893.0367902863</v>
      </c>
      <c r="CZ167" s="85" t="n">
        <f aca="false">CP167+CQ167+CR167-IF(CN167&lt;=CK167,CT167,0)</f>
        <v>22903.3663615701</v>
      </c>
      <c r="DA167" s="85" t="n">
        <f aca="false">CP167+CQ167+CR167+CS167-IF(CN167&lt;=CL167,CT167,0)</f>
        <v>24218.3663615701</v>
      </c>
      <c r="DB167" s="88" t="n">
        <f aca="false">MAX(CX167,CY167,CZ167,DA167)</f>
        <v>24218.3663615701</v>
      </c>
      <c r="DC167" s="88" t="n">
        <f aca="false">CP167+CQ167+CR167+CS167</f>
        <v>24218.3663615701</v>
      </c>
      <c r="DD167" s="88" t="n">
        <f aca="false">CE167-CH167-CI167-CW167</f>
        <v>-6208.34248077179</v>
      </c>
      <c r="DE167" s="87" t="n">
        <f aca="false">IF(CD167&gt;0,DD167/CD167,0)</f>
        <v>-0.335113714618145</v>
      </c>
      <c r="DF167" s="86" t="n">
        <f aca="false">IF(CD167&gt;0,(BM167+CI167+CW167)/(CD167*(1-CG167)),0)</f>
        <v>1.35574704311905</v>
      </c>
      <c r="DG167" s="90" t="n">
        <f aca="false">IF(BW167&gt;0,BM167/BW167,0)</f>
        <v>0.264076300542346</v>
      </c>
      <c r="DH167" s="90" t="n">
        <f aca="false">IF(BW167&gt;0,CD167/BW167,0)</f>
        <v>0.243</v>
      </c>
      <c r="DI167" s="90" t="n">
        <f aca="false">IF(AI167&gt;0,(AI167*IF(K167=3,INDEX(in_sup_vat_rate,1,C167),0)+AV167*BA167+(BC167+BD167)*AV167/AY167+AZ167*AI167/AL167)/AI167,0)</f>
        <v>0.136336711689146</v>
      </c>
      <c r="DJ167" s="90" t="n">
        <f aca="false">IF(AJ167&gt;0,(AJ167*IF(K167=3,INDEX(in_sup_vat_rate,1,C167),0)+AW167*BA167+(BC167+BD167)*AW167/AY167+AZ167*AJ167/AL167)/AJ167,0)</f>
        <v>0.136336711689146</v>
      </c>
      <c r="DK167" s="90" t="n">
        <f aca="false">IF(AK167&gt;0,(AK167*IF(K167=3,INDEX(in_sup_vat_rate,1,C167),0)+AX167*BA167+(BC167+BD167)*AX167/AY167+AZ167*AK167/AL167)/AK167,0)</f>
        <v>0.136336711689146</v>
      </c>
      <c r="DL167" s="90" t="n">
        <f aca="false">IF(Y167&gt;0,(BP167-AI167*(1+DI167))/Y167,0)</f>
        <v>0.0932831533923726</v>
      </c>
      <c r="DM167" s="90" t="n">
        <f aca="false">IF(Z167&gt;0,(BQ167-AJ167*(1+DJ167))/Z167,0)</f>
        <v>0.110280742248959</v>
      </c>
      <c r="DN167" s="90" t="n">
        <f aca="false">IF(AA167&gt;0,(BR167-AK167*(1+DK167))/AA167,0)</f>
        <v>0.0779973056089568</v>
      </c>
      <c r="DO167" s="86" t="n">
        <f aca="false">IF(Y167&gt;0,(CA167*(1-thr_gm_go)*(1-R167)-DL167)/(1+DI167)*I167/((1+AH167)*J167),"")</f>
        <v>3.69612979334701</v>
      </c>
      <c r="DP167" s="86" t="n">
        <f aca="false">IF(Z167&gt;0,(CB167*(1-thr_gm_go)*(1-R167)-DM167)/(1+DJ167)*I167/((1+AH167)*J167),"")</f>
        <v>4.14186163356759</v>
      </c>
      <c r="DQ167" s="86" t="n">
        <f aca="false">IF(AA167&gt;0,(CC167*(1-thr_gm_go)*(1-R167)-DN167)/(1+DK167)*I167/((1+AH167)*J167),"")</f>
        <v>4.09726187278378</v>
      </c>
      <c r="DR167" s="92" t="n">
        <f aca="false">IF(AND(AY167*INDEX(in_cus_mpf_rate,1,C167)&gt;INDEX(in_cus_mpf_min,1,C167),AY167*INDEX(in_cus_mpf_rate,1,C167)&lt;INDEX(in_cus_mpf_max,1,C167)),INDEX(in_cus_mpf_rate,1,C167),0)</f>
        <v>0.003464</v>
      </c>
      <c r="DS167" s="88" t="n">
        <f aca="false">IF(AZ167&gt;INDEX(in_oce_ins_min,1,C167),INDEX(in_oce_ins_rate,1,C167)*(1+INDEX(in_oce_ins_uplift,1,C167))*AL167,0)</f>
        <v>0</v>
      </c>
      <c r="DT167" s="88" t="n">
        <f aca="false">(AL167+AN167)*(1+BA167+INDEX(in_cus_hmf,1,C167)+DR167)+DS167</f>
        <v>12793.6340847905</v>
      </c>
      <c r="DU167" s="86" t="n">
        <f aca="false">IF(DT167&gt;0,(CD167*(1-thr_gm_go)-(BM167-DT167))/DT167,0)</f>
        <v>0.512385981519958</v>
      </c>
      <c r="DV167" s="86" t="n">
        <f aca="false">IF(DT167&gt;0,(CD167-(BM167-DT167))/DT167,0)</f>
        <v>0.874403467662236</v>
      </c>
      <c r="DW167" s="87" t="n">
        <f aca="false">(1+AH167)*J167*DU167-1</f>
        <v>-0.487614018480042</v>
      </c>
      <c r="DX167" s="87" t="n">
        <f aca="false">(1+AH167)*J167*DV167-1</f>
        <v>-0.125596532337764</v>
      </c>
      <c r="DY167" s="85" t="n">
        <f aca="false">IF(G167&gt;0,(CD167*(1-thr_gm_go)-(BM167-AT167))/G167,"")</f>
        <v>-2238.35532704791</v>
      </c>
      <c r="DZ167" s="90" t="n">
        <f aca="false">IF(AB167&gt;0,(AL167+AN167+BB167+BC167+BD167)/AB167,0)</f>
        <v>0.165292430036053</v>
      </c>
      <c r="EA167" s="88" t="n">
        <f aca="false">BM167-DZ167*AB167</f>
        <v>7339.27899225744</v>
      </c>
      <c r="EB167" s="90" t="n">
        <f aca="false">IF(AB167&gt;0,CD167/AB167,0)</f>
        <v>0.239355</v>
      </c>
      <c r="EC167" s="85" t="n">
        <f aca="false">IF(EB167*(1-thr_gm_go)-DZ167&gt;0,EA167/(EB167*(1-thr_gm_go)-DZ167),"n/a")</f>
        <v>515985.087751393</v>
      </c>
      <c r="ED167" s="85" t="n">
        <f aca="false">IF(EB167-DZ167&gt;0,EA167/(EB167-DZ167),"n/a")</f>
        <v>99095.6564946382</v>
      </c>
      <c r="EE167" s="93" t="b">
        <f aca="false">INDEX(cfg_fits,D167,C167)</f>
        <v>1</v>
      </c>
      <c r="EF167" s="87" t="n">
        <f aca="false">IF(F167=4,"",INDEX(cfg_lenutil,D167,C167))</f>
        <v>0.999580888516345</v>
      </c>
      <c r="EG167" s="31" t="str">
        <f aca="false">IF(O167&gt;1,"Check fit (units scaled up)","")</f>
        <v/>
      </c>
    </row>
    <row r="168" customFormat="false" ht="15" hidden="false" customHeight="false" outlineLevel="0" collapsed="false">
      <c r="A168" s="78" t="n">
        <v>900014</v>
      </c>
      <c r="B168" s="9" t="s">
        <v>3316</v>
      </c>
      <c r="C168" s="10" t="n">
        <f aca="false">sel_scen</f>
        <v>2</v>
      </c>
      <c r="D168" s="10" t="n">
        <f aca="false">sel_cfg</f>
        <v>4</v>
      </c>
      <c r="E168" s="10" t="n">
        <f aca="false">sel_dest</f>
        <v>1</v>
      </c>
      <c r="F168" s="79" t="n">
        <f aca="false">INDEX(cfg_ct,D168)</f>
        <v>3</v>
      </c>
      <c r="G168" s="79" t="n">
        <f aca="false">INDEX(cfg_n,D168)</f>
        <v>1</v>
      </c>
      <c r="H168" s="79" t="n">
        <f aca="false">INDEX(dest_port,E168)</f>
        <v>1</v>
      </c>
      <c r="I168" s="80" t="n">
        <f aca="false">INDEX(in_fx_cbe,1,C168)*(1-INDEX(in_fx_spread,1,C168))</f>
        <v>52.7748</v>
      </c>
      <c r="J168" s="81" t="n">
        <f aca="false">1</f>
        <v>1</v>
      </c>
      <c r="K168" s="82" t="n">
        <f aca="false">INDEX(in_sup_vat_mode,1,C168)</f>
        <v>2</v>
      </c>
      <c r="L168" s="83" t="n">
        <f aca="false">INDEX(in_cus_s301,1,C168)</f>
        <v>0.125</v>
      </c>
      <c r="M168" s="84" t="n">
        <f aca="false">1</f>
        <v>1</v>
      </c>
      <c r="N168" s="81" t="n">
        <f aca="false">1</f>
        <v>1</v>
      </c>
      <c r="O168" s="81" t="n">
        <f aca="false">1</f>
        <v>1</v>
      </c>
      <c r="P168" s="95" t="n">
        <v>1.5</v>
      </c>
      <c r="Q168" s="81" t="n">
        <f aca="false">1</f>
        <v>1</v>
      </c>
      <c r="R168" s="83" t="n">
        <f aca="false">INDEX(in_sel_damage,1,C168)</f>
        <v>0.015</v>
      </c>
      <c r="S168" s="83" t="n">
        <f aca="false">INDEX(in_mkt_dist_margin,1,C168)</f>
        <v>0.25</v>
      </c>
      <c r="T168" s="83" t="n">
        <f aca="false">INDEX(in_mkt_eflute_disc,1,C168)</f>
        <v>0.2</v>
      </c>
      <c r="U168" s="82" t="n">
        <f aca="false">INDEX(in_sel_credit_days,1,C168)</f>
        <v>45</v>
      </c>
      <c r="V168" s="81" t="n">
        <f aca="false">1</f>
        <v>1</v>
      </c>
      <c r="W168" s="83" t="n">
        <f aca="false">INDEX(in_sel_commission,1,C168)</f>
        <v>0.05</v>
      </c>
      <c r="X168" s="82" t="n">
        <f aca="false">1</f>
        <v>1</v>
      </c>
      <c r="Y168" s="85" t="n">
        <f aca="false">INDEX(cfg_u_3464,D168,C168)*O168</f>
        <v>25800</v>
      </c>
      <c r="Z168" s="85" t="n">
        <f aca="false">INDEX(cfg_u_3463,D168,C168)*O168</f>
        <v>25800</v>
      </c>
      <c r="AA168" s="85" t="n">
        <f aca="false">INDEX(cfg_u_3460,D168,C168)*O168</f>
        <v>25800</v>
      </c>
      <c r="AB168" s="85" t="n">
        <f aca="false">Y168+Z168+AA168</f>
        <v>77400</v>
      </c>
      <c r="AC168" s="86" t="n">
        <f aca="false">Y168*INDEX(lg_vpu_3464,C168)</f>
        <v>18.3539136</v>
      </c>
      <c r="AD168" s="86" t="n">
        <f aca="false">Z168*INDEX(lg_vpu_3463,C168)</f>
        <v>22.4530176</v>
      </c>
      <c r="AE168" s="86" t="n">
        <f aca="false">AA168*INDEX(lg_vpu_3460,C168)</f>
        <v>14.6676096</v>
      </c>
      <c r="AF168" s="86" t="n">
        <f aca="false">AC168+AD168+AE168</f>
        <v>55.4745408</v>
      </c>
      <c r="AG168" s="85" t="n">
        <f aca="false">Y168*INDEX(lg_kpu_3464,C168)+Z168*INDEX(lg_kpu_3463,C168)+AA168*INDEX(lg_kpu_3460,C168)</f>
        <v>13341.3537888</v>
      </c>
      <c r="AH168" s="87" t="n">
        <f aca="false">INDEX(in_sup_requote,1,C168)</f>
        <v>0</v>
      </c>
      <c r="AI168" s="88" t="n">
        <f aca="false">Y168*q_price_3464*(1+AH168)*J168/I168</f>
        <v>4089.39493849337</v>
      </c>
      <c r="AJ168" s="88" t="n">
        <f aca="false">Z168*q_price_3463*(1+AH168)*J168/I168</f>
        <v>3862.07053366379</v>
      </c>
      <c r="AK168" s="88" t="n">
        <f aca="false">AA168*q_price_3460*(1+AH168)*J168/I168</f>
        <v>3373.20084585825</v>
      </c>
      <c r="AL168" s="88" t="n">
        <f aca="false">AI168+AJ168+AK168</f>
        <v>11324.6663180154</v>
      </c>
      <c r="AM168" s="88" t="n">
        <f aca="false">IF(OR(K168=2,K168=3),AL168*INDEX(in_sup_vat_rate,1,C168),0)</f>
        <v>1585.45328452216</v>
      </c>
      <c r="AN168" s="88" t="n">
        <f aca="false">IF(K168=3,AM168,0)</f>
        <v>0</v>
      </c>
      <c r="AO168" s="88" t="n">
        <f aca="false">INDEX(in_sup_tooling_egp,1,C168)/I168</f>
        <v>0</v>
      </c>
      <c r="AP168" s="88" t="n">
        <f aca="false">IF(F168=4,INDEX(in_ori_lcl_truck,1,C168)*V168/I168+INDEX(in_ori_lcl_cfs_o,1,C168),G168*(IF(F168=1,INDEX(in_ori_truck_20,1,C168),INDEX(in_ori_truck_40,1,C168))*V168/I168+INDEX(in_ori_terminal,1,C168)+IF(F168=1,INDEX(in_ori_othc_20,1,C168),INDEX(in_ori_othc_40,1,C168))*(1-INDEX(in_ori_othc_in_freight,1,C168))+INDEX(in_ori_seal,1,C168)+INDEX(in_ori_inspection,1,C168)+INDEX(in_ori_dd_days,1,C168)*IF(F168=1,INDEX(in_ori_dd_20,1,C168),INDEX(in_ori_dd_40,1,C168))+INDEX(in_ori_loading_egp,1,C168)/I168))</f>
        <v>555.278125165799</v>
      </c>
      <c r="AQ168" s="88" t="n">
        <f aca="false">(INDEX(in_ori_clearance,1,C168)+INDEX(in_ori_coo,1,C168))/I168+INDEX(in_ori_bl_fee,1,C168)+INDEX(in_ori_fwd_fee,1,C168)+INDEX(in_ori_qc,1,C168)+INDEX(in_ori_wires,1,C168)*INDEX(in_ori_wire_fee,1,C168)</f>
        <v>817.639062582899</v>
      </c>
      <c r="AR168" s="88" t="n">
        <f aca="false">AP168+AQ168</f>
        <v>1372.9171877487</v>
      </c>
      <c r="AS168" s="85" t="n">
        <f aca="false">INDEX(tbl_port_diff,H168,C168)</f>
        <v>0</v>
      </c>
      <c r="AT168" s="88" t="n">
        <f aca="false">IF(F168=4,MAX(AF168*INDEX(in_oce_lcl_factor,1,C168),AG168/1000,1)*INDEX(in_oce_lcl_rate,1,C168)*M168,G168*(INDEX(tbl_ocean_rate,MIN(F168,3),C168)+AS168)*M168)</f>
        <v>4000</v>
      </c>
      <c r="AU168" s="88" t="n">
        <f aca="false">AT168+INDEX(in_oce_ams,1,C168)</f>
        <v>4035</v>
      </c>
      <c r="AV168" s="88" t="n">
        <f aca="false">AI168*(1+IF(K168=3,INDEX(in_sup_vat_rate,1,C168),0))+AO168*Y168/AB168</f>
        <v>4089.39493849337</v>
      </c>
      <c r="AW168" s="88" t="n">
        <f aca="false">AJ168*(1+IF(K168=3,INDEX(in_sup_vat_rate,1,C168),0))+AO168*Z168/AB168</f>
        <v>3862.07053366379</v>
      </c>
      <c r="AX168" s="88" t="n">
        <f aca="false">AK168*(1+IF(K168=3,INDEX(in_sup_vat_rate,1,C168),0))+AO168*AA168/AB168</f>
        <v>3373.20084585825</v>
      </c>
      <c r="AY168" s="88" t="n">
        <f aca="false">AV168+AW168+AX168</f>
        <v>11324.6663180154</v>
      </c>
      <c r="AZ168" s="88" t="n">
        <f aca="false">MAX(INDEX(in_oce_ins_min,1,C168),INDEX(in_oce_ins_rate,1,C168)*(1+INDEX(in_oce_ins_uplift,1,C168))*(AL168+AO168+AR168+AU168))*(1-INDEX(in_oce_ins_in_other,1,C168))</f>
        <v>75</v>
      </c>
      <c r="BA168" s="87" t="n">
        <f aca="false">INDEX(in_cus_mfn,1,C168)+L168</f>
        <v>0.125</v>
      </c>
      <c r="BB168" s="88" t="n">
        <f aca="false">AY168*BA168</f>
        <v>1415.58328975193</v>
      </c>
      <c r="BC168" s="88" t="n">
        <f aca="false">MIN(MAX(AY168*INDEX(in_cus_mpf_rate,1,C168),INDEX(in_cus_mpf_min,1,C168)),INDEX(in_cus_mpf_max,1,C168))</f>
        <v>39.2286441256054</v>
      </c>
      <c r="BD168" s="88" t="n">
        <f aca="false">AY168*INDEX(in_cus_hmf,1,C168)</f>
        <v>14.1558328975193</v>
      </c>
      <c r="BE168" s="88" t="n">
        <f aca="false">MAX(INDEX(in_cus_stb_min,1,C168),INDEX(in_cus_stb_rate,1,C168)/1000*(AY168+BB168+BC168+BD168))</f>
        <v>76.7618045087428</v>
      </c>
      <c r="BF168" s="88" t="n">
        <f aca="false">INDEX(in_cus_broker,1,C168)+INDEX(in_cus_isf,1,C168)+INDEX(in_cus_do_fee,1,C168)+BE168+INDEX(in_cus_isf_bond,1,C168)</f>
        <v>511.761804508743</v>
      </c>
      <c r="BG168" s="88" t="n">
        <f aca="false">IF(H168=1,INDEX(in_cus_cfc,1,C168)*INDEX(ct_teu,F168)*G168*(1-INDEX(in_cus_cfc_in_freight,1,C168)),0)</f>
        <v>29.6</v>
      </c>
      <c r="BH168" s="88" t="n">
        <f aca="false">IF(F168=4,1,G168)*(INDEX(in_cus_exam,1,C168)+INDEX(in_cus_exam_dray,1,C168))</f>
        <v>0</v>
      </c>
      <c r="BI168" s="88" t="n">
        <f aca="false">IF(F168=4,1,G168)*INDEX(in_cus_dem_days,1,C168)*INDEX(in_cus_dem_rate,1,C168)</f>
        <v>0</v>
      </c>
      <c r="BJ168" s="88" t="n">
        <f aca="false">BG168+BH168+BI168</f>
        <v>29.6</v>
      </c>
      <c r="BK168" s="88" t="n">
        <f aca="false">IF(F168=4,(INDEX(in_dra_lcl_cfs_d,1,C168)+INDEX(in_dra_lcl_deliv,1,C168))*P168,G168*(INDEX(tbl_dest_line,E168,C168)*P168*(1+INDEX(in_dra_fsc,1,C168))+INDEX(tbl_dest_tolls,E168,C168)+INDEX(in_dra_chassis_days,1,C168)*INDEX(tbl_dest_chassis,E168,C168)*(1-INDEX(in_dra_chassis_in_dray,1,C168))+INDEX(in_dra_wait_hours,1,C168)*INDEX(in_dra_wait_rate,1,C168)+INDEX(in_dra_split,1,C168)+INDEX(in_dra_prepull,1,C168)+INDEX(in_dra_dryrun,1,C168)))</f>
        <v>1450</v>
      </c>
      <c r="BL168" s="88" t="n">
        <f aca="false">IF(F168=4,0,G168*IF(F168=1,INDEX(in_dra_unload_20,1,C168),INDEX(in_dra_unload_40,1,C168))*Q168*(1-INDEX(in_dra_unload_in_dray,1,C168)))</f>
        <v>450</v>
      </c>
      <c r="BM168" s="88" t="n">
        <f aca="false">AL168+AN168+AO168+AR168+AU168+AZ168+BB168+BC168+BD168+BF168+BJ168+BK168+BL168</f>
        <v>20717.9130770479</v>
      </c>
      <c r="BN168" s="88" t="n">
        <f aca="false">AP168+AU168+BJ168+BK168+BL168</f>
        <v>6519.8781251658</v>
      </c>
      <c r="BO168" s="88" t="n">
        <f aca="false">AQ168+BF168</f>
        <v>1329.40086709164</v>
      </c>
      <c r="BP168" s="88" t="n">
        <f aca="false">AI168*(1+IF(K168=3,INDEX(in_sup_vat_rate,1,C168),0))+AO168*Y168/AB168+AV168*BA168+(BC168+BD168)*AV168/AY168+AZ168*AI168/AL168+BN168*AC168/AF168+BO168*Y168/AB168</f>
        <v>7247.18391072145</v>
      </c>
      <c r="BQ168" s="88" t="n">
        <f aca="false">AJ168*(1+IF(K168=3,INDEX(in_sup_vat_rate,1,C168),0))+AO168*Z168/AB168+AW168*BA168+(BC168+BD168)*AW168/AY168+AZ168*AJ168/AL168+BN168*AD168/AF168+BO168*Z168/AB168</f>
        <v>7470.63123753587</v>
      </c>
      <c r="BR168" s="88" t="n">
        <f aca="false">AK168*(1+IF(K168=3,INDEX(in_sup_vat_rate,1,C168),0))+AO168*AA168/AB168+AX168*BA168+(BC168+BD168)*AX168/AY168+AZ168*AK168/AL168+BN168*AE168/AF168+BO168*AA168/AB168</f>
        <v>6000.09792879059</v>
      </c>
      <c r="BS168" s="89" t="n">
        <f aca="false">BP168+BQ168+BR168-BM168</f>
        <v>0</v>
      </c>
      <c r="BT168" s="85" t="n">
        <f aca="false">Y168*(1-R168)</f>
        <v>25413</v>
      </c>
      <c r="BU168" s="85" t="n">
        <f aca="false">Z168*(1-R168)</f>
        <v>25413</v>
      </c>
      <c r="BV168" s="85" t="n">
        <f aca="false">AA168*(1-R168)</f>
        <v>25413</v>
      </c>
      <c r="BW168" s="85" t="n">
        <f aca="false">BT168+BU168+BV168</f>
        <v>76239</v>
      </c>
      <c r="BX168" s="90" t="n">
        <f aca="false">IF(BT168&gt;0,BP168/BT168,0)</f>
        <v>0.285176244863709</v>
      </c>
      <c r="BY168" s="90" t="n">
        <f aca="false">IF(BU168&gt;0,BQ168/BU168,0)</f>
        <v>0.293968883545267</v>
      </c>
      <c r="BZ168" s="90" t="n">
        <f aca="false">IF(BV168&gt;0,BR168/BV168,0)</f>
        <v>0.236103487537504</v>
      </c>
      <c r="CA168" s="90" t="n">
        <f aca="false">INDEX(in_mkt_listing_3464,1,C168)*(1-IF(sku_flute_3464="B",T168,0))*(1-S168)*N168</f>
        <v>0.234</v>
      </c>
      <c r="CB168" s="90" t="n">
        <f aca="false">INDEX(in_mkt_listing_3463,1,C168)*(1-IF(sku_flute_3463="B",T168,0))*(1-S168)*N168</f>
        <v>0.27</v>
      </c>
      <c r="CC168" s="90" t="n">
        <f aca="false">INDEX(in_mkt_listing_3460,1,C168)*(1-IF(sku_flute_3460="B",T168,0))*(1-S168)*N168</f>
        <v>0.225</v>
      </c>
      <c r="CD168" s="88" t="n">
        <f aca="false">BT168*CA168+BU168*CB168+BV168*CC168</f>
        <v>18526.077</v>
      </c>
      <c r="CE168" s="88" t="n">
        <f aca="false">CD168-BM168</f>
        <v>-2191.83607704791</v>
      </c>
      <c r="CF168" s="87" t="n">
        <f aca="false">IF(CD168&gt;0,CE168/CD168,0)</f>
        <v>-0.118310858637147</v>
      </c>
      <c r="CG168" s="87" t="n">
        <f aca="false">W168+INDEX(in_sel_processing,1,C168)+INDEX(in_sel_bad_debt,1,C168)</f>
        <v>0.058</v>
      </c>
      <c r="CH168" s="88" t="n">
        <f aca="false">CD168*CG168</f>
        <v>1074.512466</v>
      </c>
      <c r="CI168" s="88" t="n">
        <f aca="false">INDEX(in_sel_testing,1,C168)*X168+INDEX(in_sel_admin,1,C168)</f>
        <v>3000</v>
      </c>
      <c r="CJ168" s="79" t="n">
        <f aca="false">INDEX(in_sup_lead_days,1,C168)</f>
        <v>21</v>
      </c>
      <c r="CK168" s="79" t="n">
        <f aca="false">CJ168+INDEX(in_oce_transit,1,C168)+IF(F168=4,INDEX(in_oce_lcl_extra_days,1,C168),0)</f>
        <v>51</v>
      </c>
      <c r="CL168" s="79" t="n">
        <f aca="false">CK168+2+INDEX(in_cus_dem_days,1,C168)</f>
        <v>53</v>
      </c>
      <c r="CM168" s="79" t="n">
        <f aca="false">CL168+U168</f>
        <v>98</v>
      </c>
      <c r="CN168" s="79" t="n">
        <f aca="false">CJ168+INDEX(in_sup_vat_lag,1,C168)</f>
        <v>81</v>
      </c>
      <c r="CO168" s="91" t="n">
        <f aca="false">INDEX(in_sup_advance,1,C168)</f>
        <v>0.5</v>
      </c>
      <c r="CP168" s="88" t="n">
        <f aca="false">CO168*(AL168+AM168)+AO168+INDEX(in_sel_testing,1,C168)*X168</f>
        <v>8955.05980126879</v>
      </c>
      <c r="CQ168" s="88" t="n">
        <f aca="false">(1-CO168)*(AL168+AM168)+AR168+AU168+AZ168</f>
        <v>11937.9769890175</v>
      </c>
      <c r="CR168" s="88" t="n">
        <f aca="false">BB168+BC168+BD168+BF168+BJ168</f>
        <v>2010.32957128379</v>
      </c>
      <c r="CS168" s="88" t="n">
        <f aca="false">BK168+BL168</f>
        <v>1900</v>
      </c>
      <c r="CT168" s="88" t="n">
        <f aca="false">IF(K168=2,AM168,0)</f>
        <v>1585.45328452216</v>
      </c>
      <c r="CU168" s="85" t="n">
        <f aca="false">IF(K168=2,CO168*AM168*(CN168-0)+(1-CO168)*AM168*(CN168-CJ168),0)</f>
        <v>111774.456558812</v>
      </c>
      <c r="CV168" s="85" t="n">
        <f aca="false">(CP168-CO168*CT168)*(CM168-0)+(CQ168-(1-CO168)*CT168)*(CM168-CJ168)+CR168*(CM168-CK168)+CS168*(CM168-CL168)</f>
        <v>1838078.41613334</v>
      </c>
      <c r="CW168" s="88" t="n">
        <f aca="false">INDEX(in_sel_fin_rate,1,C168)/365*(CU168+CV168)</f>
        <v>534.206266491</v>
      </c>
      <c r="CX168" s="85" t="n">
        <f aca="false">CP168-IF(CN168&lt;=0,CT168,0)</f>
        <v>8955.05980126879</v>
      </c>
      <c r="CY168" s="85" t="n">
        <f aca="false">CP168+CQ168-IF(CN168&lt;=CJ168,CT168,0)</f>
        <v>20893.0367902863</v>
      </c>
      <c r="CZ168" s="85" t="n">
        <f aca="false">CP168+CQ168+CR168-IF(CN168&lt;=CK168,CT168,0)</f>
        <v>22903.3663615701</v>
      </c>
      <c r="DA168" s="85" t="n">
        <f aca="false">CP168+CQ168+CR168+CS168-IF(CN168&lt;=CL168,CT168,0)</f>
        <v>24803.3663615701</v>
      </c>
      <c r="DB168" s="88" t="n">
        <f aca="false">MAX(CX168,CY168,CZ168,DA168)</f>
        <v>24803.3663615701</v>
      </c>
      <c r="DC168" s="88" t="n">
        <f aca="false">CP168+CQ168+CR168+CS168</f>
        <v>24803.3663615701</v>
      </c>
      <c r="DD168" s="88" t="n">
        <f aca="false">CE168-CH168-CI168-CW168</f>
        <v>-6800.55480953891</v>
      </c>
      <c r="DE168" s="87" t="n">
        <f aca="false">IF(CD168&gt;0,DD168/CD168,0)</f>
        <v>-0.367080133022167</v>
      </c>
      <c r="DF168" s="86" t="n">
        <f aca="false">IF(CD168&gt;0,(BM168+CI168+CW168)/(CD168*(1-CG168)),0)</f>
        <v>1.38968166987491</v>
      </c>
      <c r="DG168" s="90" t="n">
        <f aca="false">IF(BW168&gt;0,BM168/BW168,0)</f>
        <v>0.271749538648827</v>
      </c>
      <c r="DH168" s="90" t="n">
        <f aca="false">IF(BW168&gt;0,CD168/BW168,0)</f>
        <v>0.243</v>
      </c>
      <c r="DI168" s="90" t="n">
        <f aca="false">IF(AI168&gt;0,(AI168*IF(K168=3,INDEX(in_sup_vat_rate,1,C168),0)+AV168*BA168+(BC168+BD168)*AV168/AY168+AZ168*AI168/AL168)/AI168,0)</f>
        <v>0.136336711689146</v>
      </c>
      <c r="DJ168" s="90" t="n">
        <f aca="false">IF(AJ168&gt;0,(AJ168*IF(K168=3,INDEX(in_sup_vat_rate,1,C168),0)+AW168*BA168+(BC168+BD168)*AW168/AY168+AZ168*AJ168/AL168)/AJ168,0)</f>
        <v>0.136336711689146</v>
      </c>
      <c r="DK168" s="90" t="n">
        <f aca="false">IF(AK168&gt;0,(AK168*IF(K168=3,INDEX(in_sup_vat_rate,1,C168),0)+AX168*BA168+(BC168+BD168)*AX168/AY168+AZ168*AK168/AL168)/AK168,0)</f>
        <v>0.136336711689146</v>
      </c>
      <c r="DL168" s="90" t="n">
        <f aca="false">IF(Y168&gt;0,(BP168-AI168*(1+DI168))/Y168,0)</f>
        <v>0.100785050911459</v>
      </c>
      <c r="DM168" s="90" t="n">
        <f aca="false">IF(Z168&gt;0,(BQ168-AJ168*(1+DJ168))/Z168,0)</f>
        <v>0.119458089418636</v>
      </c>
      <c r="DN168" s="90" t="n">
        <f aca="false">IF(AA168&gt;0,(BR168-AK168*(1+DK168))/AA168,0)</f>
        <v>0.0839924795248443</v>
      </c>
      <c r="DO168" s="86" t="n">
        <f aca="false">IF(Y168&gt;0,(CA168*(1-thr_gm_go)*(1-R168)-DL168)/(1+DI168)*I168/((1+AH168)*J168),"")</f>
        <v>3.34771973397139</v>
      </c>
      <c r="DP168" s="86" t="n">
        <f aca="false">IF(Z168&gt;0,(CB168*(1-thr_gm_go)*(1-R168)-DM168)/(1+DJ168)*I168/((1+AH168)*J168),"")</f>
        <v>3.71563879272466</v>
      </c>
      <c r="DQ168" s="86" t="n">
        <f aca="false">IF(AA168&gt;0,(CC168*(1-thr_gm_go)*(1-R168)-DN168)/(1+DK168)*I168/((1+AH168)*J168),"")</f>
        <v>3.8188284638113</v>
      </c>
      <c r="DR168" s="92" t="n">
        <f aca="false">IF(AND(AY168*INDEX(in_cus_mpf_rate,1,C168)&gt;INDEX(in_cus_mpf_min,1,C168),AY168*INDEX(in_cus_mpf_rate,1,C168)&lt;INDEX(in_cus_mpf_max,1,C168)),INDEX(in_cus_mpf_rate,1,C168),0)</f>
        <v>0.003464</v>
      </c>
      <c r="DS168" s="88" t="n">
        <f aca="false">IF(AZ168&gt;INDEX(in_oce_ins_min,1,C168),INDEX(in_oce_ins_rate,1,C168)*(1+INDEX(in_oce_ins_uplift,1,C168))*AL168,0)</f>
        <v>0</v>
      </c>
      <c r="DT168" s="88" t="n">
        <f aca="false">(AL168+AN168)*(1+BA168+INDEX(in_cus_hmf,1,C168)+DR168)+DS168</f>
        <v>12793.6340847905</v>
      </c>
      <c r="DU168" s="86" t="n">
        <f aca="false">IF(DT168&gt;0,(CD168*(1-thr_gm_go)-(BM168-DT168))/DT168,0)</f>
        <v>0.466660115349105</v>
      </c>
      <c r="DV168" s="86" t="n">
        <f aca="false">IF(DT168&gt;0,(CD168-(BM168-DT168))/DT168,0)</f>
        <v>0.828677601491382</v>
      </c>
      <c r="DW168" s="87" t="n">
        <f aca="false">(1+AH168)*J168*DU168-1</f>
        <v>-0.533339884650895</v>
      </c>
      <c r="DX168" s="87" t="n">
        <f aca="false">(1+AH168)*J168*DV168-1</f>
        <v>-0.171322398508618</v>
      </c>
      <c r="DY168" s="85" t="n">
        <f aca="false">IF(G168&gt;0,(CD168*(1-thr_gm_go)-(BM168-AT168))/G168,"")</f>
        <v>-2823.35532704791</v>
      </c>
      <c r="DZ168" s="90" t="n">
        <f aca="false">IF(AB168&gt;0,(AL168+AN168+BB168+BC168+BD168)/AB168,0)</f>
        <v>0.165292430036053</v>
      </c>
      <c r="EA168" s="88" t="n">
        <f aca="false">BM168-DZ168*AB168</f>
        <v>7924.27899225744</v>
      </c>
      <c r="EB168" s="90" t="n">
        <f aca="false">IF(AB168&gt;0,CD168/AB168,0)</f>
        <v>0.239355</v>
      </c>
      <c r="EC168" s="85" t="n">
        <f aca="false">IF(EB168*(1-thr_gm_go)-DZ168&gt;0,EA168/(EB168*(1-thr_gm_go)-DZ168),"n/a")</f>
        <v>557113.279860319</v>
      </c>
      <c r="ED168" s="85" t="n">
        <f aca="false">IF(EB168-DZ168&gt;0,EA168/(EB168-DZ168),"n/a")</f>
        <v>106994.383210235</v>
      </c>
      <c r="EE168" s="93" t="b">
        <f aca="false">INDEX(cfg_fits,D168,C168)</f>
        <v>1</v>
      </c>
      <c r="EF168" s="87" t="n">
        <f aca="false">IF(F168=4,"",INDEX(cfg_lenutil,D168,C168))</f>
        <v>0.999580888516345</v>
      </c>
      <c r="EG168" s="31" t="str">
        <f aca="false">IF(O168&gt;1,"Check fit (units scaled up)","")</f>
        <v/>
      </c>
    </row>
    <row r="169" customFormat="false" ht="15" hidden="false" customHeight="false" outlineLevel="0" collapsed="false">
      <c r="A169" s="78" t="n">
        <v>900015</v>
      </c>
      <c r="B169" s="9" t="s">
        <v>3317</v>
      </c>
      <c r="C169" s="10" t="n">
        <f aca="false">sel_scen</f>
        <v>2</v>
      </c>
      <c r="D169" s="10" t="n">
        <f aca="false">sel_cfg</f>
        <v>4</v>
      </c>
      <c r="E169" s="10" t="n">
        <f aca="false">sel_dest</f>
        <v>1</v>
      </c>
      <c r="F169" s="79" t="n">
        <f aca="false">INDEX(cfg_ct,D169)</f>
        <v>3</v>
      </c>
      <c r="G169" s="79" t="n">
        <f aca="false">INDEX(cfg_n,D169)</f>
        <v>1</v>
      </c>
      <c r="H169" s="79" t="n">
        <f aca="false">INDEX(dest_port,E169)</f>
        <v>1</v>
      </c>
      <c r="I169" s="80" t="n">
        <f aca="false">INDEX(in_fx_cbe,1,C169)*(1-INDEX(in_fx_spread,1,C169))</f>
        <v>52.7748</v>
      </c>
      <c r="J169" s="81" t="n">
        <f aca="false">1</f>
        <v>1</v>
      </c>
      <c r="K169" s="82" t="n">
        <f aca="false">INDEX(in_sup_vat_mode,1,C169)</f>
        <v>2</v>
      </c>
      <c r="L169" s="83" t="n">
        <f aca="false">INDEX(in_cus_s301,1,C169)</f>
        <v>0.125</v>
      </c>
      <c r="M169" s="84" t="n">
        <f aca="false">1</f>
        <v>1</v>
      </c>
      <c r="N169" s="81" t="n">
        <f aca="false">1</f>
        <v>1</v>
      </c>
      <c r="O169" s="81" t="n">
        <f aca="false">1</f>
        <v>1</v>
      </c>
      <c r="P169" s="81" t="n">
        <f aca="false">1</f>
        <v>1</v>
      </c>
      <c r="Q169" s="95" t="n">
        <v>0</v>
      </c>
      <c r="R169" s="83" t="n">
        <f aca="false">INDEX(in_sel_damage,1,C169)</f>
        <v>0.015</v>
      </c>
      <c r="S169" s="83" t="n">
        <f aca="false">INDEX(in_mkt_dist_margin,1,C169)</f>
        <v>0.25</v>
      </c>
      <c r="T169" s="83" t="n">
        <f aca="false">INDEX(in_mkt_eflute_disc,1,C169)</f>
        <v>0.2</v>
      </c>
      <c r="U169" s="82" t="n">
        <f aca="false">INDEX(in_sel_credit_days,1,C169)</f>
        <v>45</v>
      </c>
      <c r="V169" s="81" t="n">
        <f aca="false">1</f>
        <v>1</v>
      </c>
      <c r="W169" s="83" t="n">
        <f aca="false">INDEX(in_sel_commission,1,C169)</f>
        <v>0.05</v>
      </c>
      <c r="X169" s="82" t="n">
        <f aca="false">1</f>
        <v>1</v>
      </c>
      <c r="Y169" s="85" t="n">
        <f aca="false">INDEX(cfg_u_3464,D169,C169)*O169</f>
        <v>25800</v>
      </c>
      <c r="Z169" s="85" t="n">
        <f aca="false">INDEX(cfg_u_3463,D169,C169)*O169</f>
        <v>25800</v>
      </c>
      <c r="AA169" s="85" t="n">
        <f aca="false">INDEX(cfg_u_3460,D169,C169)*O169</f>
        <v>25800</v>
      </c>
      <c r="AB169" s="85" t="n">
        <f aca="false">Y169+Z169+AA169</f>
        <v>77400</v>
      </c>
      <c r="AC169" s="86" t="n">
        <f aca="false">Y169*INDEX(lg_vpu_3464,C169)</f>
        <v>18.3539136</v>
      </c>
      <c r="AD169" s="86" t="n">
        <f aca="false">Z169*INDEX(lg_vpu_3463,C169)</f>
        <v>22.4530176</v>
      </c>
      <c r="AE169" s="86" t="n">
        <f aca="false">AA169*INDEX(lg_vpu_3460,C169)</f>
        <v>14.6676096</v>
      </c>
      <c r="AF169" s="86" t="n">
        <f aca="false">AC169+AD169+AE169</f>
        <v>55.4745408</v>
      </c>
      <c r="AG169" s="85" t="n">
        <f aca="false">Y169*INDEX(lg_kpu_3464,C169)+Z169*INDEX(lg_kpu_3463,C169)+AA169*INDEX(lg_kpu_3460,C169)</f>
        <v>13341.3537888</v>
      </c>
      <c r="AH169" s="87" t="n">
        <f aca="false">INDEX(in_sup_requote,1,C169)</f>
        <v>0</v>
      </c>
      <c r="AI169" s="88" t="n">
        <f aca="false">Y169*q_price_3464*(1+AH169)*J169/I169</f>
        <v>4089.39493849337</v>
      </c>
      <c r="AJ169" s="88" t="n">
        <f aca="false">Z169*q_price_3463*(1+AH169)*J169/I169</f>
        <v>3862.07053366379</v>
      </c>
      <c r="AK169" s="88" t="n">
        <f aca="false">AA169*q_price_3460*(1+AH169)*J169/I169</f>
        <v>3373.20084585825</v>
      </c>
      <c r="AL169" s="88" t="n">
        <f aca="false">AI169+AJ169+AK169</f>
        <v>11324.6663180154</v>
      </c>
      <c r="AM169" s="88" t="n">
        <f aca="false">IF(OR(K169=2,K169=3),AL169*INDEX(in_sup_vat_rate,1,C169),0)</f>
        <v>1585.45328452216</v>
      </c>
      <c r="AN169" s="88" t="n">
        <f aca="false">IF(K169=3,AM169,0)</f>
        <v>0</v>
      </c>
      <c r="AO169" s="88" t="n">
        <f aca="false">INDEX(in_sup_tooling_egp,1,C169)/I169</f>
        <v>0</v>
      </c>
      <c r="AP169" s="88" t="n">
        <f aca="false">IF(F169=4,INDEX(in_ori_lcl_truck,1,C169)*V169/I169+INDEX(in_ori_lcl_cfs_o,1,C169),G169*(IF(F169=1,INDEX(in_ori_truck_20,1,C169),INDEX(in_ori_truck_40,1,C169))*V169/I169+INDEX(in_ori_terminal,1,C169)+IF(F169=1,INDEX(in_ori_othc_20,1,C169),INDEX(in_ori_othc_40,1,C169))*(1-INDEX(in_ori_othc_in_freight,1,C169))+INDEX(in_ori_seal,1,C169)+INDEX(in_ori_inspection,1,C169)+INDEX(in_ori_dd_days,1,C169)*IF(F169=1,INDEX(in_ori_dd_20,1,C169),INDEX(in_ori_dd_40,1,C169))+INDEX(in_ori_loading_egp,1,C169)/I169))</f>
        <v>555.278125165799</v>
      </c>
      <c r="AQ169" s="88" t="n">
        <f aca="false">(INDEX(in_ori_clearance,1,C169)+INDEX(in_ori_coo,1,C169))/I169+INDEX(in_ori_bl_fee,1,C169)+INDEX(in_ori_fwd_fee,1,C169)+INDEX(in_ori_qc,1,C169)+INDEX(in_ori_wires,1,C169)*INDEX(in_ori_wire_fee,1,C169)</f>
        <v>817.639062582899</v>
      </c>
      <c r="AR169" s="88" t="n">
        <f aca="false">AP169+AQ169</f>
        <v>1372.9171877487</v>
      </c>
      <c r="AS169" s="85" t="n">
        <f aca="false">INDEX(tbl_port_diff,H169,C169)</f>
        <v>0</v>
      </c>
      <c r="AT169" s="88" t="n">
        <f aca="false">IF(F169=4,MAX(AF169*INDEX(in_oce_lcl_factor,1,C169),AG169/1000,1)*INDEX(in_oce_lcl_rate,1,C169)*M169,G169*(INDEX(tbl_ocean_rate,MIN(F169,3),C169)+AS169)*M169)</f>
        <v>4000</v>
      </c>
      <c r="AU169" s="88" t="n">
        <f aca="false">AT169+INDEX(in_oce_ams,1,C169)</f>
        <v>4035</v>
      </c>
      <c r="AV169" s="88" t="n">
        <f aca="false">AI169*(1+IF(K169=3,INDEX(in_sup_vat_rate,1,C169),0))+AO169*Y169/AB169</f>
        <v>4089.39493849337</v>
      </c>
      <c r="AW169" s="88" t="n">
        <f aca="false">AJ169*(1+IF(K169=3,INDEX(in_sup_vat_rate,1,C169),0))+AO169*Z169/AB169</f>
        <v>3862.07053366379</v>
      </c>
      <c r="AX169" s="88" t="n">
        <f aca="false">AK169*(1+IF(K169=3,INDEX(in_sup_vat_rate,1,C169),0))+AO169*AA169/AB169</f>
        <v>3373.20084585825</v>
      </c>
      <c r="AY169" s="88" t="n">
        <f aca="false">AV169+AW169+AX169</f>
        <v>11324.6663180154</v>
      </c>
      <c r="AZ169" s="88" t="n">
        <f aca="false">MAX(INDEX(in_oce_ins_min,1,C169),INDEX(in_oce_ins_rate,1,C169)*(1+INDEX(in_oce_ins_uplift,1,C169))*(AL169+AO169+AR169+AU169))*(1-INDEX(in_oce_ins_in_other,1,C169))</f>
        <v>75</v>
      </c>
      <c r="BA169" s="87" t="n">
        <f aca="false">INDEX(in_cus_mfn,1,C169)+L169</f>
        <v>0.125</v>
      </c>
      <c r="BB169" s="88" t="n">
        <f aca="false">AY169*BA169</f>
        <v>1415.58328975193</v>
      </c>
      <c r="BC169" s="88" t="n">
        <f aca="false">MIN(MAX(AY169*INDEX(in_cus_mpf_rate,1,C169),INDEX(in_cus_mpf_min,1,C169)),INDEX(in_cus_mpf_max,1,C169))</f>
        <v>39.2286441256054</v>
      </c>
      <c r="BD169" s="88" t="n">
        <f aca="false">AY169*INDEX(in_cus_hmf,1,C169)</f>
        <v>14.1558328975193</v>
      </c>
      <c r="BE169" s="88" t="n">
        <f aca="false">MAX(INDEX(in_cus_stb_min,1,C169),INDEX(in_cus_stb_rate,1,C169)/1000*(AY169+BB169+BC169+BD169))</f>
        <v>76.7618045087428</v>
      </c>
      <c r="BF169" s="88" t="n">
        <f aca="false">INDEX(in_cus_broker,1,C169)+INDEX(in_cus_isf,1,C169)+INDEX(in_cus_do_fee,1,C169)+BE169+INDEX(in_cus_isf_bond,1,C169)</f>
        <v>511.761804508743</v>
      </c>
      <c r="BG169" s="88" t="n">
        <f aca="false">IF(H169=1,INDEX(in_cus_cfc,1,C169)*INDEX(ct_teu,F169)*G169*(1-INDEX(in_cus_cfc_in_freight,1,C169)),0)</f>
        <v>29.6</v>
      </c>
      <c r="BH169" s="88" t="n">
        <f aca="false">IF(F169=4,1,G169)*(INDEX(in_cus_exam,1,C169)+INDEX(in_cus_exam_dray,1,C169))</f>
        <v>0</v>
      </c>
      <c r="BI169" s="88" t="n">
        <f aca="false">IF(F169=4,1,G169)*INDEX(in_cus_dem_days,1,C169)*INDEX(in_cus_dem_rate,1,C169)</f>
        <v>0</v>
      </c>
      <c r="BJ169" s="88" t="n">
        <f aca="false">BG169+BH169+BI169</f>
        <v>29.6</v>
      </c>
      <c r="BK169" s="88" t="n">
        <f aca="false">IF(F169=4,(INDEX(in_dra_lcl_cfs_d,1,C169)+INDEX(in_dra_lcl_deliv,1,C169))*P169,G169*(INDEX(tbl_dest_line,E169,C169)*P169*(1+INDEX(in_dra_fsc,1,C169))+INDEX(tbl_dest_tolls,E169,C169)+INDEX(in_dra_chassis_days,1,C169)*INDEX(tbl_dest_chassis,E169,C169)*(1-INDEX(in_dra_chassis_in_dray,1,C169))+INDEX(in_dra_wait_hours,1,C169)*INDEX(in_dra_wait_rate,1,C169)+INDEX(in_dra_split,1,C169)+INDEX(in_dra_prepull,1,C169)+INDEX(in_dra_dryrun,1,C169)))</f>
        <v>1060</v>
      </c>
      <c r="BL169" s="88" t="n">
        <f aca="false">IF(F169=4,0,G169*IF(F169=1,INDEX(in_dra_unload_20,1,C169),INDEX(in_dra_unload_40,1,C169))*Q169*(1-INDEX(in_dra_unload_in_dray,1,C169)))</f>
        <v>0</v>
      </c>
      <c r="BM169" s="88" t="n">
        <f aca="false">AL169+AN169+AO169+AR169+AU169+AZ169+BB169+BC169+BD169+BF169+BJ169+BK169+BL169</f>
        <v>19877.9130770479</v>
      </c>
      <c r="BN169" s="88" t="n">
        <f aca="false">AP169+AU169+BJ169+BK169+BL169</f>
        <v>5679.8781251658</v>
      </c>
      <c r="BO169" s="88" t="n">
        <f aca="false">AQ169+BF169</f>
        <v>1329.40086709164</v>
      </c>
      <c r="BP169" s="88" t="n">
        <f aca="false">AI169*(1+IF(K169=3,INDEX(in_sup_vat_rate,1,C169),0))+AO169*Y169/AB169+AV169*BA169+(BC169+BD169)*AV169/AY169+AZ169*AI169/AL169+BN169*AC169/AF169+BO169*Y169/AB169</f>
        <v>6969.26746109128</v>
      </c>
      <c r="BQ169" s="88" t="n">
        <f aca="false">AJ169*(1+IF(K169=3,INDEX(in_sup_vat_rate,1,C169),0))+AO169*Z169/AB169+AW169*BA169+(BC169+BD169)*AW169/AY169+AZ169*AJ169/AL169+BN169*AD169/AF169+BO169*Z169/AB169</f>
        <v>7130.64582238846</v>
      </c>
      <c r="BR169" s="88" t="n">
        <f aca="false">AK169*(1+IF(K169=3,INDEX(in_sup_vat_rate,1,C169),0))+AO169*AA169/AB169+AX169*BA169+(BC169+BD169)*AX169/AY169+AZ169*AK169/AL169+BN169*AE169/AF169+BO169*AA169/AB169</f>
        <v>5777.99979356817</v>
      </c>
      <c r="BS169" s="89" t="n">
        <f aca="false">BP169+BQ169+BR169-BM169</f>
        <v>0</v>
      </c>
      <c r="BT169" s="85" t="n">
        <f aca="false">Y169*(1-R169)</f>
        <v>25413</v>
      </c>
      <c r="BU169" s="85" t="n">
        <f aca="false">Z169*(1-R169)</f>
        <v>25413</v>
      </c>
      <c r="BV169" s="85" t="n">
        <f aca="false">AA169*(1-R169)</f>
        <v>25413</v>
      </c>
      <c r="BW169" s="85" t="n">
        <f aca="false">BT169+BU169+BV169</f>
        <v>76239</v>
      </c>
      <c r="BX169" s="90" t="n">
        <f aca="false">IF(BT169&gt;0,BP169/BT169,0)</f>
        <v>0.274240249521555</v>
      </c>
      <c r="BY169" s="90" t="n">
        <f aca="false">IF(BU169&gt;0,BQ169/BU169,0)</f>
        <v>0.280590478195745</v>
      </c>
      <c r="BZ169" s="90" t="n">
        <f aca="false">IF(BV169&gt;0,BR169/BV169,0)</f>
        <v>0.227363939462801</v>
      </c>
      <c r="CA169" s="90" t="n">
        <f aca="false">INDEX(in_mkt_listing_3464,1,C169)*(1-IF(sku_flute_3464="B",T169,0))*(1-S169)*N169</f>
        <v>0.234</v>
      </c>
      <c r="CB169" s="90" t="n">
        <f aca="false">INDEX(in_mkt_listing_3463,1,C169)*(1-IF(sku_flute_3463="B",T169,0))*(1-S169)*N169</f>
        <v>0.27</v>
      </c>
      <c r="CC169" s="90" t="n">
        <f aca="false">INDEX(in_mkt_listing_3460,1,C169)*(1-IF(sku_flute_3460="B",T169,0))*(1-S169)*N169</f>
        <v>0.225</v>
      </c>
      <c r="CD169" s="88" t="n">
        <f aca="false">BT169*CA169+BU169*CB169+BV169*CC169</f>
        <v>18526.077</v>
      </c>
      <c r="CE169" s="88" t="n">
        <f aca="false">CD169-BM169</f>
        <v>-1351.83607704791</v>
      </c>
      <c r="CF169" s="87" t="n">
        <f aca="false">IF(CD169&gt;0,CE169/CD169,0)</f>
        <v>-0.0729693651304541</v>
      </c>
      <c r="CG169" s="87" t="n">
        <f aca="false">W169+INDEX(in_sel_processing,1,C169)+INDEX(in_sel_bad_debt,1,C169)</f>
        <v>0.058</v>
      </c>
      <c r="CH169" s="88" t="n">
        <f aca="false">CD169*CG169</f>
        <v>1074.512466</v>
      </c>
      <c r="CI169" s="88" t="n">
        <f aca="false">INDEX(in_sel_testing,1,C169)*X169+INDEX(in_sel_admin,1,C169)</f>
        <v>3000</v>
      </c>
      <c r="CJ169" s="79" t="n">
        <f aca="false">INDEX(in_sup_lead_days,1,C169)</f>
        <v>21</v>
      </c>
      <c r="CK169" s="79" t="n">
        <f aca="false">CJ169+INDEX(in_oce_transit,1,C169)+IF(F169=4,INDEX(in_oce_lcl_extra_days,1,C169),0)</f>
        <v>51</v>
      </c>
      <c r="CL169" s="79" t="n">
        <f aca="false">CK169+2+INDEX(in_cus_dem_days,1,C169)</f>
        <v>53</v>
      </c>
      <c r="CM169" s="79" t="n">
        <f aca="false">CL169+U169</f>
        <v>98</v>
      </c>
      <c r="CN169" s="79" t="n">
        <f aca="false">CJ169+INDEX(in_sup_vat_lag,1,C169)</f>
        <v>81</v>
      </c>
      <c r="CO169" s="91" t="n">
        <f aca="false">INDEX(in_sup_advance,1,C169)</f>
        <v>0.5</v>
      </c>
      <c r="CP169" s="88" t="n">
        <f aca="false">CO169*(AL169+AM169)+AO169+INDEX(in_sel_testing,1,C169)*X169</f>
        <v>8955.05980126879</v>
      </c>
      <c r="CQ169" s="88" t="n">
        <f aca="false">(1-CO169)*(AL169+AM169)+AR169+AU169+AZ169</f>
        <v>11937.9769890175</v>
      </c>
      <c r="CR169" s="88" t="n">
        <f aca="false">BB169+BC169+BD169+BF169+BJ169</f>
        <v>2010.32957128379</v>
      </c>
      <c r="CS169" s="88" t="n">
        <f aca="false">BK169+BL169</f>
        <v>1060</v>
      </c>
      <c r="CT169" s="88" t="n">
        <f aca="false">IF(K169=2,AM169,0)</f>
        <v>1585.45328452216</v>
      </c>
      <c r="CU169" s="85" t="n">
        <f aca="false">IF(K169=2,CO169*AM169*(CN169-0)+(1-CO169)*AM169*(CN169-CJ169),0)</f>
        <v>111774.456558812</v>
      </c>
      <c r="CV169" s="85" t="n">
        <f aca="false">(CP169-CO169*CT169)*(CM169-0)+(CQ169-(1-CO169)*CT169)*(CM169-CJ169)+CR169*(CM169-CK169)+CS169*(CM169-CL169)</f>
        <v>1800278.41613334</v>
      </c>
      <c r="CW169" s="88" t="n">
        <f aca="false">INDEX(in_sel_fin_rate,1,C169)/365*(CU169+CV169)</f>
        <v>523.850102107438</v>
      </c>
      <c r="CX169" s="85" t="n">
        <f aca="false">CP169-IF(CN169&lt;=0,CT169,0)</f>
        <v>8955.05980126879</v>
      </c>
      <c r="CY169" s="85" t="n">
        <f aca="false">CP169+CQ169-IF(CN169&lt;=CJ169,CT169,0)</f>
        <v>20893.0367902863</v>
      </c>
      <c r="CZ169" s="85" t="n">
        <f aca="false">CP169+CQ169+CR169-IF(CN169&lt;=CK169,CT169,0)</f>
        <v>22903.3663615701</v>
      </c>
      <c r="DA169" s="85" t="n">
        <f aca="false">CP169+CQ169+CR169+CS169-IF(CN169&lt;=CL169,CT169,0)</f>
        <v>23963.3663615701</v>
      </c>
      <c r="DB169" s="88" t="n">
        <f aca="false">MAX(CX169,CY169,CZ169,DA169)</f>
        <v>23963.3663615701</v>
      </c>
      <c r="DC169" s="88" t="n">
        <f aca="false">CP169+CQ169+CR169+CS169</f>
        <v>23963.3663615701</v>
      </c>
      <c r="DD169" s="88" t="n">
        <f aca="false">CE169-CH169-CI169-CW169</f>
        <v>-5950.19864515535</v>
      </c>
      <c r="DE169" s="87" t="n">
        <f aca="false">IF(CD169&gt;0,DD169/CD169,0)</f>
        <v>-0.321179634801008</v>
      </c>
      <c r="DF169" s="86" t="n">
        <f aca="false">IF(CD169&gt;0,(BM169+CI169+CW169)/(CD169*(1-CG169)),0)</f>
        <v>1.34095502632803</v>
      </c>
      <c r="DG169" s="90" t="n">
        <f aca="false">IF(BW169&gt;0,BM169/BW169,0)</f>
        <v>0.2607315557267</v>
      </c>
      <c r="DH169" s="90" t="n">
        <f aca="false">IF(BW169&gt;0,CD169/BW169,0)</f>
        <v>0.243</v>
      </c>
      <c r="DI169" s="90" t="n">
        <f aca="false">IF(AI169&gt;0,(AI169*IF(K169=3,INDEX(in_sup_vat_rate,1,C169),0)+AV169*BA169+(BC169+BD169)*AV169/AY169+AZ169*AI169/AL169)/AI169,0)</f>
        <v>0.136336711689146</v>
      </c>
      <c r="DJ169" s="90" t="n">
        <f aca="false">IF(AJ169&gt;0,(AJ169*IF(K169=3,INDEX(in_sup_vat_rate,1,C169),0)+AW169*BA169+(BC169+BD169)*AW169/AY169+AZ169*AJ169/AL169)/AJ169,0)</f>
        <v>0.136336711689146</v>
      </c>
      <c r="DK169" s="90" t="n">
        <f aca="false">IF(AK169&gt;0,(AK169*IF(K169=3,INDEX(in_sup_vat_rate,1,C169),0)+AX169*BA169+(BC169+BD169)*AX169/AY169+AZ169*AK169/AL169)/AK169,0)</f>
        <v>0.136336711689146</v>
      </c>
      <c r="DL169" s="90" t="n">
        <f aca="false">IF(Y169&gt;0,(BP169-AI169*(1+DI169))/Y169,0)</f>
        <v>0.0900130954994373</v>
      </c>
      <c r="DM169" s="90" t="n">
        <f aca="false">IF(Z169&gt;0,(BQ169-AJ169*(1+DJ169))/Z169,0)</f>
        <v>0.106280360149356</v>
      </c>
      <c r="DN169" s="90" t="n">
        <f aca="false">IF(AA169&gt;0,(BR169-AK169*(1+DK169))/AA169,0)</f>
        <v>0.0753840246712622</v>
      </c>
      <c r="DO169" s="86" t="n">
        <f aca="false">IF(Y169&gt;0,(CA169*(1-thr_gm_go)*(1-R169)-DL169)/(1+DI169)*I169/((1+AH169)*J169),"")</f>
        <v>3.84800084486971</v>
      </c>
      <c r="DP169" s="86" t="n">
        <f aca="false">IF(Z169&gt;0,(CB169*(1-thr_gm_go)*(1-R169)-DM169)/(1+DJ169)*I169/((1+AH169)*J169),"")</f>
        <v>4.32765107701194</v>
      </c>
      <c r="DQ169" s="86" t="n">
        <f aca="false">IF(AA169&gt;0,(CC169*(1-thr_gm_go)*(1-R169)-DN169)/(1+DK169)*I169/((1+AH169)*J169),"")</f>
        <v>4.21863028182306</v>
      </c>
      <c r="DR169" s="92" t="n">
        <f aca="false">IF(AND(AY169*INDEX(in_cus_mpf_rate,1,C169)&gt;INDEX(in_cus_mpf_min,1,C169),AY169*INDEX(in_cus_mpf_rate,1,C169)&lt;INDEX(in_cus_mpf_max,1,C169)),INDEX(in_cus_mpf_rate,1,C169),0)</f>
        <v>0.003464</v>
      </c>
      <c r="DS169" s="88" t="n">
        <f aca="false">IF(AZ169&gt;INDEX(in_oce_ins_min,1,C169),INDEX(in_oce_ins_rate,1,C169)*(1+INDEX(in_oce_ins_uplift,1,C169))*AL169,0)</f>
        <v>0</v>
      </c>
      <c r="DT169" s="88" t="n">
        <f aca="false">(AL169+AN169)*(1+BA169+INDEX(in_cus_hmf,1,C169)+DR169)+DS169</f>
        <v>12793.6340847905</v>
      </c>
      <c r="DU169" s="86" t="n">
        <f aca="false">IF(DT169&gt;0,(CD169*(1-thr_gm_go)-(BM169-DT169))/DT169,0)</f>
        <v>0.532317769338023</v>
      </c>
      <c r="DV169" s="86" t="n">
        <f aca="false">IF(DT169&gt;0,(CD169-(BM169-DT169))/DT169,0)</f>
        <v>0.8943352554803</v>
      </c>
      <c r="DW169" s="87" t="n">
        <f aca="false">(1+AH169)*J169*DU169-1</f>
        <v>-0.467682230661977</v>
      </c>
      <c r="DX169" s="87" t="n">
        <f aca="false">(1+AH169)*J169*DV169-1</f>
        <v>-0.1056647445197</v>
      </c>
      <c r="DY169" s="85" t="n">
        <f aca="false">IF(G169&gt;0,(CD169*(1-thr_gm_go)-(BM169-AT169))/G169,"")</f>
        <v>-1983.35532704791</v>
      </c>
      <c r="DZ169" s="90" t="n">
        <f aca="false">IF(AB169&gt;0,(AL169+AN169+BB169+BC169+BD169)/AB169,0)</f>
        <v>0.165292430036053</v>
      </c>
      <c r="EA169" s="88" t="n">
        <f aca="false">BM169-DZ169*AB169</f>
        <v>7084.27899225744</v>
      </c>
      <c r="EB169" s="90" t="n">
        <f aca="false">IF(AB169&gt;0,CD169/AB169,0)</f>
        <v>0.239355</v>
      </c>
      <c r="EC169" s="85" t="n">
        <f aca="false">IF(EB169*(1-thr_gm_go)-DZ169&gt;0,EA169/(EB169*(1-thr_gm_go)-DZ169),"n/a")</f>
        <v>498057.414268015</v>
      </c>
      <c r="ED169" s="85" t="n">
        <f aca="false">IF(EB169-DZ169&gt;0,EA169/(EB169-DZ169),"n/a")</f>
        <v>95652.6217724549</v>
      </c>
      <c r="EE169" s="93" t="b">
        <f aca="false">INDEX(cfg_fits,D169,C169)</f>
        <v>1</v>
      </c>
      <c r="EF169" s="87" t="n">
        <f aca="false">IF(F169=4,"",INDEX(cfg_lenutil,D169,C169))</f>
        <v>0.999580888516345</v>
      </c>
      <c r="EG169" s="31" t="str">
        <f aca="false">IF(O169&gt;1,"Check fit (units scaled up)","")</f>
        <v/>
      </c>
    </row>
    <row r="170" customFormat="false" ht="15" hidden="false" customHeight="false" outlineLevel="0" collapsed="false">
      <c r="A170" s="78" t="n">
        <v>900016</v>
      </c>
      <c r="B170" s="9" t="s">
        <v>3318</v>
      </c>
      <c r="C170" s="10" t="n">
        <f aca="false">sel_scen</f>
        <v>2</v>
      </c>
      <c r="D170" s="10" t="n">
        <f aca="false">sel_cfg</f>
        <v>4</v>
      </c>
      <c r="E170" s="10" t="n">
        <f aca="false">sel_dest</f>
        <v>1</v>
      </c>
      <c r="F170" s="79" t="n">
        <f aca="false">INDEX(cfg_ct,D170)</f>
        <v>3</v>
      </c>
      <c r="G170" s="79" t="n">
        <f aca="false">INDEX(cfg_n,D170)</f>
        <v>1</v>
      </c>
      <c r="H170" s="79" t="n">
        <f aca="false">INDEX(dest_port,E170)</f>
        <v>1</v>
      </c>
      <c r="I170" s="80" t="n">
        <f aca="false">INDEX(in_fx_cbe,1,C170)*(1-INDEX(in_fx_spread,1,C170))</f>
        <v>52.7748</v>
      </c>
      <c r="J170" s="81" t="n">
        <f aca="false">1</f>
        <v>1</v>
      </c>
      <c r="K170" s="82" t="n">
        <f aca="false">INDEX(in_sup_vat_mode,1,C170)</f>
        <v>2</v>
      </c>
      <c r="L170" s="83" t="n">
        <f aca="false">INDEX(in_cus_s301,1,C170)</f>
        <v>0.125</v>
      </c>
      <c r="M170" s="84" t="n">
        <f aca="false">1</f>
        <v>1</v>
      </c>
      <c r="N170" s="81" t="n">
        <f aca="false">1</f>
        <v>1</v>
      </c>
      <c r="O170" s="81" t="n">
        <f aca="false">1</f>
        <v>1</v>
      </c>
      <c r="P170" s="81" t="n">
        <f aca="false">1</f>
        <v>1</v>
      </c>
      <c r="Q170" s="95" t="n">
        <v>2</v>
      </c>
      <c r="R170" s="83" t="n">
        <f aca="false">INDEX(in_sel_damage,1,C170)</f>
        <v>0.015</v>
      </c>
      <c r="S170" s="83" t="n">
        <f aca="false">INDEX(in_mkt_dist_margin,1,C170)</f>
        <v>0.25</v>
      </c>
      <c r="T170" s="83" t="n">
        <f aca="false">INDEX(in_mkt_eflute_disc,1,C170)</f>
        <v>0.2</v>
      </c>
      <c r="U170" s="82" t="n">
        <f aca="false">INDEX(in_sel_credit_days,1,C170)</f>
        <v>45</v>
      </c>
      <c r="V170" s="81" t="n">
        <f aca="false">1</f>
        <v>1</v>
      </c>
      <c r="W170" s="83" t="n">
        <f aca="false">INDEX(in_sel_commission,1,C170)</f>
        <v>0.05</v>
      </c>
      <c r="X170" s="82" t="n">
        <f aca="false">1</f>
        <v>1</v>
      </c>
      <c r="Y170" s="85" t="n">
        <f aca="false">INDEX(cfg_u_3464,D170,C170)*O170</f>
        <v>25800</v>
      </c>
      <c r="Z170" s="85" t="n">
        <f aca="false">INDEX(cfg_u_3463,D170,C170)*O170</f>
        <v>25800</v>
      </c>
      <c r="AA170" s="85" t="n">
        <f aca="false">INDEX(cfg_u_3460,D170,C170)*O170</f>
        <v>25800</v>
      </c>
      <c r="AB170" s="85" t="n">
        <f aca="false">Y170+Z170+AA170</f>
        <v>77400</v>
      </c>
      <c r="AC170" s="86" t="n">
        <f aca="false">Y170*INDEX(lg_vpu_3464,C170)</f>
        <v>18.3539136</v>
      </c>
      <c r="AD170" s="86" t="n">
        <f aca="false">Z170*INDEX(lg_vpu_3463,C170)</f>
        <v>22.4530176</v>
      </c>
      <c r="AE170" s="86" t="n">
        <f aca="false">AA170*INDEX(lg_vpu_3460,C170)</f>
        <v>14.6676096</v>
      </c>
      <c r="AF170" s="86" t="n">
        <f aca="false">AC170+AD170+AE170</f>
        <v>55.4745408</v>
      </c>
      <c r="AG170" s="85" t="n">
        <f aca="false">Y170*INDEX(lg_kpu_3464,C170)+Z170*INDEX(lg_kpu_3463,C170)+AA170*INDEX(lg_kpu_3460,C170)</f>
        <v>13341.3537888</v>
      </c>
      <c r="AH170" s="87" t="n">
        <f aca="false">INDEX(in_sup_requote,1,C170)</f>
        <v>0</v>
      </c>
      <c r="AI170" s="88" t="n">
        <f aca="false">Y170*q_price_3464*(1+AH170)*J170/I170</f>
        <v>4089.39493849337</v>
      </c>
      <c r="AJ170" s="88" t="n">
        <f aca="false">Z170*q_price_3463*(1+AH170)*J170/I170</f>
        <v>3862.07053366379</v>
      </c>
      <c r="AK170" s="88" t="n">
        <f aca="false">AA170*q_price_3460*(1+AH170)*J170/I170</f>
        <v>3373.20084585825</v>
      </c>
      <c r="AL170" s="88" t="n">
        <f aca="false">AI170+AJ170+AK170</f>
        <v>11324.6663180154</v>
      </c>
      <c r="AM170" s="88" t="n">
        <f aca="false">IF(OR(K170=2,K170=3),AL170*INDEX(in_sup_vat_rate,1,C170),0)</f>
        <v>1585.45328452216</v>
      </c>
      <c r="AN170" s="88" t="n">
        <f aca="false">IF(K170=3,AM170,0)</f>
        <v>0</v>
      </c>
      <c r="AO170" s="88" t="n">
        <f aca="false">INDEX(in_sup_tooling_egp,1,C170)/I170</f>
        <v>0</v>
      </c>
      <c r="AP170" s="88" t="n">
        <f aca="false">IF(F170=4,INDEX(in_ori_lcl_truck,1,C170)*V170/I170+INDEX(in_ori_lcl_cfs_o,1,C170),G170*(IF(F170=1,INDEX(in_ori_truck_20,1,C170),INDEX(in_ori_truck_40,1,C170))*V170/I170+INDEX(in_ori_terminal,1,C170)+IF(F170=1,INDEX(in_ori_othc_20,1,C170),INDEX(in_ori_othc_40,1,C170))*(1-INDEX(in_ori_othc_in_freight,1,C170))+INDEX(in_ori_seal,1,C170)+INDEX(in_ori_inspection,1,C170)+INDEX(in_ori_dd_days,1,C170)*IF(F170=1,INDEX(in_ori_dd_20,1,C170),INDEX(in_ori_dd_40,1,C170))+INDEX(in_ori_loading_egp,1,C170)/I170))</f>
        <v>555.278125165799</v>
      </c>
      <c r="AQ170" s="88" t="n">
        <f aca="false">(INDEX(in_ori_clearance,1,C170)+INDEX(in_ori_coo,1,C170))/I170+INDEX(in_ori_bl_fee,1,C170)+INDEX(in_ori_fwd_fee,1,C170)+INDEX(in_ori_qc,1,C170)+INDEX(in_ori_wires,1,C170)*INDEX(in_ori_wire_fee,1,C170)</f>
        <v>817.639062582899</v>
      </c>
      <c r="AR170" s="88" t="n">
        <f aca="false">AP170+AQ170</f>
        <v>1372.9171877487</v>
      </c>
      <c r="AS170" s="85" t="n">
        <f aca="false">INDEX(tbl_port_diff,H170,C170)</f>
        <v>0</v>
      </c>
      <c r="AT170" s="88" t="n">
        <f aca="false">IF(F170=4,MAX(AF170*INDEX(in_oce_lcl_factor,1,C170),AG170/1000,1)*INDEX(in_oce_lcl_rate,1,C170)*M170,G170*(INDEX(tbl_ocean_rate,MIN(F170,3),C170)+AS170)*M170)</f>
        <v>4000</v>
      </c>
      <c r="AU170" s="88" t="n">
        <f aca="false">AT170+INDEX(in_oce_ams,1,C170)</f>
        <v>4035</v>
      </c>
      <c r="AV170" s="88" t="n">
        <f aca="false">AI170*(1+IF(K170=3,INDEX(in_sup_vat_rate,1,C170),0))+AO170*Y170/AB170</f>
        <v>4089.39493849337</v>
      </c>
      <c r="AW170" s="88" t="n">
        <f aca="false">AJ170*(1+IF(K170=3,INDEX(in_sup_vat_rate,1,C170),0))+AO170*Z170/AB170</f>
        <v>3862.07053366379</v>
      </c>
      <c r="AX170" s="88" t="n">
        <f aca="false">AK170*(1+IF(K170=3,INDEX(in_sup_vat_rate,1,C170),0))+AO170*AA170/AB170</f>
        <v>3373.20084585825</v>
      </c>
      <c r="AY170" s="88" t="n">
        <f aca="false">AV170+AW170+AX170</f>
        <v>11324.6663180154</v>
      </c>
      <c r="AZ170" s="88" t="n">
        <f aca="false">MAX(INDEX(in_oce_ins_min,1,C170),INDEX(in_oce_ins_rate,1,C170)*(1+INDEX(in_oce_ins_uplift,1,C170))*(AL170+AO170+AR170+AU170))*(1-INDEX(in_oce_ins_in_other,1,C170))</f>
        <v>75</v>
      </c>
      <c r="BA170" s="87" t="n">
        <f aca="false">INDEX(in_cus_mfn,1,C170)+L170</f>
        <v>0.125</v>
      </c>
      <c r="BB170" s="88" t="n">
        <f aca="false">AY170*BA170</f>
        <v>1415.58328975193</v>
      </c>
      <c r="BC170" s="88" t="n">
        <f aca="false">MIN(MAX(AY170*INDEX(in_cus_mpf_rate,1,C170),INDEX(in_cus_mpf_min,1,C170)),INDEX(in_cus_mpf_max,1,C170))</f>
        <v>39.2286441256054</v>
      </c>
      <c r="BD170" s="88" t="n">
        <f aca="false">AY170*INDEX(in_cus_hmf,1,C170)</f>
        <v>14.1558328975193</v>
      </c>
      <c r="BE170" s="88" t="n">
        <f aca="false">MAX(INDEX(in_cus_stb_min,1,C170),INDEX(in_cus_stb_rate,1,C170)/1000*(AY170+BB170+BC170+BD170))</f>
        <v>76.7618045087428</v>
      </c>
      <c r="BF170" s="88" t="n">
        <f aca="false">INDEX(in_cus_broker,1,C170)+INDEX(in_cus_isf,1,C170)+INDEX(in_cus_do_fee,1,C170)+BE170+INDEX(in_cus_isf_bond,1,C170)</f>
        <v>511.761804508743</v>
      </c>
      <c r="BG170" s="88" t="n">
        <f aca="false">IF(H170=1,INDEX(in_cus_cfc,1,C170)*INDEX(ct_teu,F170)*G170*(1-INDEX(in_cus_cfc_in_freight,1,C170)),0)</f>
        <v>29.6</v>
      </c>
      <c r="BH170" s="88" t="n">
        <f aca="false">IF(F170=4,1,G170)*(INDEX(in_cus_exam,1,C170)+INDEX(in_cus_exam_dray,1,C170))</f>
        <v>0</v>
      </c>
      <c r="BI170" s="88" t="n">
        <f aca="false">IF(F170=4,1,G170)*INDEX(in_cus_dem_days,1,C170)*INDEX(in_cus_dem_rate,1,C170)</f>
        <v>0</v>
      </c>
      <c r="BJ170" s="88" t="n">
        <f aca="false">BG170+BH170+BI170</f>
        <v>29.6</v>
      </c>
      <c r="BK170" s="88" t="n">
        <f aca="false">IF(F170=4,(INDEX(in_dra_lcl_cfs_d,1,C170)+INDEX(in_dra_lcl_deliv,1,C170))*P170,G170*(INDEX(tbl_dest_line,E170,C170)*P170*(1+INDEX(in_dra_fsc,1,C170))+INDEX(tbl_dest_tolls,E170,C170)+INDEX(in_dra_chassis_days,1,C170)*INDEX(tbl_dest_chassis,E170,C170)*(1-INDEX(in_dra_chassis_in_dray,1,C170))+INDEX(in_dra_wait_hours,1,C170)*INDEX(in_dra_wait_rate,1,C170)+INDEX(in_dra_split,1,C170)+INDEX(in_dra_prepull,1,C170)+INDEX(in_dra_dryrun,1,C170)))</f>
        <v>1060</v>
      </c>
      <c r="BL170" s="88" t="n">
        <f aca="false">IF(F170=4,0,G170*IF(F170=1,INDEX(in_dra_unload_20,1,C170),INDEX(in_dra_unload_40,1,C170))*Q170*(1-INDEX(in_dra_unload_in_dray,1,C170)))</f>
        <v>900</v>
      </c>
      <c r="BM170" s="88" t="n">
        <f aca="false">AL170+AN170+AO170+AR170+AU170+AZ170+BB170+BC170+BD170+BF170+BJ170+BK170+BL170</f>
        <v>20777.9130770479</v>
      </c>
      <c r="BN170" s="88" t="n">
        <f aca="false">AP170+AU170+BJ170+BK170+BL170</f>
        <v>6579.8781251658</v>
      </c>
      <c r="BO170" s="88" t="n">
        <f aca="false">AQ170+BF170</f>
        <v>1329.40086709164</v>
      </c>
      <c r="BP170" s="88" t="n">
        <f aca="false">AI170*(1+IF(K170=3,INDEX(in_sup_vat_rate,1,C170),0))+AO170*Y170/AB170+AV170*BA170+(BC170+BD170)*AV170/AY170+AZ170*AI170/AL170+BN170*AC170/AF170+BO170*Y170/AB170</f>
        <v>7267.03508569503</v>
      </c>
      <c r="BQ170" s="88" t="n">
        <f aca="false">AJ170*(1+IF(K170=3,INDEX(in_sup_vat_rate,1,C170),0))+AO170*Z170/AB170+AW170*BA170+(BC170+BD170)*AW170/AY170+AZ170*AJ170/AL170+BN170*AD170/AF170+BO170*Z170/AB170</f>
        <v>7494.9159100464</v>
      </c>
      <c r="BR170" s="88" t="n">
        <f aca="false">AK170*(1+IF(K170=3,INDEX(in_sup_vat_rate,1,C170),0))+AO170*AA170/AB170+AX170*BA170+(BC170+BD170)*AX170/AY170+AZ170*AK170/AL170+BN170*AE170/AF170+BO170*AA170/AB170</f>
        <v>6015.96208130648</v>
      </c>
      <c r="BS170" s="89" t="n">
        <f aca="false">BP170+BQ170+BR170-BM170</f>
        <v>0</v>
      </c>
      <c r="BT170" s="85" t="n">
        <f aca="false">Y170*(1-R170)</f>
        <v>25413</v>
      </c>
      <c r="BU170" s="85" t="n">
        <f aca="false">Z170*(1-R170)</f>
        <v>25413</v>
      </c>
      <c r="BV170" s="85" t="n">
        <f aca="false">AA170*(1-R170)</f>
        <v>25413</v>
      </c>
      <c r="BW170" s="85" t="n">
        <f aca="false">BT170+BU170+BV170</f>
        <v>76239</v>
      </c>
      <c r="BX170" s="90" t="n">
        <f aca="false">IF(BT170&gt;0,BP170/BT170,0)</f>
        <v>0.285957387388149</v>
      </c>
      <c r="BY170" s="90" t="n">
        <f aca="false">IF(BU170&gt;0,BQ170/BU170,0)</f>
        <v>0.294924483927376</v>
      </c>
      <c r="BZ170" s="90" t="n">
        <f aca="false">IF(BV170&gt;0,BR170/BV170,0)</f>
        <v>0.236727740971412</v>
      </c>
      <c r="CA170" s="90" t="n">
        <f aca="false">INDEX(in_mkt_listing_3464,1,C170)*(1-IF(sku_flute_3464="B",T170,0))*(1-S170)*N170</f>
        <v>0.234</v>
      </c>
      <c r="CB170" s="90" t="n">
        <f aca="false">INDEX(in_mkt_listing_3463,1,C170)*(1-IF(sku_flute_3463="B",T170,0))*(1-S170)*N170</f>
        <v>0.27</v>
      </c>
      <c r="CC170" s="90" t="n">
        <f aca="false">INDEX(in_mkt_listing_3460,1,C170)*(1-IF(sku_flute_3460="B",T170,0))*(1-S170)*N170</f>
        <v>0.225</v>
      </c>
      <c r="CD170" s="88" t="n">
        <f aca="false">BT170*CA170+BU170*CB170+BV170*CC170</f>
        <v>18526.077</v>
      </c>
      <c r="CE170" s="88" t="n">
        <f aca="false">CD170-BM170</f>
        <v>-2251.83607704791</v>
      </c>
      <c r="CF170" s="87" t="n">
        <f aca="false">IF(CD170&gt;0,CE170/CD170,0)</f>
        <v>-0.121549536744768</v>
      </c>
      <c r="CG170" s="87" t="n">
        <f aca="false">W170+INDEX(in_sel_processing,1,C170)+INDEX(in_sel_bad_debt,1,C170)</f>
        <v>0.058</v>
      </c>
      <c r="CH170" s="88" t="n">
        <f aca="false">CD170*CG170</f>
        <v>1074.512466</v>
      </c>
      <c r="CI170" s="88" t="n">
        <f aca="false">INDEX(in_sel_testing,1,C170)*X170+INDEX(in_sel_admin,1,C170)</f>
        <v>3000</v>
      </c>
      <c r="CJ170" s="79" t="n">
        <f aca="false">INDEX(in_sup_lead_days,1,C170)</f>
        <v>21</v>
      </c>
      <c r="CK170" s="79" t="n">
        <f aca="false">CJ170+INDEX(in_oce_transit,1,C170)+IF(F170=4,INDEX(in_oce_lcl_extra_days,1,C170),0)</f>
        <v>51</v>
      </c>
      <c r="CL170" s="79" t="n">
        <f aca="false">CK170+2+INDEX(in_cus_dem_days,1,C170)</f>
        <v>53</v>
      </c>
      <c r="CM170" s="79" t="n">
        <f aca="false">CL170+U170</f>
        <v>98</v>
      </c>
      <c r="CN170" s="79" t="n">
        <f aca="false">CJ170+INDEX(in_sup_vat_lag,1,C170)</f>
        <v>81</v>
      </c>
      <c r="CO170" s="91" t="n">
        <f aca="false">INDEX(in_sup_advance,1,C170)</f>
        <v>0.5</v>
      </c>
      <c r="CP170" s="88" t="n">
        <f aca="false">CO170*(AL170+AM170)+AO170+INDEX(in_sel_testing,1,C170)*X170</f>
        <v>8955.05980126879</v>
      </c>
      <c r="CQ170" s="88" t="n">
        <f aca="false">(1-CO170)*(AL170+AM170)+AR170+AU170+AZ170</f>
        <v>11937.9769890175</v>
      </c>
      <c r="CR170" s="88" t="n">
        <f aca="false">BB170+BC170+BD170+BF170+BJ170</f>
        <v>2010.32957128379</v>
      </c>
      <c r="CS170" s="88" t="n">
        <f aca="false">BK170+BL170</f>
        <v>1960</v>
      </c>
      <c r="CT170" s="88" t="n">
        <f aca="false">IF(K170=2,AM170,0)</f>
        <v>1585.45328452216</v>
      </c>
      <c r="CU170" s="85" t="n">
        <f aca="false">IF(K170=2,CO170*AM170*(CN170-0)+(1-CO170)*AM170*(CN170-CJ170),0)</f>
        <v>111774.456558812</v>
      </c>
      <c r="CV170" s="85" t="n">
        <f aca="false">(CP170-CO170*CT170)*(CM170-0)+(CQ170-(1-CO170)*CT170)*(CM170-CJ170)+CR170*(CM170-CK170)+CS170*(CM170-CL170)</f>
        <v>1840778.41613334</v>
      </c>
      <c r="CW170" s="88" t="n">
        <f aca="false">INDEX(in_sel_fin_rate,1,C170)/365*(CU170+CV170)</f>
        <v>534.945992518397</v>
      </c>
      <c r="CX170" s="85" t="n">
        <f aca="false">CP170-IF(CN170&lt;=0,CT170,0)</f>
        <v>8955.05980126879</v>
      </c>
      <c r="CY170" s="85" t="n">
        <f aca="false">CP170+CQ170-IF(CN170&lt;=CJ170,CT170,0)</f>
        <v>20893.0367902863</v>
      </c>
      <c r="CZ170" s="85" t="n">
        <f aca="false">CP170+CQ170+CR170-IF(CN170&lt;=CK170,CT170,0)</f>
        <v>22903.3663615701</v>
      </c>
      <c r="DA170" s="85" t="n">
        <f aca="false">CP170+CQ170+CR170+CS170-IF(CN170&lt;=CL170,CT170,0)</f>
        <v>24863.3663615701</v>
      </c>
      <c r="DB170" s="88" t="n">
        <f aca="false">MAX(CX170,CY170,CZ170,DA170)</f>
        <v>24863.3663615701</v>
      </c>
      <c r="DC170" s="88" t="n">
        <f aca="false">CP170+CQ170+CR170+CS170</f>
        <v>24863.3663615701</v>
      </c>
      <c r="DD170" s="88" t="n">
        <f aca="false">CE170-CH170-CI170-CW170</f>
        <v>-6861.29453556631</v>
      </c>
      <c r="DE170" s="87" t="n">
        <f aca="false">IF(CD170&gt;0,DD170/CD170,0)</f>
        <v>-0.370358740037964</v>
      </c>
      <c r="DF170" s="86" t="n">
        <f aca="false">IF(CD170&gt;0,(BM170+CI170+CW170)/(CD170*(1-CG170)),0)</f>
        <v>1.39316214441397</v>
      </c>
      <c r="DG170" s="90" t="n">
        <f aca="false">IF(BW170&gt;0,BM170/BW170,0)</f>
        <v>0.272536537428979</v>
      </c>
      <c r="DH170" s="90" t="n">
        <f aca="false">IF(BW170&gt;0,CD170/BW170,0)</f>
        <v>0.243</v>
      </c>
      <c r="DI170" s="90" t="n">
        <f aca="false">IF(AI170&gt;0,(AI170*IF(K170=3,INDEX(in_sup_vat_rate,1,C170),0)+AV170*BA170+(BC170+BD170)*AV170/AY170+AZ170*AI170/AL170)/AI170,0)</f>
        <v>0.136336711689146</v>
      </c>
      <c r="DJ170" s="90" t="n">
        <f aca="false">IF(AJ170&gt;0,(AJ170*IF(K170=3,INDEX(in_sup_vat_rate,1,C170),0)+AW170*BA170+(BC170+BD170)*AW170/AY170+AZ170*AJ170/AL170)/AJ170,0)</f>
        <v>0.136336711689146</v>
      </c>
      <c r="DK170" s="90" t="n">
        <f aca="false">IF(AK170&gt;0,(AK170*IF(K170=3,INDEX(in_sup_vat_rate,1,C170),0)+AX170*BA170+(BC170+BD170)*AX170/AY170+AZ170*AK170/AL170)/AK170,0)</f>
        <v>0.136336711689146</v>
      </c>
      <c r="DL170" s="90" t="n">
        <f aca="false">IF(Y170&gt;0,(BP170-AI170*(1+DI170))/Y170,0)</f>
        <v>0.101554476298032</v>
      </c>
      <c r="DM170" s="90" t="n">
        <f aca="false">IF(Z170&gt;0,(BQ170-AJ170*(1+DJ170))/Z170,0)</f>
        <v>0.120399355795013</v>
      </c>
      <c r="DN170" s="90" t="n">
        <f aca="false">IF(AA170&gt;0,(BR170-AK170*(1+DK170))/AA170,0)</f>
        <v>0.084607369157243</v>
      </c>
      <c r="DO170" s="86" t="n">
        <f aca="false">IF(Y170&gt;0,(CA170*(1-thr_gm_go)*(1-R170)-DL170)/(1+DI170)*I170/((1+AH170)*J170),"")</f>
        <v>3.31198536890723</v>
      </c>
      <c r="DP170" s="86" t="n">
        <f aca="false">IF(Z170&gt;0,(CB170*(1-thr_gm_go)*(1-R170)-DM170)/(1+DJ170)*I170/((1+AH170)*J170),"")</f>
        <v>3.67192362956129</v>
      </c>
      <c r="DQ170" s="86" t="n">
        <f aca="false">IF(AA170&gt;0,(CC170*(1-thr_gm_go)*(1-R170)-DN170)/(1+DK170)*I170/((1+AH170)*J170),"")</f>
        <v>3.79027119109617</v>
      </c>
      <c r="DR170" s="92" t="n">
        <f aca="false">IF(AND(AY170*INDEX(in_cus_mpf_rate,1,C170)&gt;INDEX(in_cus_mpf_min,1,C170),AY170*INDEX(in_cus_mpf_rate,1,C170)&lt;INDEX(in_cus_mpf_max,1,C170)),INDEX(in_cus_mpf_rate,1,C170),0)</f>
        <v>0.003464</v>
      </c>
      <c r="DS170" s="88" t="n">
        <f aca="false">IF(AZ170&gt;INDEX(in_oce_ins_min,1,C170),INDEX(in_oce_ins_rate,1,C170)*(1+INDEX(in_oce_ins_uplift,1,C170))*AL170,0)</f>
        <v>0</v>
      </c>
      <c r="DT170" s="88" t="n">
        <f aca="false">(AL170+AN170)*(1+BA170+INDEX(in_cus_hmf,1,C170)+DR170)+DS170</f>
        <v>12793.6340847905</v>
      </c>
      <c r="DU170" s="86" t="n">
        <f aca="false">IF(DT170&gt;0,(CD170*(1-thr_gm_go)-(BM170-DT170))/DT170,0)</f>
        <v>0.461970282921325</v>
      </c>
      <c r="DV170" s="86" t="n">
        <f aca="false">IF(DT170&gt;0,(CD170-(BM170-DT170))/DT170,0)</f>
        <v>0.823987769063602</v>
      </c>
      <c r="DW170" s="87" t="n">
        <f aca="false">(1+AH170)*J170*DU170-1</f>
        <v>-0.538029717078675</v>
      </c>
      <c r="DX170" s="87" t="n">
        <f aca="false">(1+AH170)*J170*DV170-1</f>
        <v>-0.176012230936398</v>
      </c>
      <c r="DY170" s="85" t="n">
        <f aca="false">IF(G170&gt;0,(CD170*(1-thr_gm_go)-(BM170-AT170))/G170,"")</f>
        <v>-2883.35532704791</v>
      </c>
      <c r="DZ170" s="90" t="n">
        <f aca="false">IF(AB170&gt;0,(AL170+AN170+BB170+BC170+BD170)/AB170,0)</f>
        <v>0.165292430036053</v>
      </c>
      <c r="EA170" s="88" t="n">
        <f aca="false">BM170-DZ170*AB170</f>
        <v>7984.27899225744</v>
      </c>
      <c r="EB170" s="90" t="n">
        <f aca="false">IF(AB170&gt;0,CD170/AB170,0)</f>
        <v>0.239355</v>
      </c>
      <c r="EC170" s="85" t="n">
        <f aca="false">IF(EB170*(1-thr_gm_go)-DZ170&gt;0,EA170/(EB170*(1-thr_gm_go)-DZ170),"n/a")</f>
        <v>561331.555974055</v>
      </c>
      <c r="ED170" s="85" t="n">
        <f aca="false">IF(EB170-DZ170&gt;0,EA170/(EB170-DZ170),"n/a")</f>
        <v>107804.509027219</v>
      </c>
      <c r="EE170" s="93" t="b">
        <f aca="false">INDEX(cfg_fits,D170,C170)</f>
        <v>1</v>
      </c>
      <c r="EF170" s="87" t="n">
        <f aca="false">IF(F170=4,"",INDEX(cfg_lenutil,D170,C170))</f>
        <v>0.999580888516345</v>
      </c>
      <c r="EG170" s="31" t="str">
        <f aca="false">IF(O170&gt;1,"Check fit (units scaled up)","")</f>
        <v/>
      </c>
    </row>
    <row r="171" customFormat="false" ht="15" hidden="false" customHeight="false" outlineLevel="0" collapsed="false">
      <c r="A171" s="78" t="n">
        <v>900017</v>
      </c>
      <c r="B171" s="9" t="s">
        <v>3319</v>
      </c>
      <c r="C171" s="10" t="n">
        <f aca="false">sel_scen</f>
        <v>2</v>
      </c>
      <c r="D171" s="10" t="n">
        <f aca="false">sel_cfg</f>
        <v>4</v>
      </c>
      <c r="E171" s="10" t="n">
        <f aca="false">sel_dest</f>
        <v>1</v>
      </c>
      <c r="F171" s="79" t="n">
        <f aca="false">INDEX(cfg_ct,D171)</f>
        <v>3</v>
      </c>
      <c r="G171" s="79" t="n">
        <f aca="false">INDEX(cfg_n,D171)</f>
        <v>1</v>
      </c>
      <c r="H171" s="79" t="n">
        <f aca="false">INDEX(dest_port,E171)</f>
        <v>1</v>
      </c>
      <c r="I171" s="80" t="n">
        <f aca="false">INDEX(in_fx_cbe,1,C171)*(1-INDEX(in_fx_spread,1,C171))</f>
        <v>52.7748</v>
      </c>
      <c r="J171" s="81" t="n">
        <f aca="false">1</f>
        <v>1</v>
      </c>
      <c r="K171" s="6" t="n">
        <v>1</v>
      </c>
      <c r="L171" s="83" t="n">
        <f aca="false">INDEX(in_cus_s301,1,C171)</f>
        <v>0.125</v>
      </c>
      <c r="M171" s="84" t="n">
        <f aca="false">1</f>
        <v>1</v>
      </c>
      <c r="N171" s="81" t="n">
        <f aca="false">1</f>
        <v>1</v>
      </c>
      <c r="O171" s="81" t="n">
        <f aca="false">1</f>
        <v>1</v>
      </c>
      <c r="P171" s="81" t="n">
        <f aca="false">1</f>
        <v>1</v>
      </c>
      <c r="Q171" s="81" t="n">
        <f aca="false">1</f>
        <v>1</v>
      </c>
      <c r="R171" s="83" t="n">
        <f aca="false">INDEX(in_sel_damage,1,C171)</f>
        <v>0.015</v>
      </c>
      <c r="S171" s="83" t="n">
        <f aca="false">INDEX(in_mkt_dist_margin,1,C171)</f>
        <v>0.25</v>
      </c>
      <c r="T171" s="83" t="n">
        <f aca="false">INDEX(in_mkt_eflute_disc,1,C171)</f>
        <v>0.2</v>
      </c>
      <c r="U171" s="82" t="n">
        <f aca="false">INDEX(in_sel_credit_days,1,C171)</f>
        <v>45</v>
      </c>
      <c r="V171" s="81" t="n">
        <f aca="false">1</f>
        <v>1</v>
      </c>
      <c r="W171" s="83" t="n">
        <f aca="false">INDEX(in_sel_commission,1,C171)</f>
        <v>0.05</v>
      </c>
      <c r="X171" s="82" t="n">
        <f aca="false">1</f>
        <v>1</v>
      </c>
      <c r="Y171" s="85" t="n">
        <f aca="false">INDEX(cfg_u_3464,D171,C171)*O171</f>
        <v>25800</v>
      </c>
      <c r="Z171" s="85" t="n">
        <f aca="false">INDEX(cfg_u_3463,D171,C171)*O171</f>
        <v>25800</v>
      </c>
      <c r="AA171" s="85" t="n">
        <f aca="false">INDEX(cfg_u_3460,D171,C171)*O171</f>
        <v>25800</v>
      </c>
      <c r="AB171" s="85" t="n">
        <f aca="false">Y171+Z171+AA171</f>
        <v>77400</v>
      </c>
      <c r="AC171" s="86" t="n">
        <f aca="false">Y171*INDEX(lg_vpu_3464,C171)</f>
        <v>18.3539136</v>
      </c>
      <c r="AD171" s="86" t="n">
        <f aca="false">Z171*INDEX(lg_vpu_3463,C171)</f>
        <v>22.4530176</v>
      </c>
      <c r="AE171" s="86" t="n">
        <f aca="false">AA171*INDEX(lg_vpu_3460,C171)</f>
        <v>14.6676096</v>
      </c>
      <c r="AF171" s="86" t="n">
        <f aca="false">AC171+AD171+AE171</f>
        <v>55.4745408</v>
      </c>
      <c r="AG171" s="85" t="n">
        <f aca="false">Y171*INDEX(lg_kpu_3464,C171)+Z171*INDEX(lg_kpu_3463,C171)+AA171*INDEX(lg_kpu_3460,C171)</f>
        <v>13341.3537888</v>
      </c>
      <c r="AH171" s="87" t="n">
        <f aca="false">INDEX(in_sup_requote,1,C171)</f>
        <v>0</v>
      </c>
      <c r="AI171" s="88" t="n">
        <f aca="false">Y171*q_price_3464*(1+AH171)*J171/I171</f>
        <v>4089.39493849337</v>
      </c>
      <c r="AJ171" s="88" t="n">
        <f aca="false">Z171*q_price_3463*(1+AH171)*J171/I171</f>
        <v>3862.07053366379</v>
      </c>
      <c r="AK171" s="88" t="n">
        <f aca="false">AA171*q_price_3460*(1+AH171)*J171/I171</f>
        <v>3373.20084585825</v>
      </c>
      <c r="AL171" s="88" t="n">
        <f aca="false">AI171+AJ171+AK171</f>
        <v>11324.6663180154</v>
      </c>
      <c r="AM171" s="88" t="n">
        <f aca="false">IF(OR(K171=2,K171=3),AL171*INDEX(in_sup_vat_rate,1,C171),0)</f>
        <v>0</v>
      </c>
      <c r="AN171" s="88" t="n">
        <f aca="false">IF(K171=3,AM171,0)</f>
        <v>0</v>
      </c>
      <c r="AO171" s="88" t="n">
        <f aca="false">INDEX(in_sup_tooling_egp,1,C171)/I171</f>
        <v>0</v>
      </c>
      <c r="AP171" s="88" t="n">
        <f aca="false">IF(F171=4,INDEX(in_ori_lcl_truck,1,C171)*V171/I171+INDEX(in_ori_lcl_cfs_o,1,C171),G171*(IF(F171=1,INDEX(in_ori_truck_20,1,C171),INDEX(in_ori_truck_40,1,C171))*V171/I171+INDEX(in_ori_terminal,1,C171)+IF(F171=1,INDEX(in_ori_othc_20,1,C171),INDEX(in_ori_othc_40,1,C171))*(1-INDEX(in_ori_othc_in_freight,1,C171))+INDEX(in_ori_seal,1,C171)+INDEX(in_ori_inspection,1,C171)+INDEX(in_ori_dd_days,1,C171)*IF(F171=1,INDEX(in_ori_dd_20,1,C171),INDEX(in_ori_dd_40,1,C171))+INDEX(in_ori_loading_egp,1,C171)/I171))</f>
        <v>555.278125165799</v>
      </c>
      <c r="AQ171" s="88" t="n">
        <f aca="false">(INDEX(in_ori_clearance,1,C171)+INDEX(in_ori_coo,1,C171))/I171+INDEX(in_ori_bl_fee,1,C171)+INDEX(in_ori_fwd_fee,1,C171)+INDEX(in_ori_qc,1,C171)+INDEX(in_ori_wires,1,C171)*INDEX(in_ori_wire_fee,1,C171)</f>
        <v>817.639062582899</v>
      </c>
      <c r="AR171" s="88" t="n">
        <f aca="false">AP171+AQ171</f>
        <v>1372.9171877487</v>
      </c>
      <c r="AS171" s="85" t="n">
        <f aca="false">INDEX(tbl_port_diff,H171,C171)</f>
        <v>0</v>
      </c>
      <c r="AT171" s="88" t="n">
        <f aca="false">IF(F171=4,MAX(AF171*INDEX(in_oce_lcl_factor,1,C171),AG171/1000,1)*INDEX(in_oce_lcl_rate,1,C171)*M171,G171*(INDEX(tbl_ocean_rate,MIN(F171,3),C171)+AS171)*M171)</f>
        <v>4000</v>
      </c>
      <c r="AU171" s="88" t="n">
        <f aca="false">AT171+INDEX(in_oce_ams,1,C171)</f>
        <v>4035</v>
      </c>
      <c r="AV171" s="88" t="n">
        <f aca="false">AI171*(1+IF(K171=3,INDEX(in_sup_vat_rate,1,C171),0))+AO171*Y171/AB171</f>
        <v>4089.39493849337</v>
      </c>
      <c r="AW171" s="88" t="n">
        <f aca="false">AJ171*(1+IF(K171=3,INDEX(in_sup_vat_rate,1,C171),0))+AO171*Z171/AB171</f>
        <v>3862.07053366379</v>
      </c>
      <c r="AX171" s="88" t="n">
        <f aca="false">AK171*(1+IF(K171=3,INDEX(in_sup_vat_rate,1,C171),0))+AO171*AA171/AB171</f>
        <v>3373.20084585825</v>
      </c>
      <c r="AY171" s="88" t="n">
        <f aca="false">AV171+AW171+AX171</f>
        <v>11324.6663180154</v>
      </c>
      <c r="AZ171" s="88" t="n">
        <f aca="false">MAX(INDEX(in_oce_ins_min,1,C171),INDEX(in_oce_ins_rate,1,C171)*(1+INDEX(in_oce_ins_uplift,1,C171))*(AL171+AO171+AR171+AU171))*(1-INDEX(in_oce_ins_in_other,1,C171))</f>
        <v>75</v>
      </c>
      <c r="BA171" s="87" t="n">
        <f aca="false">INDEX(in_cus_mfn,1,C171)+L171</f>
        <v>0.125</v>
      </c>
      <c r="BB171" s="88" t="n">
        <f aca="false">AY171*BA171</f>
        <v>1415.58328975193</v>
      </c>
      <c r="BC171" s="88" t="n">
        <f aca="false">MIN(MAX(AY171*INDEX(in_cus_mpf_rate,1,C171),INDEX(in_cus_mpf_min,1,C171)),INDEX(in_cus_mpf_max,1,C171))</f>
        <v>39.2286441256054</v>
      </c>
      <c r="BD171" s="88" t="n">
        <f aca="false">AY171*INDEX(in_cus_hmf,1,C171)</f>
        <v>14.1558328975193</v>
      </c>
      <c r="BE171" s="88" t="n">
        <f aca="false">MAX(INDEX(in_cus_stb_min,1,C171),INDEX(in_cus_stb_rate,1,C171)/1000*(AY171+BB171+BC171+BD171))</f>
        <v>76.7618045087428</v>
      </c>
      <c r="BF171" s="88" t="n">
        <f aca="false">INDEX(in_cus_broker,1,C171)+INDEX(in_cus_isf,1,C171)+INDEX(in_cus_do_fee,1,C171)+BE171+INDEX(in_cus_isf_bond,1,C171)</f>
        <v>511.761804508743</v>
      </c>
      <c r="BG171" s="88" t="n">
        <f aca="false">IF(H171=1,INDEX(in_cus_cfc,1,C171)*INDEX(ct_teu,F171)*G171*(1-INDEX(in_cus_cfc_in_freight,1,C171)),0)</f>
        <v>29.6</v>
      </c>
      <c r="BH171" s="88" t="n">
        <f aca="false">IF(F171=4,1,G171)*(INDEX(in_cus_exam,1,C171)+INDEX(in_cus_exam_dray,1,C171))</f>
        <v>0</v>
      </c>
      <c r="BI171" s="88" t="n">
        <f aca="false">IF(F171=4,1,G171)*INDEX(in_cus_dem_days,1,C171)*INDEX(in_cus_dem_rate,1,C171)</f>
        <v>0</v>
      </c>
      <c r="BJ171" s="88" t="n">
        <f aca="false">BG171+BH171+BI171</f>
        <v>29.6</v>
      </c>
      <c r="BK171" s="88" t="n">
        <f aca="false">IF(F171=4,(INDEX(in_dra_lcl_cfs_d,1,C171)+INDEX(in_dra_lcl_deliv,1,C171))*P171,G171*(INDEX(tbl_dest_line,E171,C171)*P171*(1+INDEX(in_dra_fsc,1,C171))+INDEX(tbl_dest_tolls,E171,C171)+INDEX(in_dra_chassis_days,1,C171)*INDEX(tbl_dest_chassis,E171,C171)*(1-INDEX(in_dra_chassis_in_dray,1,C171))+INDEX(in_dra_wait_hours,1,C171)*INDEX(in_dra_wait_rate,1,C171)+INDEX(in_dra_split,1,C171)+INDEX(in_dra_prepull,1,C171)+INDEX(in_dra_dryrun,1,C171)))</f>
        <v>1060</v>
      </c>
      <c r="BL171" s="88" t="n">
        <f aca="false">IF(F171=4,0,G171*IF(F171=1,INDEX(in_dra_unload_20,1,C171),INDEX(in_dra_unload_40,1,C171))*Q171*(1-INDEX(in_dra_unload_in_dray,1,C171)))</f>
        <v>450</v>
      </c>
      <c r="BM171" s="88" t="n">
        <f aca="false">AL171+AN171+AO171+AR171+AU171+AZ171+BB171+BC171+BD171+BF171+BJ171+BK171+BL171</f>
        <v>20327.9130770479</v>
      </c>
      <c r="BN171" s="88" t="n">
        <f aca="false">AP171+AU171+BJ171+BK171+BL171</f>
        <v>6129.8781251658</v>
      </c>
      <c r="BO171" s="88" t="n">
        <f aca="false">AQ171+BF171</f>
        <v>1329.40086709164</v>
      </c>
      <c r="BP171" s="88" t="n">
        <f aca="false">AI171*(1+IF(K171=3,INDEX(in_sup_vat_rate,1,C171),0))+AO171*Y171/AB171+AV171*BA171+(BC171+BD171)*AV171/AY171+AZ171*AI171/AL171+BN171*AC171/AF171+BO171*Y171/AB171</f>
        <v>7118.15127339316</v>
      </c>
      <c r="BQ171" s="88" t="n">
        <f aca="false">AJ171*(1+IF(K171=3,INDEX(in_sup_vat_rate,1,C171),0))+AO171*Z171/AB171+AW171*BA171+(BC171+BD171)*AW171/AY171+AZ171*AJ171/AL171+BN171*AD171/AF171+BO171*Z171/AB171</f>
        <v>7312.78086621743</v>
      </c>
      <c r="BR171" s="88" t="n">
        <f aca="false">AK171*(1+IF(K171=3,INDEX(in_sup_vat_rate,1,C171),0))+AO171*AA171/AB171+AX171*BA171+(BC171+BD171)*AX171/AY171+AZ171*AK171/AL171+BN171*AE171/AF171+BO171*AA171/AB171</f>
        <v>5896.98093743733</v>
      </c>
      <c r="BS171" s="89" t="n">
        <f aca="false">BP171+BQ171+BR171-BM171</f>
        <v>0</v>
      </c>
      <c r="BT171" s="85" t="n">
        <f aca="false">Y171*(1-R171)</f>
        <v>25413</v>
      </c>
      <c r="BU171" s="85" t="n">
        <f aca="false">Z171*(1-R171)</f>
        <v>25413</v>
      </c>
      <c r="BV171" s="85" t="n">
        <f aca="false">AA171*(1-R171)</f>
        <v>25413</v>
      </c>
      <c r="BW171" s="85" t="n">
        <f aca="false">BT171+BU171+BV171</f>
        <v>76239</v>
      </c>
      <c r="BX171" s="90" t="n">
        <f aca="false">IF(BT171&gt;0,BP171/BT171,0)</f>
        <v>0.280098818454852</v>
      </c>
      <c r="BY171" s="90" t="n">
        <f aca="false">IF(BU171&gt;0,BQ171/BU171,0)</f>
        <v>0.28775748106156</v>
      </c>
      <c r="BZ171" s="90" t="n">
        <f aca="false">IF(BV171&gt;0,BR171/BV171,0)</f>
        <v>0.232045840217106</v>
      </c>
      <c r="CA171" s="90" t="n">
        <f aca="false">INDEX(in_mkt_listing_3464,1,C171)*(1-IF(sku_flute_3464="B",T171,0))*(1-S171)*N171</f>
        <v>0.234</v>
      </c>
      <c r="CB171" s="90" t="n">
        <f aca="false">INDEX(in_mkt_listing_3463,1,C171)*(1-IF(sku_flute_3463="B",T171,0))*(1-S171)*N171</f>
        <v>0.27</v>
      </c>
      <c r="CC171" s="90" t="n">
        <f aca="false">INDEX(in_mkt_listing_3460,1,C171)*(1-IF(sku_flute_3460="B",T171,0))*(1-S171)*N171</f>
        <v>0.225</v>
      </c>
      <c r="CD171" s="88" t="n">
        <f aca="false">BT171*CA171+BU171*CB171+BV171*CC171</f>
        <v>18526.077</v>
      </c>
      <c r="CE171" s="88" t="n">
        <f aca="false">CD171-BM171</f>
        <v>-1801.83607704791</v>
      </c>
      <c r="CF171" s="87" t="n">
        <f aca="false">IF(CD171&gt;0,CE171/CD171,0)</f>
        <v>-0.0972594509376113</v>
      </c>
      <c r="CG171" s="87" t="n">
        <f aca="false">W171+INDEX(in_sel_processing,1,C171)+INDEX(in_sel_bad_debt,1,C171)</f>
        <v>0.058</v>
      </c>
      <c r="CH171" s="88" t="n">
        <f aca="false">CD171*CG171</f>
        <v>1074.512466</v>
      </c>
      <c r="CI171" s="88" t="n">
        <f aca="false">INDEX(in_sel_testing,1,C171)*X171+INDEX(in_sel_admin,1,C171)</f>
        <v>3000</v>
      </c>
      <c r="CJ171" s="79" t="n">
        <f aca="false">INDEX(in_sup_lead_days,1,C171)</f>
        <v>21</v>
      </c>
      <c r="CK171" s="79" t="n">
        <f aca="false">CJ171+INDEX(in_oce_transit,1,C171)+IF(F171=4,INDEX(in_oce_lcl_extra_days,1,C171),0)</f>
        <v>51</v>
      </c>
      <c r="CL171" s="79" t="n">
        <f aca="false">CK171+2+INDEX(in_cus_dem_days,1,C171)</f>
        <v>53</v>
      </c>
      <c r="CM171" s="79" t="n">
        <f aca="false">CL171+U171</f>
        <v>98</v>
      </c>
      <c r="CN171" s="79" t="n">
        <f aca="false">CJ171+INDEX(in_sup_vat_lag,1,C171)</f>
        <v>81</v>
      </c>
      <c r="CO171" s="91" t="n">
        <f aca="false">INDEX(in_sup_advance,1,C171)</f>
        <v>0.5</v>
      </c>
      <c r="CP171" s="88" t="n">
        <f aca="false">CO171*(AL171+AM171)+AO171+INDEX(in_sel_testing,1,C171)*X171</f>
        <v>8162.33315900771</v>
      </c>
      <c r="CQ171" s="88" t="n">
        <f aca="false">(1-CO171)*(AL171+AM171)+AR171+AU171+AZ171</f>
        <v>11145.2503467564</v>
      </c>
      <c r="CR171" s="88" t="n">
        <f aca="false">BB171+BC171+BD171+BF171+BJ171</f>
        <v>2010.32957128379</v>
      </c>
      <c r="CS171" s="88" t="n">
        <f aca="false">BK171+BL171</f>
        <v>1510</v>
      </c>
      <c r="CT171" s="88" t="n">
        <f aca="false">IF(K171=2,AM171,0)</f>
        <v>0</v>
      </c>
      <c r="CU171" s="85" t="n">
        <f aca="false">IF(K171=2,CO171*AM171*(CN171-0)+(1-CO171)*AM171*(CN171-CJ171),0)</f>
        <v>0</v>
      </c>
      <c r="CV171" s="85" t="n">
        <f aca="false">(CP171-CO171*CT171)*(CM171-0)+(CQ171-(1-CO171)*CT171)*(CM171-CJ171)+CR171*(CM171-CK171)+CS171*(CM171-CL171)</f>
        <v>1820528.41613334</v>
      </c>
      <c r="CW171" s="88" t="n">
        <f aca="false">INDEX(in_sel_fin_rate,1,C171)/365*(CU171+CV171)</f>
        <v>498.774908529681</v>
      </c>
      <c r="CX171" s="85" t="n">
        <f aca="false">CP171-IF(CN171&lt;=0,CT171,0)</f>
        <v>8162.33315900771</v>
      </c>
      <c r="CY171" s="85" t="n">
        <f aca="false">CP171+CQ171-IF(CN171&lt;=CJ171,CT171,0)</f>
        <v>19307.5835057641</v>
      </c>
      <c r="CZ171" s="85" t="n">
        <f aca="false">CP171+CQ171+CR171-IF(CN171&lt;=CK171,CT171,0)</f>
        <v>21317.9130770479</v>
      </c>
      <c r="DA171" s="85" t="n">
        <f aca="false">CP171+CQ171+CR171+CS171-IF(CN171&lt;=CL171,CT171,0)</f>
        <v>22827.9130770479</v>
      </c>
      <c r="DB171" s="88" t="n">
        <f aca="false">MAX(CX171,CY171,CZ171,DA171)</f>
        <v>22827.9130770479</v>
      </c>
      <c r="DC171" s="88" t="n">
        <f aca="false">CP171+CQ171+CR171+CS171</f>
        <v>22827.9130770479</v>
      </c>
      <c r="DD171" s="88" t="n">
        <f aca="false">CE171-CH171-CI171-CW171</f>
        <v>-6375.12345157759</v>
      </c>
      <c r="DE171" s="87" t="n">
        <f aca="false">IF(CD171&gt;0,DD171/CD171,0)</f>
        <v>-0.344116212600087</v>
      </c>
      <c r="DF171" s="86" t="n">
        <f aca="false">IF(CD171&gt;0,(BM171+CI171+CW171)/(CD171*(1-CG171)),0)</f>
        <v>1.36530383503194</v>
      </c>
      <c r="DG171" s="90" t="n">
        <f aca="false">IF(BW171&gt;0,BM171/BW171,0)</f>
        <v>0.26663404657784</v>
      </c>
      <c r="DH171" s="90" t="n">
        <f aca="false">IF(BW171&gt;0,CD171/BW171,0)</f>
        <v>0.243</v>
      </c>
      <c r="DI171" s="90" t="n">
        <f aca="false">IF(AI171&gt;0,(AI171*IF(K171=3,INDEX(in_sup_vat_rate,1,C171),0)+AV171*BA171+(BC171+BD171)*AV171/AY171+AZ171*AI171/AL171)/AI171,0)</f>
        <v>0.136336711689146</v>
      </c>
      <c r="DJ171" s="90" t="n">
        <f aca="false">IF(AJ171&gt;0,(AJ171*IF(K171=3,INDEX(in_sup_vat_rate,1,C171),0)+AW171*BA171+(BC171+BD171)*AW171/AY171+AZ171*AJ171/AL171)/AJ171,0)</f>
        <v>0.136336711689146</v>
      </c>
      <c r="DK171" s="90" t="n">
        <f aca="false">IF(AK171&gt;0,(AK171*IF(K171=3,INDEX(in_sup_vat_rate,1,C171),0)+AX171*BA171+(BC171+BD171)*AX171/AY171+AZ171*AK171/AL171)/AK171,0)</f>
        <v>0.136336711689146</v>
      </c>
      <c r="DL171" s="90" t="n">
        <f aca="false">IF(Y171&gt;0,(BP171-AI171*(1+DI171))/Y171,0)</f>
        <v>0.0957837858987348</v>
      </c>
      <c r="DM171" s="90" t="n">
        <f aca="false">IF(Z171&gt;0,(BQ171-AJ171*(1+DJ171))/Z171,0)</f>
        <v>0.113339857972185</v>
      </c>
      <c r="DN171" s="90" t="n">
        <f aca="false">IF(AA171&gt;0,(BR171-AK171*(1+DK171))/AA171,0)</f>
        <v>0.0799956969142526</v>
      </c>
      <c r="DO171" s="86" t="n">
        <f aca="false">IF(Y171&gt;0,(CA171*(1-thr_gm_go)*(1-R171)-DL171)/(1+DI171)*I171/((1+AH171)*J171),"")</f>
        <v>3.57999310688847</v>
      </c>
      <c r="DP171" s="86" t="n">
        <f aca="false">IF(Z171&gt;0,(CB171*(1-thr_gm_go)*(1-R171)-DM171)/(1+DJ171)*I171/((1+AH171)*J171),"")</f>
        <v>3.99978735328661</v>
      </c>
      <c r="DQ171" s="86" t="n">
        <f aca="false">IF(AA171&gt;0,(CC171*(1-thr_gm_go)*(1-R171)-DN171)/(1+DK171)*I171/((1+AH171)*J171),"")</f>
        <v>4.00445073645962</v>
      </c>
      <c r="DR171" s="92" t="n">
        <f aca="false">IF(AND(AY171*INDEX(in_cus_mpf_rate,1,C171)&gt;INDEX(in_cus_mpf_min,1,C171),AY171*INDEX(in_cus_mpf_rate,1,C171)&lt;INDEX(in_cus_mpf_max,1,C171)),INDEX(in_cus_mpf_rate,1,C171),0)</f>
        <v>0.003464</v>
      </c>
      <c r="DS171" s="88" t="n">
        <f aca="false">IF(AZ171&gt;INDEX(in_oce_ins_min,1,C171),INDEX(in_oce_ins_rate,1,C171)*(1+INDEX(in_oce_ins_uplift,1,C171))*AL171,0)</f>
        <v>0</v>
      </c>
      <c r="DT171" s="88" t="n">
        <f aca="false">(AL171+AN171)*(1+BA171+INDEX(in_cus_hmf,1,C171)+DR171)+DS171</f>
        <v>12793.6340847905</v>
      </c>
      <c r="DU171" s="86" t="n">
        <f aca="false">IF(DT171&gt;0,(CD171*(1-thr_gm_go)-(BM171-DT171))/DT171,0)</f>
        <v>0.497144026129674</v>
      </c>
      <c r="DV171" s="86" t="n">
        <f aca="false">IF(DT171&gt;0,(CD171-(BM171-DT171))/DT171,0)</f>
        <v>0.859161512271951</v>
      </c>
      <c r="DW171" s="87" t="n">
        <f aca="false">(1+AH171)*J171*DU171-1</f>
        <v>-0.502855973870326</v>
      </c>
      <c r="DX171" s="87" t="n">
        <f aca="false">(1+AH171)*J171*DV171-1</f>
        <v>-0.140838487728049</v>
      </c>
      <c r="DY171" s="85" t="n">
        <f aca="false">IF(G171&gt;0,(CD171*(1-thr_gm_go)-(BM171-AT171))/G171,"")</f>
        <v>-2433.35532704791</v>
      </c>
      <c r="DZ171" s="90" t="n">
        <f aca="false">IF(AB171&gt;0,(AL171+AN171+BB171+BC171+BD171)/AB171,0)</f>
        <v>0.165292430036053</v>
      </c>
      <c r="EA171" s="88" t="n">
        <f aca="false">BM171-DZ171*AB171</f>
        <v>7534.27899225744</v>
      </c>
      <c r="EB171" s="90" t="n">
        <f aca="false">IF(AB171&gt;0,CD171/AB171,0)</f>
        <v>0.239355</v>
      </c>
      <c r="EC171" s="85" t="n">
        <f aca="false">IF(EB171*(1-thr_gm_go)-DZ171&gt;0,EA171/(EB171*(1-thr_gm_go)-DZ171),"n/a")</f>
        <v>529694.485121035</v>
      </c>
      <c r="ED171" s="85" t="n">
        <f aca="false">IF(EB171-DZ171&gt;0,EA171/(EB171-DZ171),"n/a")</f>
        <v>101728.565399837</v>
      </c>
      <c r="EE171" s="93" t="b">
        <f aca="false">INDEX(cfg_fits,D171,C171)</f>
        <v>1</v>
      </c>
      <c r="EF171" s="87" t="n">
        <f aca="false">IF(F171=4,"",INDEX(cfg_lenutil,D171,C171))</f>
        <v>0.999580888516345</v>
      </c>
      <c r="EG171" s="31" t="str">
        <f aca="false">IF(O171&gt;1,"Check fit (units scaled up)","")</f>
        <v/>
      </c>
    </row>
    <row r="172" customFormat="false" ht="15" hidden="false" customHeight="false" outlineLevel="0" collapsed="false">
      <c r="A172" s="78" t="n">
        <v>900018</v>
      </c>
      <c r="B172" s="9" t="s">
        <v>3320</v>
      </c>
      <c r="C172" s="10" t="n">
        <f aca="false">sel_scen</f>
        <v>2</v>
      </c>
      <c r="D172" s="10" t="n">
        <f aca="false">sel_cfg</f>
        <v>4</v>
      </c>
      <c r="E172" s="10" t="n">
        <f aca="false">sel_dest</f>
        <v>1</v>
      </c>
      <c r="F172" s="79" t="n">
        <f aca="false">INDEX(cfg_ct,D172)</f>
        <v>3</v>
      </c>
      <c r="G172" s="79" t="n">
        <f aca="false">INDEX(cfg_n,D172)</f>
        <v>1</v>
      </c>
      <c r="H172" s="79" t="n">
        <f aca="false">INDEX(dest_port,E172)</f>
        <v>1</v>
      </c>
      <c r="I172" s="80" t="n">
        <f aca="false">INDEX(in_fx_cbe,1,C172)*(1-INDEX(in_fx_spread,1,C172))</f>
        <v>52.7748</v>
      </c>
      <c r="J172" s="81" t="n">
        <f aca="false">1</f>
        <v>1</v>
      </c>
      <c r="K172" s="6" t="n">
        <v>3</v>
      </c>
      <c r="L172" s="83" t="n">
        <f aca="false">INDEX(in_cus_s301,1,C172)</f>
        <v>0.125</v>
      </c>
      <c r="M172" s="84" t="n">
        <f aca="false">1</f>
        <v>1</v>
      </c>
      <c r="N172" s="81" t="n">
        <f aca="false">1</f>
        <v>1</v>
      </c>
      <c r="O172" s="81" t="n">
        <f aca="false">1</f>
        <v>1</v>
      </c>
      <c r="P172" s="81" t="n">
        <f aca="false">1</f>
        <v>1</v>
      </c>
      <c r="Q172" s="81" t="n">
        <f aca="false">1</f>
        <v>1</v>
      </c>
      <c r="R172" s="83" t="n">
        <f aca="false">INDEX(in_sel_damage,1,C172)</f>
        <v>0.015</v>
      </c>
      <c r="S172" s="83" t="n">
        <f aca="false">INDEX(in_mkt_dist_margin,1,C172)</f>
        <v>0.25</v>
      </c>
      <c r="T172" s="83" t="n">
        <f aca="false">INDEX(in_mkt_eflute_disc,1,C172)</f>
        <v>0.2</v>
      </c>
      <c r="U172" s="82" t="n">
        <f aca="false">INDEX(in_sel_credit_days,1,C172)</f>
        <v>45</v>
      </c>
      <c r="V172" s="81" t="n">
        <f aca="false">1</f>
        <v>1</v>
      </c>
      <c r="W172" s="83" t="n">
        <f aca="false">INDEX(in_sel_commission,1,C172)</f>
        <v>0.05</v>
      </c>
      <c r="X172" s="82" t="n">
        <f aca="false">1</f>
        <v>1</v>
      </c>
      <c r="Y172" s="85" t="n">
        <f aca="false">INDEX(cfg_u_3464,D172,C172)*O172</f>
        <v>25800</v>
      </c>
      <c r="Z172" s="85" t="n">
        <f aca="false">INDEX(cfg_u_3463,D172,C172)*O172</f>
        <v>25800</v>
      </c>
      <c r="AA172" s="85" t="n">
        <f aca="false">INDEX(cfg_u_3460,D172,C172)*O172</f>
        <v>25800</v>
      </c>
      <c r="AB172" s="85" t="n">
        <f aca="false">Y172+Z172+AA172</f>
        <v>77400</v>
      </c>
      <c r="AC172" s="86" t="n">
        <f aca="false">Y172*INDEX(lg_vpu_3464,C172)</f>
        <v>18.3539136</v>
      </c>
      <c r="AD172" s="86" t="n">
        <f aca="false">Z172*INDEX(lg_vpu_3463,C172)</f>
        <v>22.4530176</v>
      </c>
      <c r="AE172" s="86" t="n">
        <f aca="false">AA172*INDEX(lg_vpu_3460,C172)</f>
        <v>14.6676096</v>
      </c>
      <c r="AF172" s="86" t="n">
        <f aca="false">AC172+AD172+AE172</f>
        <v>55.4745408</v>
      </c>
      <c r="AG172" s="85" t="n">
        <f aca="false">Y172*INDEX(lg_kpu_3464,C172)+Z172*INDEX(lg_kpu_3463,C172)+AA172*INDEX(lg_kpu_3460,C172)</f>
        <v>13341.3537888</v>
      </c>
      <c r="AH172" s="87" t="n">
        <f aca="false">INDEX(in_sup_requote,1,C172)</f>
        <v>0</v>
      </c>
      <c r="AI172" s="88" t="n">
        <f aca="false">Y172*q_price_3464*(1+AH172)*J172/I172</f>
        <v>4089.39493849337</v>
      </c>
      <c r="AJ172" s="88" t="n">
        <f aca="false">Z172*q_price_3463*(1+AH172)*J172/I172</f>
        <v>3862.07053366379</v>
      </c>
      <c r="AK172" s="88" t="n">
        <f aca="false">AA172*q_price_3460*(1+AH172)*J172/I172</f>
        <v>3373.20084585825</v>
      </c>
      <c r="AL172" s="88" t="n">
        <f aca="false">AI172+AJ172+AK172</f>
        <v>11324.6663180154</v>
      </c>
      <c r="AM172" s="88" t="n">
        <f aca="false">IF(OR(K172=2,K172=3),AL172*INDEX(in_sup_vat_rate,1,C172),0)</f>
        <v>1585.45328452216</v>
      </c>
      <c r="AN172" s="88" t="n">
        <f aca="false">IF(K172=3,AM172,0)</f>
        <v>1585.45328452216</v>
      </c>
      <c r="AO172" s="88" t="n">
        <f aca="false">INDEX(in_sup_tooling_egp,1,C172)/I172</f>
        <v>0</v>
      </c>
      <c r="AP172" s="88" t="n">
        <f aca="false">IF(F172=4,INDEX(in_ori_lcl_truck,1,C172)*V172/I172+INDEX(in_ori_lcl_cfs_o,1,C172),G172*(IF(F172=1,INDEX(in_ori_truck_20,1,C172),INDEX(in_ori_truck_40,1,C172))*V172/I172+INDEX(in_ori_terminal,1,C172)+IF(F172=1,INDEX(in_ori_othc_20,1,C172),INDEX(in_ori_othc_40,1,C172))*(1-INDEX(in_ori_othc_in_freight,1,C172))+INDEX(in_ori_seal,1,C172)+INDEX(in_ori_inspection,1,C172)+INDEX(in_ori_dd_days,1,C172)*IF(F172=1,INDEX(in_ori_dd_20,1,C172),INDEX(in_ori_dd_40,1,C172))+INDEX(in_ori_loading_egp,1,C172)/I172))</f>
        <v>555.278125165799</v>
      </c>
      <c r="AQ172" s="88" t="n">
        <f aca="false">(INDEX(in_ori_clearance,1,C172)+INDEX(in_ori_coo,1,C172))/I172+INDEX(in_ori_bl_fee,1,C172)+INDEX(in_ori_fwd_fee,1,C172)+INDEX(in_ori_qc,1,C172)+INDEX(in_ori_wires,1,C172)*INDEX(in_ori_wire_fee,1,C172)</f>
        <v>817.639062582899</v>
      </c>
      <c r="AR172" s="88" t="n">
        <f aca="false">AP172+AQ172</f>
        <v>1372.9171877487</v>
      </c>
      <c r="AS172" s="85" t="n">
        <f aca="false">INDEX(tbl_port_diff,H172,C172)</f>
        <v>0</v>
      </c>
      <c r="AT172" s="88" t="n">
        <f aca="false">IF(F172=4,MAX(AF172*INDEX(in_oce_lcl_factor,1,C172),AG172/1000,1)*INDEX(in_oce_lcl_rate,1,C172)*M172,G172*(INDEX(tbl_ocean_rate,MIN(F172,3),C172)+AS172)*M172)</f>
        <v>4000</v>
      </c>
      <c r="AU172" s="88" t="n">
        <f aca="false">AT172+INDEX(in_oce_ams,1,C172)</f>
        <v>4035</v>
      </c>
      <c r="AV172" s="88" t="n">
        <f aca="false">AI172*(1+IF(K172=3,INDEX(in_sup_vat_rate,1,C172),0))+AO172*Y172/AB172</f>
        <v>4661.91022988245</v>
      </c>
      <c r="AW172" s="88" t="n">
        <f aca="false">AJ172*(1+IF(K172=3,INDEX(in_sup_vat_rate,1,C172),0))+AO172*Z172/AB172</f>
        <v>4402.76040837673</v>
      </c>
      <c r="AX172" s="88" t="n">
        <f aca="false">AK172*(1+IF(K172=3,INDEX(in_sup_vat_rate,1,C172),0))+AO172*AA172/AB172</f>
        <v>3845.44896427841</v>
      </c>
      <c r="AY172" s="88" t="n">
        <f aca="false">AV172+AW172+AX172</f>
        <v>12910.1196025376</v>
      </c>
      <c r="AZ172" s="88" t="n">
        <f aca="false">MAX(INDEX(in_oce_ins_min,1,C172),INDEX(in_oce_ins_rate,1,C172)*(1+INDEX(in_oce_ins_uplift,1,C172))*(AL172+AO172+AR172+AU172))*(1-INDEX(in_oce_ins_in_other,1,C172))</f>
        <v>75</v>
      </c>
      <c r="BA172" s="87" t="n">
        <f aca="false">INDEX(in_cus_mfn,1,C172)+L172</f>
        <v>0.125</v>
      </c>
      <c r="BB172" s="88" t="n">
        <f aca="false">AY172*BA172</f>
        <v>1613.7649503172</v>
      </c>
      <c r="BC172" s="88" t="n">
        <f aca="false">MIN(MAX(AY172*INDEX(in_cus_mpf_rate,1,C172),INDEX(in_cus_mpf_min,1,C172)),INDEX(in_cus_mpf_max,1,C172))</f>
        <v>44.7206543031902</v>
      </c>
      <c r="BD172" s="88" t="n">
        <f aca="false">AY172*INDEX(in_cus_hmf,1,C172)</f>
        <v>16.137649503172</v>
      </c>
      <c r="BE172" s="88" t="n">
        <f aca="false">MAX(INDEX(in_cus_stb_min,1,C172),INDEX(in_cus_stb_rate,1,C172)/1000*(AY172+BB172+BC172+BD172))</f>
        <v>87.5084571399668</v>
      </c>
      <c r="BF172" s="88" t="n">
        <f aca="false">INDEX(in_cus_broker,1,C172)+INDEX(in_cus_isf,1,C172)+INDEX(in_cus_do_fee,1,C172)+BE172+INDEX(in_cus_isf_bond,1,C172)</f>
        <v>522.508457139967</v>
      </c>
      <c r="BG172" s="88" t="n">
        <f aca="false">IF(H172=1,INDEX(in_cus_cfc,1,C172)*INDEX(ct_teu,F172)*G172*(1-INDEX(in_cus_cfc_in_freight,1,C172)),0)</f>
        <v>29.6</v>
      </c>
      <c r="BH172" s="88" t="n">
        <f aca="false">IF(F172=4,1,G172)*(INDEX(in_cus_exam,1,C172)+INDEX(in_cus_exam_dray,1,C172))</f>
        <v>0</v>
      </c>
      <c r="BI172" s="88" t="n">
        <f aca="false">IF(F172=4,1,G172)*INDEX(in_cus_dem_days,1,C172)*INDEX(in_cus_dem_rate,1,C172)</f>
        <v>0</v>
      </c>
      <c r="BJ172" s="88" t="n">
        <f aca="false">BG172+BH172+BI172</f>
        <v>29.6</v>
      </c>
      <c r="BK172" s="88" t="n">
        <f aca="false">IF(F172=4,(INDEX(in_dra_lcl_cfs_d,1,C172)+INDEX(in_dra_lcl_deliv,1,C172))*P172,G172*(INDEX(tbl_dest_line,E172,C172)*P172*(1+INDEX(in_dra_fsc,1,C172))+INDEX(tbl_dest_tolls,E172,C172)+INDEX(in_dra_chassis_days,1,C172)*INDEX(tbl_dest_chassis,E172,C172)*(1-INDEX(in_dra_chassis_in_dray,1,C172))+INDEX(in_dra_wait_hours,1,C172)*INDEX(in_dra_wait_rate,1,C172)+INDEX(in_dra_split,1,C172)+INDEX(in_dra_prepull,1,C172)+INDEX(in_dra_dryrun,1,C172)))</f>
        <v>1060</v>
      </c>
      <c r="BL172" s="88" t="n">
        <f aca="false">IF(F172=4,0,G172*IF(F172=1,INDEX(in_dra_unload_20,1,C172),INDEX(in_dra_unload_40,1,C172))*Q172*(1-INDEX(in_dra_unload_in_dray,1,C172)))</f>
        <v>450</v>
      </c>
      <c r="BM172" s="88" t="n">
        <f aca="false">AL172+AN172+AO172+AR172+AU172+AZ172+BB172+BC172+BD172+BF172+BJ172+BK172+BL172</f>
        <v>22129.7685015498</v>
      </c>
      <c r="BN172" s="88" t="n">
        <f aca="false">AP172+AU172+BJ172+BK172+BL172</f>
        <v>6129.8781251658</v>
      </c>
      <c r="BO172" s="88" t="n">
        <f aca="false">AQ172+BF172</f>
        <v>1340.14751972287</v>
      </c>
      <c r="BP172" s="88" t="n">
        <f aca="false">AI172*(1+IF(K172=3,INDEX(in_sup_vat_rate,1,C172),0))+AO172*Y172/AB172+AV172*BA172+(BC172+BD172)*AV172/AY172+AZ172*AI172/AL172+BN172*AC172/AF172+BO172*Y172/AB172</f>
        <v>7768.51203083321</v>
      </c>
      <c r="BQ172" s="88" t="n">
        <f aca="false">AJ172*(1+IF(K172=3,INDEX(in_sup_vat_rate,1,C172),0))+AO172*Z172/AB172+AW172*BA172+(BC172+BD172)*AW172/AY172+AZ172*AJ172/AL172+BN172*AD172/AF172+BO172*Z172/AB172</f>
        <v>7927.18800488262</v>
      </c>
      <c r="BR172" s="88" t="n">
        <f aca="false">AK172*(1+IF(K172=3,INDEX(in_sup_vat_rate,1,C172),0))+AO172*AA172/AB172+AX172*BA172+(BC172+BD172)*AX172/AY172+AZ172*AK172/AL172+BN172*AE172/AF172+BO172*AA172/AB172</f>
        <v>6434.06846583398</v>
      </c>
      <c r="BS172" s="89" t="n">
        <f aca="false">BP172+BQ172+BR172-BM172</f>
        <v>0</v>
      </c>
      <c r="BT172" s="85" t="n">
        <f aca="false">Y172*(1-R172)</f>
        <v>25413</v>
      </c>
      <c r="BU172" s="85" t="n">
        <f aca="false">Z172*(1-R172)</f>
        <v>25413</v>
      </c>
      <c r="BV172" s="85" t="n">
        <f aca="false">AA172*(1-R172)</f>
        <v>25413</v>
      </c>
      <c r="BW172" s="85" t="n">
        <f aca="false">BT172+BU172+BV172</f>
        <v>76239</v>
      </c>
      <c r="BX172" s="90" t="n">
        <f aca="false">IF(BT172&gt;0,BP172/BT172,0)</f>
        <v>0.305690474593051</v>
      </c>
      <c r="BY172" s="90" t="n">
        <f aca="false">IF(BU172&gt;0,BQ172/BU172,0)</f>
        <v>0.311934364493866</v>
      </c>
      <c r="BZ172" s="90" t="n">
        <f aca="false">IF(BV172&gt;0,BR172/BV172,0)</f>
        <v>0.253180201701254</v>
      </c>
      <c r="CA172" s="90" t="n">
        <f aca="false">INDEX(in_mkt_listing_3464,1,C172)*(1-IF(sku_flute_3464="B",T172,0))*(1-S172)*N172</f>
        <v>0.234</v>
      </c>
      <c r="CB172" s="90" t="n">
        <f aca="false">INDEX(in_mkt_listing_3463,1,C172)*(1-IF(sku_flute_3463="B",T172,0))*(1-S172)*N172</f>
        <v>0.27</v>
      </c>
      <c r="CC172" s="90" t="n">
        <f aca="false">INDEX(in_mkt_listing_3460,1,C172)*(1-IF(sku_flute_3460="B",T172,0))*(1-S172)*N172</f>
        <v>0.225</v>
      </c>
      <c r="CD172" s="88" t="n">
        <f aca="false">BT172*CA172+BU172*CB172+BV172*CC172</f>
        <v>18526.077</v>
      </c>
      <c r="CE172" s="88" t="n">
        <f aca="false">CD172-BM172</f>
        <v>-3603.6915015498</v>
      </c>
      <c r="CF172" s="87" t="n">
        <f aca="false">IF(CD172&gt;0,CE172/CD172,0)</f>
        <v>-0.194519946211483</v>
      </c>
      <c r="CG172" s="87" t="n">
        <f aca="false">W172+INDEX(in_sel_processing,1,C172)+INDEX(in_sel_bad_debt,1,C172)</f>
        <v>0.058</v>
      </c>
      <c r="CH172" s="88" t="n">
        <f aca="false">CD172*CG172</f>
        <v>1074.512466</v>
      </c>
      <c r="CI172" s="88" t="n">
        <f aca="false">INDEX(in_sel_testing,1,C172)*X172+INDEX(in_sel_admin,1,C172)</f>
        <v>3000</v>
      </c>
      <c r="CJ172" s="79" t="n">
        <f aca="false">INDEX(in_sup_lead_days,1,C172)</f>
        <v>21</v>
      </c>
      <c r="CK172" s="79" t="n">
        <f aca="false">CJ172+INDEX(in_oce_transit,1,C172)+IF(F172=4,INDEX(in_oce_lcl_extra_days,1,C172),0)</f>
        <v>51</v>
      </c>
      <c r="CL172" s="79" t="n">
        <f aca="false">CK172+2+INDEX(in_cus_dem_days,1,C172)</f>
        <v>53</v>
      </c>
      <c r="CM172" s="79" t="n">
        <f aca="false">CL172+U172</f>
        <v>98</v>
      </c>
      <c r="CN172" s="79" t="n">
        <f aca="false">CJ172+INDEX(in_sup_vat_lag,1,C172)</f>
        <v>81</v>
      </c>
      <c r="CO172" s="91" t="n">
        <f aca="false">INDEX(in_sup_advance,1,C172)</f>
        <v>0.5</v>
      </c>
      <c r="CP172" s="88" t="n">
        <f aca="false">CO172*(AL172+AM172)+AO172+INDEX(in_sel_testing,1,C172)*X172</f>
        <v>8955.05980126879</v>
      </c>
      <c r="CQ172" s="88" t="n">
        <f aca="false">(1-CO172)*(AL172+AM172)+AR172+AU172+AZ172</f>
        <v>11937.9769890175</v>
      </c>
      <c r="CR172" s="88" t="n">
        <f aca="false">BB172+BC172+BD172+BF172+BJ172</f>
        <v>2226.73171126353</v>
      </c>
      <c r="CS172" s="88" t="n">
        <f aca="false">BK172+BL172</f>
        <v>1510</v>
      </c>
      <c r="CT172" s="88" t="n">
        <f aca="false">IF(K172=2,AM172,0)</f>
        <v>0</v>
      </c>
      <c r="CU172" s="85" t="n">
        <f aca="false">IF(K172=2,CO172*AM172*(CN172-0)+(1-CO172)*AM172*(CN172-CJ172),0)</f>
        <v>0</v>
      </c>
      <c r="CV172" s="85" t="n">
        <f aca="false">(CP172-CO172*CT172)*(CM172-0)+(CQ172-(1-CO172)*CT172)*(CM172-CJ172)+CR172*(CM172-CK172)+CS172*(CM172-CL172)</f>
        <v>1969426.47910807</v>
      </c>
      <c r="CW172" s="88" t="n">
        <f aca="false">INDEX(in_sel_fin_rate,1,C172)/365*(CU172+CV172)</f>
        <v>539.568898385774</v>
      </c>
      <c r="CX172" s="85" t="n">
        <f aca="false">CP172-IF(CN172&lt;=0,CT172,0)</f>
        <v>8955.05980126879</v>
      </c>
      <c r="CY172" s="85" t="n">
        <f aca="false">CP172+CQ172-IF(CN172&lt;=CJ172,CT172,0)</f>
        <v>20893.0367902863</v>
      </c>
      <c r="CZ172" s="85" t="n">
        <f aca="false">CP172+CQ172+CR172-IF(CN172&lt;=CK172,CT172,0)</f>
        <v>23119.7685015498</v>
      </c>
      <c r="DA172" s="85" t="n">
        <f aca="false">CP172+CQ172+CR172+CS172-IF(CN172&lt;=CL172,CT172,0)</f>
        <v>24629.7685015498</v>
      </c>
      <c r="DB172" s="88" t="n">
        <f aca="false">MAX(CX172,CY172,CZ172,DA172)</f>
        <v>24629.7685015498</v>
      </c>
      <c r="DC172" s="88" t="n">
        <f aca="false">CP172+CQ172+CR172+CS172</f>
        <v>24629.7685015498</v>
      </c>
      <c r="DD172" s="88" t="n">
        <f aca="false">CE172-CH172-CI172-CW172</f>
        <v>-8217.77286593557</v>
      </c>
      <c r="DE172" s="87" t="n">
        <f aca="false">IF(CD172&gt;0,DD172/CD172,0)</f>
        <v>-0.443578684571783</v>
      </c>
      <c r="DF172" s="86" t="n">
        <f aca="false">IF(CD172&gt;0,(BM172+CI172+CW172)/(CD172*(1-CG172)),0)</f>
        <v>1.47089032332461</v>
      </c>
      <c r="DG172" s="90" t="n">
        <f aca="false">IF(BW172&gt;0,BM172/BW172,0)</f>
        <v>0.29026834692939</v>
      </c>
      <c r="DH172" s="90" t="n">
        <f aca="false">IF(BW172&gt;0,CD172/BW172,0)</f>
        <v>0.243</v>
      </c>
      <c r="DI172" s="90" t="n">
        <f aca="false">IF(AI172&gt;0,(AI172*IF(K172=3,INDEX(in_sup_vat_rate,1,C172),0)+AV172*BA172+(BC172+BD172)*AV172/AY172+AZ172*AI172/AL172)/AI172,0)</f>
        <v>0.294496671689146</v>
      </c>
      <c r="DJ172" s="90" t="n">
        <f aca="false">IF(AJ172&gt;0,(AJ172*IF(K172=3,INDEX(in_sup_vat_rate,1,C172),0)+AW172*BA172+(BC172+BD172)*AW172/AY172+AZ172*AJ172/AL172)/AJ172,0)</f>
        <v>0.294496671689146</v>
      </c>
      <c r="DK172" s="90" t="n">
        <f aca="false">IF(AK172&gt;0,(AK172*IF(K172=3,INDEX(in_sup_vat_rate,1,C172),0)+AX172*BA172+(BC172+BD172)*AX172/AY172+AZ172*AK172/AL172)/AK172,0)</f>
        <v>0.294496671689146</v>
      </c>
      <c r="DL172" s="90" t="n">
        <f aca="false">IF(Y172&gt;0,(BP172-AI172*(1+DI172))/Y172,0)</f>
        <v>0.0959226315399651</v>
      </c>
      <c r="DM172" s="90" t="n">
        <f aca="false">IF(Z172&gt;0,(BQ172-AJ172*(1+DJ172))/Z172,0)</f>
        <v>0.113478703613415</v>
      </c>
      <c r="DN172" s="90" t="n">
        <f aca="false">IF(AA172&gt;0,(BR172-AK172*(1+DK172))/AA172,0)</f>
        <v>0.0801345425554829</v>
      </c>
      <c r="DO172" s="86" t="n">
        <f aca="false">IF(Y172&gt;0,(CA172*(1-thr_gm_go)*(1-R172)-DL172)/(1+DI172)*I172/((1+AH172)*J172),"")</f>
        <v>3.13693355325967</v>
      </c>
      <c r="DP172" s="86" t="n">
        <f aca="false">IF(Z172&gt;0,(CB172*(1-thr_gm_go)*(1-R172)-DM172)/(1+DJ172)*I172/((1+AH172)*J172),"")</f>
        <v>3.50543787155632</v>
      </c>
      <c r="DQ172" s="86" t="n">
        <f aca="false">IF(AA172&gt;0,(CC172*(1-thr_gm_go)*(1-R172)-DN172)/(1+DK172)*I172/((1+AH172)*J172),"")</f>
        <v>3.50953148849335</v>
      </c>
      <c r="DR172" s="92" t="n">
        <f aca="false">IF(AND(AY172*INDEX(in_cus_mpf_rate,1,C172)&gt;INDEX(in_cus_mpf_min,1,C172),AY172*INDEX(in_cus_mpf_rate,1,C172)&lt;INDEX(in_cus_mpf_max,1,C172)),INDEX(in_cus_mpf_rate,1,C172),0)</f>
        <v>0.003464</v>
      </c>
      <c r="DS172" s="88" t="n">
        <f aca="false">IF(AZ172&gt;INDEX(in_oce_ins_min,1,C172),INDEX(in_oce_ins_rate,1,C172)*(1+INDEX(in_oce_ins_uplift,1,C172))*AL172,0)</f>
        <v>0</v>
      </c>
      <c r="DT172" s="88" t="n">
        <f aca="false">(AL172+AN172)*(1+BA172+INDEX(in_cus_hmf,1,C172)+DR172)+DS172</f>
        <v>14584.7428566611</v>
      </c>
      <c r="DU172" s="86" t="n">
        <f aca="false">IF(DT172&gt;0,(CD172*(1-thr_gm_go)-(BM172-DT172))/DT172,0)</f>
        <v>0.435354408885679</v>
      </c>
      <c r="DV172" s="86" t="n">
        <f aca="false">IF(DT172&gt;0,(CD172-(BM172-DT172))/DT172,0)</f>
        <v>0.752913607256098</v>
      </c>
      <c r="DW172" s="87" t="n">
        <f aca="false">(1+AH172)*J172*DU172-1</f>
        <v>-0.564645591114321</v>
      </c>
      <c r="DX172" s="87" t="n">
        <f aca="false">(1+AH172)*J172*DV172-1</f>
        <v>-0.247086392743902</v>
      </c>
      <c r="DY172" s="85" t="n">
        <f aca="false">IF(G172&gt;0,(CD172*(1-thr_gm_go)-(BM172-AT172))/G172,"")</f>
        <v>-4235.2107515498</v>
      </c>
      <c r="DZ172" s="90" t="n">
        <f aca="false">IF(AB172&gt;0,(AL172+AN172+BB172+BC172+BD172)/AB172,0)</f>
        <v>0.1884333702411</v>
      </c>
      <c r="EA172" s="88" t="n">
        <f aca="false">BM172-DZ172*AB172</f>
        <v>7545.02564488866</v>
      </c>
      <c r="EB172" s="90" t="n">
        <f aca="false">IF(AB172&gt;0,CD172/AB172,0)</f>
        <v>0.239355</v>
      </c>
      <c r="EC172" s="85" t="str">
        <f aca="false">IF(EB172*(1-thr_gm_go)-DZ172&gt;0,EA172/(EB172*(1-thr_gm_go)-DZ172),"n/a")</f>
        <v>n/a</v>
      </c>
      <c r="ED172" s="85" t="n">
        <f aca="false">IF(EB172-DZ172&gt;0,EA172/(EB172-DZ172),"n/a")</f>
        <v>148169.366939202</v>
      </c>
      <c r="EE172" s="93" t="b">
        <f aca="false">INDEX(cfg_fits,D172,C172)</f>
        <v>1</v>
      </c>
      <c r="EF172" s="87" t="n">
        <f aca="false">IF(F172=4,"",INDEX(cfg_lenutil,D172,C172))</f>
        <v>0.999580888516345</v>
      </c>
      <c r="EG172" s="31" t="str">
        <f aca="false">IF(O172&gt;1,"Check fit (units scaled up)","")</f>
        <v/>
      </c>
    </row>
    <row r="173" customFormat="false" ht="15" hidden="false" customHeight="false" outlineLevel="0" collapsed="false">
      <c r="A173" s="78" t="n">
        <v>900019</v>
      </c>
      <c r="B173" s="9" t="s">
        <v>3321</v>
      </c>
      <c r="C173" s="10" t="n">
        <f aca="false">sel_scen</f>
        <v>2</v>
      </c>
      <c r="D173" s="10" t="n">
        <f aca="false">sel_cfg</f>
        <v>4</v>
      </c>
      <c r="E173" s="10" t="n">
        <f aca="false">sel_dest</f>
        <v>1</v>
      </c>
      <c r="F173" s="79" t="n">
        <f aca="false">INDEX(cfg_ct,D173)</f>
        <v>3</v>
      </c>
      <c r="G173" s="79" t="n">
        <f aca="false">INDEX(cfg_n,D173)</f>
        <v>1</v>
      </c>
      <c r="H173" s="79" t="n">
        <f aca="false">INDEX(dest_port,E173)</f>
        <v>1</v>
      </c>
      <c r="I173" s="80" t="n">
        <f aca="false">INDEX(in_fx_cbe,1,C173)*(1-INDEX(in_fx_spread,1,C173))</f>
        <v>52.7748</v>
      </c>
      <c r="J173" s="81" t="n">
        <f aca="false">1</f>
        <v>1</v>
      </c>
      <c r="K173" s="82" t="n">
        <f aca="false">INDEX(in_sup_vat_mode,1,C173)</f>
        <v>2</v>
      </c>
      <c r="L173" s="83" t="n">
        <f aca="false">INDEX(in_cus_s301,1,C173)</f>
        <v>0.125</v>
      </c>
      <c r="M173" s="84" t="n">
        <f aca="false">1</f>
        <v>1</v>
      </c>
      <c r="N173" s="81" t="n">
        <f aca="false">1</f>
        <v>1</v>
      </c>
      <c r="O173" s="81" t="n">
        <f aca="false">1</f>
        <v>1</v>
      </c>
      <c r="P173" s="81" t="n">
        <f aca="false">1</f>
        <v>1</v>
      </c>
      <c r="Q173" s="81" t="n">
        <f aca="false">1</f>
        <v>1</v>
      </c>
      <c r="R173" s="28" t="n">
        <v>0.005</v>
      </c>
      <c r="S173" s="83" t="n">
        <f aca="false">INDEX(in_mkt_dist_margin,1,C173)</f>
        <v>0.25</v>
      </c>
      <c r="T173" s="83" t="n">
        <f aca="false">INDEX(in_mkt_eflute_disc,1,C173)</f>
        <v>0.2</v>
      </c>
      <c r="U173" s="82" t="n">
        <f aca="false">INDEX(in_sel_credit_days,1,C173)</f>
        <v>45</v>
      </c>
      <c r="V173" s="81" t="n">
        <f aca="false">1</f>
        <v>1</v>
      </c>
      <c r="W173" s="83" t="n">
        <f aca="false">INDEX(in_sel_commission,1,C173)</f>
        <v>0.05</v>
      </c>
      <c r="X173" s="82" t="n">
        <f aca="false">1</f>
        <v>1</v>
      </c>
      <c r="Y173" s="85" t="n">
        <f aca="false">INDEX(cfg_u_3464,D173,C173)*O173</f>
        <v>25800</v>
      </c>
      <c r="Z173" s="85" t="n">
        <f aca="false">INDEX(cfg_u_3463,D173,C173)*O173</f>
        <v>25800</v>
      </c>
      <c r="AA173" s="85" t="n">
        <f aca="false">INDEX(cfg_u_3460,D173,C173)*O173</f>
        <v>25800</v>
      </c>
      <c r="AB173" s="85" t="n">
        <f aca="false">Y173+Z173+AA173</f>
        <v>77400</v>
      </c>
      <c r="AC173" s="86" t="n">
        <f aca="false">Y173*INDEX(lg_vpu_3464,C173)</f>
        <v>18.3539136</v>
      </c>
      <c r="AD173" s="86" t="n">
        <f aca="false">Z173*INDEX(lg_vpu_3463,C173)</f>
        <v>22.4530176</v>
      </c>
      <c r="AE173" s="86" t="n">
        <f aca="false">AA173*INDEX(lg_vpu_3460,C173)</f>
        <v>14.6676096</v>
      </c>
      <c r="AF173" s="86" t="n">
        <f aca="false">AC173+AD173+AE173</f>
        <v>55.4745408</v>
      </c>
      <c r="AG173" s="85" t="n">
        <f aca="false">Y173*INDEX(lg_kpu_3464,C173)+Z173*INDEX(lg_kpu_3463,C173)+AA173*INDEX(lg_kpu_3460,C173)</f>
        <v>13341.3537888</v>
      </c>
      <c r="AH173" s="87" t="n">
        <f aca="false">INDEX(in_sup_requote,1,C173)</f>
        <v>0</v>
      </c>
      <c r="AI173" s="88" t="n">
        <f aca="false">Y173*q_price_3464*(1+AH173)*J173/I173</f>
        <v>4089.39493849337</v>
      </c>
      <c r="AJ173" s="88" t="n">
        <f aca="false">Z173*q_price_3463*(1+AH173)*J173/I173</f>
        <v>3862.07053366379</v>
      </c>
      <c r="AK173" s="88" t="n">
        <f aca="false">AA173*q_price_3460*(1+AH173)*J173/I173</f>
        <v>3373.20084585825</v>
      </c>
      <c r="AL173" s="88" t="n">
        <f aca="false">AI173+AJ173+AK173</f>
        <v>11324.6663180154</v>
      </c>
      <c r="AM173" s="88" t="n">
        <f aca="false">IF(OR(K173=2,K173=3),AL173*INDEX(in_sup_vat_rate,1,C173),0)</f>
        <v>1585.45328452216</v>
      </c>
      <c r="AN173" s="88" t="n">
        <f aca="false">IF(K173=3,AM173,0)</f>
        <v>0</v>
      </c>
      <c r="AO173" s="88" t="n">
        <f aca="false">INDEX(in_sup_tooling_egp,1,C173)/I173</f>
        <v>0</v>
      </c>
      <c r="AP173" s="88" t="n">
        <f aca="false">IF(F173=4,INDEX(in_ori_lcl_truck,1,C173)*V173/I173+INDEX(in_ori_lcl_cfs_o,1,C173),G173*(IF(F173=1,INDEX(in_ori_truck_20,1,C173),INDEX(in_ori_truck_40,1,C173))*V173/I173+INDEX(in_ori_terminal,1,C173)+IF(F173=1,INDEX(in_ori_othc_20,1,C173),INDEX(in_ori_othc_40,1,C173))*(1-INDEX(in_ori_othc_in_freight,1,C173))+INDEX(in_ori_seal,1,C173)+INDEX(in_ori_inspection,1,C173)+INDEX(in_ori_dd_days,1,C173)*IF(F173=1,INDEX(in_ori_dd_20,1,C173),INDEX(in_ori_dd_40,1,C173))+INDEX(in_ori_loading_egp,1,C173)/I173))</f>
        <v>555.278125165799</v>
      </c>
      <c r="AQ173" s="88" t="n">
        <f aca="false">(INDEX(in_ori_clearance,1,C173)+INDEX(in_ori_coo,1,C173))/I173+INDEX(in_ori_bl_fee,1,C173)+INDEX(in_ori_fwd_fee,1,C173)+INDEX(in_ori_qc,1,C173)+INDEX(in_ori_wires,1,C173)*INDEX(in_ori_wire_fee,1,C173)</f>
        <v>817.639062582899</v>
      </c>
      <c r="AR173" s="88" t="n">
        <f aca="false">AP173+AQ173</f>
        <v>1372.9171877487</v>
      </c>
      <c r="AS173" s="85" t="n">
        <f aca="false">INDEX(tbl_port_diff,H173,C173)</f>
        <v>0</v>
      </c>
      <c r="AT173" s="88" t="n">
        <f aca="false">IF(F173=4,MAX(AF173*INDEX(in_oce_lcl_factor,1,C173),AG173/1000,1)*INDEX(in_oce_lcl_rate,1,C173)*M173,G173*(INDEX(tbl_ocean_rate,MIN(F173,3),C173)+AS173)*M173)</f>
        <v>4000</v>
      </c>
      <c r="AU173" s="88" t="n">
        <f aca="false">AT173+INDEX(in_oce_ams,1,C173)</f>
        <v>4035</v>
      </c>
      <c r="AV173" s="88" t="n">
        <f aca="false">AI173*(1+IF(K173=3,INDEX(in_sup_vat_rate,1,C173),0))+AO173*Y173/AB173</f>
        <v>4089.39493849337</v>
      </c>
      <c r="AW173" s="88" t="n">
        <f aca="false">AJ173*(1+IF(K173=3,INDEX(in_sup_vat_rate,1,C173),0))+AO173*Z173/AB173</f>
        <v>3862.07053366379</v>
      </c>
      <c r="AX173" s="88" t="n">
        <f aca="false">AK173*(1+IF(K173=3,INDEX(in_sup_vat_rate,1,C173),0))+AO173*AA173/AB173</f>
        <v>3373.20084585825</v>
      </c>
      <c r="AY173" s="88" t="n">
        <f aca="false">AV173+AW173+AX173</f>
        <v>11324.6663180154</v>
      </c>
      <c r="AZ173" s="88" t="n">
        <f aca="false">MAX(INDEX(in_oce_ins_min,1,C173),INDEX(in_oce_ins_rate,1,C173)*(1+INDEX(in_oce_ins_uplift,1,C173))*(AL173+AO173+AR173+AU173))*(1-INDEX(in_oce_ins_in_other,1,C173))</f>
        <v>75</v>
      </c>
      <c r="BA173" s="87" t="n">
        <f aca="false">INDEX(in_cus_mfn,1,C173)+L173</f>
        <v>0.125</v>
      </c>
      <c r="BB173" s="88" t="n">
        <f aca="false">AY173*BA173</f>
        <v>1415.58328975193</v>
      </c>
      <c r="BC173" s="88" t="n">
        <f aca="false">MIN(MAX(AY173*INDEX(in_cus_mpf_rate,1,C173),INDEX(in_cus_mpf_min,1,C173)),INDEX(in_cus_mpf_max,1,C173))</f>
        <v>39.2286441256054</v>
      </c>
      <c r="BD173" s="88" t="n">
        <f aca="false">AY173*INDEX(in_cus_hmf,1,C173)</f>
        <v>14.1558328975193</v>
      </c>
      <c r="BE173" s="88" t="n">
        <f aca="false">MAX(INDEX(in_cus_stb_min,1,C173),INDEX(in_cus_stb_rate,1,C173)/1000*(AY173+BB173+BC173+BD173))</f>
        <v>76.7618045087428</v>
      </c>
      <c r="BF173" s="88" t="n">
        <f aca="false">INDEX(in_cus_broker,1,C173)+INDEX(in_cus_isf,1,C173)+INDEX(in_cus_do_fee,1,C173)+BE173+INDEX(in_cus_isf_bond,1,C173)</f>
        <v>511.761804508743</v>
      </c>
      <c r="BG173" s="88" t="n">
        <f aca="false">IF(H173=1,INDEX(in_cus_cfc,1,C173)*INDEX(ct_teu,F173)*G173*(1-INDEX(in_cus_cfc_in_freight,1,C173)),0)</f>
        <v>29.6</v>
      </c>
      <c r="BH173" s="88" t="n">
        <f aca="false">IF(F173=4,1,G173)*(INDEX(in_cus_exam,1,C173)+INDEX(in_cus_exam_dray,1,C173))</f>
        <v>0</v>
      </c>
      <c r="BI173" s="88" t="n">
        <f aca="false">IF(F173=4,1,G173)*INDEX(in_cus_dem_days,1,C173)*INDEX(in_cus_dem_rate,1,C173)</f>
        <v>0</v>
      </c>
      <c r="BJ173" s="88" t="n">
        <f aca="false">BG173+BH173+BI173</f>
        <v>29.6</v>
      </c>
      <c r="BK173" s="88" t="n">
        <f aca="false">IF(F173=4,(INDEX(in_dra_lcl_cfs_d,1,C173)+INDEX(in_dra_lcl_deliv,1,C173))*P173,G173*(INDEX(tbl_dest_line,E173,C173)*P173*(1+INDEX(in_dra_fsc,1,C173))+INDEX(tbl_dest_tolls,E173,C173)+INDEX(in_dra_chassis_days,1,C173)*INDEX(tbl_dest_chassis,E173,C173)*(1-INDEX(in_dra_chassis_in_dray,1,C173))+INDEX(in_dra_wait_hours,1,C173)*INDEX(in_dra_wait_rate,1,C173)+INDEX(in_dra_split,1,C173)+INDEX(in_dra_prepull,1,C173)+INDEX(in_dra_dryrun,1,C173)))</f>
        <v>1060</v>
      </c>
      <c r="BL173" s="88" t="n">
        <f aca="false">IF(F173=4,0,G173*IF(F173=1,INDEX(in_dra_unload_20,1,C173),INDEX(in_dra_unload_40,1,C173))*Q173*(1-INDEX(in_dra_unload_in_dray,1,C173)))</f>
        <v>450</v>
      </c>
      <c r="BM173" s="88" t="n">
        <f aca="false">AL173+AN173+AO173+AR173+AU173+AZ173+BB173+BC173+BD173+BF173+BJ173+BK173+BL173</f>
        <v>20327.9130770479</v>
      </c>
      <c r="BN173" s="88" t="n">
        <f aca="false">AP173+AU173+BJ173+BK173+BL173</f>
        <v>6129.8781251658</v>
      </c>
      <c r="BO173" s="88" t="n">
        <f aca="false">AQ173+BF173</f>
        <v>1329.40086709164</v>
      </c>
      <c r="BP173" s="88" t="n">
        <f aca="false">AI173*(1+IF(K173=3,INDEX(in_sup_vat_rate,1,C173),0))+AO173*Y173/AB173+AV173*BA173+(BC173+BD173)*AV173/AY173+AZ173*AI173/AL173+BN173*AC173/AF173+BO173*Y173/AB173</f>
        <v>7118.15127339316</v>
      </c>
      <c r="BQ173" s="88" t="n">
        <f aca="false">AJ173*(1+IF(K173=3,INDEX(in_sup_vat_rate,1,C173),0))+AO173*Z173/AB173+AW173*BA173+(BC173+BD173)*AW173/AY173+AZ173*AJ173/AL173+BN173*AD173/AF173+BO173*Z173/AB173</f>
        <v>7312.78086621743</v>
      </c>
      <c r="BR173" s="88" t="n">
        <f aca="false">AK173*(1+IF(K173=3,INDEX(in_sup_vat_rate,1,C173),0))+AO173*AA173/AB173+AX173*BA173+(BC173+BD173)*AX173/AY173+AZ173*AK173/AL173+BN173*AE173/AF173+BO173*AA173/AB173</f>
        <v>5896.98093743733</v>
      </c>
      <c r="BS173" s="89" t="n">
        <f aca="false">BP173+BQ173+BR173-BM173</f>
        <v>0</v>
      </c>
      <c r="BT173" s="85" t="n">
        <f aca="false">Y173*(1-R173)</f>
        <v>25671</v>
      </c>
      <c r="BU173" s="85" t="n">
        <f aca="false">Z173*(1-R173)</f>
        <v>25671</v>
      </c>
      <c r="BV173" s="85" t="n">
        <f aca="false">AA173*(1-R173)</f>
        <v>25671</v>
      </c>
      <c r="BW173" s="85" t="n">
        <f aca="false">BT173+BU173+BV173</f>
        <v>77013</v>
      </c>
      <c r="BX173" s="90" t="n">
        <f aca="false">IF(BT173&gt;0,BP173/BT173,0)</f>
        <v>0.277283754952793</v>
      </c>
      <c r="BY173" s="90" t="n">
        <f aca="false">IF(BU173&gt;0,BQ173/BU173,0)</f>
        <v>0.284865446076017</v>
      </c>
      <c r="BZ173" s="90" t="n">
        <f aca="false">IF(BV173&gt;0,BR173/BV173,0)</f>
        <v>0.22971372121995</v>
      </c>
      <c r="CA173" s="90" t="n">
        <f aca="false">INDEX(in_mkt_listing_3464,1,C173)*(1-IF(sku_flute_3464="B",T173,0))*(1-S173)*N173</f>
        <v>0.234</v>
      </c>
      <c r="CB173" s="90" t="n">
        <f aca="false">INDEX(in_mkt_listing_3463,1,C173)*(1-IF(sku_flute_3463="B",T173,0))*(1-S173)*N173</f>
        <v>0.27</v>
      </c>
      <c r="CC173" s="90" t="n">
        <f aca="false">INDEX(in_mkt_listing_3460,1,C173)*(1-IF(sku_flute_3460="B",T173,0))*(1-S173)*N173</f>
        <v>0.225</v>
      </c>
      <c r="CD173" s="88" t="n">
        <f aca="false">BT173*CA173+BU173*CB173+BV173*CC173</f>
        <v>18714.159</v>
      </c>
      <c r="CE173" s="88" t="n">
        <f aca="false">CD173-BM173</f>
        <v>-1613.75407704791</v>
      </c>
      <c r="CF173" s="87" t="n">
        <f aca="false">IF(CD173&gt;0,CE173/CD173,0)</f>
        <v>-0.086231717762359</v>
      </c>
      <c r="CG173" s="87" t="n">
        <f aca="false">W173+INDEX(in_sel_processing,1,C173)+INDEX(in_sel_bad_debt,1,C173)</f>
        <v>0.058</v>
      </c>
      <c r="CH173" s="88" t="n">
        <f aca="false">CD173*CG173</f>
        <v>1085.421222</v>
      </c>
      <c r="CI173" s="88" t="n">
        <f aca="false">INDEX(in_sel_testing,1,C173)*X173+INDEX(in_sel_admin,1,C173)</f>
        <v>3000</v>
      </c>
      <c r="CJ173" s="79" t="n">
        <f aca="false">INDEX(in_sup_lead_days,1,C173)</f>
        <v>21</v>
      </c>
      <c r="CK173" s="79" t="n">
        <f aca="false">CJ173+INDEX(in_oce_transit,1,C173)+IF(F173=4,INDEX(in_oce_lcl_extra_days,1,C173),0)</f>
        <v>51</v>
      </c>
      <c r="CL173" s="79" t="n">
        <f aca="false">CK173+2+INDEX(in_cus_dem_days,1,C173)</f>
        <v>53</v>
      </c>
      <c r="CM173" s="79" t="n">
        <f aca="false">CL173+U173</f>
        <v>98</v>
      </c>
      <c r="CN173" s="79" t="n">
        <f aca="false">CJ173+INDEX(in_sup_vat_lag,1,C173)</f>
        <v>81</v>
      </c>
      <c r="CO173" s="91" t="n">
        <f aca="false">INDEX(in_sup_advance,1,C173)</f>
        <v>0.5</v>
      </c>
      <c r="CP173" s="88" t="n">
        <f aca="false">CO173*(AL173+AM173)+AO173+INDEX(in_sel_testing,1,C173)*X173</f>
        <v>8955.05980126879</v>
      </c>
      <c r="CQ173" s="88" t="n">
        <f aca="false">(1-CO173)*(AL173+AM173)+AR173+AU173+AZ173</f>
        <v>11937.9769890175</v>
      </c>
      <c r="CR173" s="88" t="n">
        <f aca="false">BB173+BC173+BD173+BF173+BJ173</f>
        <v>2010.32957128379</v>
      </c>
      <c r="CS173" s="88" t="n">
        <f aca="false">BK173+BL173</f>
        <v>1510</v>
      </c>
      <c r="CT173" s="88" t="n">
        <f aca="false">IF(K173=2,AM173,0)</f>
        <v>1585.45328452216</v>
      </c>
      <c r="CU173" s="85" t="n">
        <f aca="false">IF(K173=2,CO173*AM173*(CN173-0)+(1-CO173)*AM173*(CN173-CJ173),0)</f>
        <v>111774.456558812</v>
      </c>
      <c r="CV173" s="85" t="n">
        <f aca="false">(CP173-CO173*CT173)*(CM173-0)+(CQ173-(1-CO173)*CT173)*(CM173-CJ173)+CR173*(CM173-CK173)+CS173*(CM173-CL173)</f>
        <v>1820528.41613334</v>
      </c>
      <c r="CW173" s="88" t="n">
        <f aca="false">INDEX(in_sel_fin_rate,1,C173)/365*(CU173+CV173)</f>
        <v>529.398047312918</v>
      </c>
      <c r="CX173" s="85" t="n">
        <f aca="false">CP173-IF(CN173&lt;=0,CT173,0)</f>
        <v>8955.05980126879</v>
      </c>
      <c r="CY173" s="85" t="n">
        <f aca="false">CP173+CQ173-IF(CN173&lt;=CJ173,CT173,0)</f>
        <v>20893.0367902863</v>
      </c>
      <c r="CZ173" s="85" t="n">
        <f aca="false">CP173+CQ173+CR173-IF(CN173&lt;=CK173,CT173,0)</f>
        <v>22903.3663615701</v>
      </c>
      <c r="DA173" s="85" t="n">
        <f aca="false">CP173+CQ173+CR173+CS173-IF(CN173&lt;=CL173,CT173,0)</f>
        <v>24413.3663615701</v>
      </c>
      <c r="DB173" s="88" t="n">
        <f aca="false">MAX(CX173,CY173,CZ173,DA173)</f>
        <v>24413.3663615701</v>
      </c>
      <c r="DC173" s="88" t="n">
        <f aca="false">CP173+CQ173+CR173+CS173</f>
        <v>24413.3663615701</v>
      </c>
      <c r="DD173" s="88" t="n">
        <f aca="false">CE173-CH173-CI173-CW173</f>
        <v>-6228.57334636083</v>
      </c>
      <c r="DE173" s="87" t="n">
        <f aca="false">IF(CD173&gt;0,DD173/CD173,0)</f>
        <v>-0.332826783525823</v>
      </c>
      <c r="DF173" s="86" t="n">
        <f aca="false">IF(CD173&gt;0,(BM173+CI173+CW173)/(CD173*(1-CG173)),0)</f>
        <v>1.35331930310597</v>
      </c>
      <c r="DG173" s="90" t="n">
        <f aca="false">IF(BW173&gt;0,BM173/BW173,0)</f>
        <v>0.263954307416253</v>
      </c>
      <c r="DH173" s="90" t="n">
        <f aca="false">IF(BW173&gt;0,CD173/BW173,0)</f>
        <v>0.243</v>
      </c>
      <c r="DI173" s="90" t="n">
        <f aca="false">IF(AI173&gt;0,(AI173*IF(K173=3,INDEX(in_sup_vat_rate,1,C173),0)+AV173*BA173+(BC173+BD173)*AV173/AY173+AZ173*AI173/AL173)/AI173,0)</f>
        <v>0.136336711689146</v>
      </c>
      <c r="DJ173" s="90" t="n">
        <f aca="false">IF(AJ173&gt;0,(AJ173*IF(K173=3,INDEX(in_sup_vat_rate,1,C173),0)+AW173*BA173+(BC173+BD173)*AW173/AY173+AZ173*AJ173/AL173)/AJ173,0)</f>
        <v>0.136336711689146</v>
      </c>
      <c r="DK173" s="90" t="n">
        <f aca="false">IF(AK173&gt;0,(AK173*IF(K173=3,INDEX(in_sup_vat_rate,1,C173),0)+AX173*BA173+(BC173+BD173)*AX173/AY173+AZ173*AK173/AL173)/AK173,0)</f>
        <v>0.136336711689146</v>
      </c>
      <c r="DL173" s="90" t="n">
        <f aca="false">IF(Y173&gt;0,(BP173-AI173*(1+DI173))/Y173,0)</f>
        <v>0.0957837858987348</v>
      </c>
      <c r="DM173" s="90" t="n">
        <f aca="false">IF(Z173&gt;0,(BQ173-AJ173*(1+DJ173))/Z173,0)</f>
        <v>0.113339857972185</v>
      </c>
      <c r="DN173" s="90" t="n">
        <f aca="false">IF(AA173&gt;0,(BR173-AK173*(1+DK173))/AA173,0)</f>
        <v>0.0799956969142526</v>
      </c>
      <c r="DO173" s="86" t="n">
        <f aca="false">IF(Y173&gt;0,(CA173*(1-thr_gm_go)*(1-R173)-DL173)/(1+DI173)*I173/((1+AH173)*J173),"")</f>
        <v>3.66150043921985</v>
      </c>
      <c r="DP173" s="86" t="n">
        <f aca="false">IF(Z173&gt;0,(CB173*(1-thr_gm_go)*(1-R173)-DM173)/(1+DJ173)*I173/((1+AH173)*J173),"")</f>
        <v>4.09383427520744</v>
      </c>
      <c r="DQ173" s="86" t="n">
        <f aca="false">IF(AA173&gt;0,(CC173*(1-thr_gm_go)*(1-R173)-DN173)/(1+DK173)*I173/((1+AH173)*J173),"")</f>
        <v>4.08282317139364</v>
      </c>
      <c r="DR173" s="92" t="n">
        <f aca="false">IF(AND(AY173*INDEX(in_cus_mpf_rate,1,C173)&gt;INDEX(in_cus_mpf_min,1,C173),AY173*INDEX(in_cus_mpf_rate,1,C173)&lt;INDEX(in_cus_mpf_max,1,C173)),INDEX(in_cus_mpf_rate,1,C173),0)</f>
        <v>0.003464</v>
      </c>
      <c r="DS173" s="88" t="n">
        <f aca="false">IF(AZ173&gt;INDEX(in_oce_ins_min,1,C173),INDEX(in_oce_ins_rate,1,C173)*(1+INDEX(in_oce_ins_uplift,1,C173))*AL173,0)</f>
        <v>0</v>
      </c>
      <c r="DT173" s="88" t="n">
        <f aca="false">(AL173+AN173)*(1+BA173+INDEX(in_cus_hmf,1,C173)+DR173)+DS173</f>
        <v>12793.6340847905</v>
      </c>
      <c r="DU173" s="86" t="n">
        <f aca="false">IF(DT173&gt;0,(CD173*(1-thr_gm_go)-(BM173-DT173))/DT173,0)</f>
        <v>0.508169939413195</v>
      </c>
      <c r="DV173" s="86" t="n">
        <f aca="false">IF(DT173&gt;0,(CD173-(BM173-DT173))/DT173,0)</f>
        <v>0.873862729983313</v>
      </c>
      <c r="DW173" s="87" t="n">
        <f aca="false">(1+AH173)*J173*DU173-1</f>
        <v>-0.491830060586805</v>
      </c>
      <c r="DX173" s="87" t="n">
        <f aca="false">(1+AH173)*J173*DV173-1</f>
        <v>-0.126137270016687</v>
      </c>
      <c r="DY173" s="85" t="n">
        <f aca="false">IF(G173&gt;0,(CD173*(1-thr_gm_go)-(BM173-AT173))/G173,"")</f>
        <v>-2292.29382704791</v>
      </c>
      <c r="DZ173" s="90" t="n">
        <f aca="false">IF(AB173&gt;0,(AL173+AN173+BB173+BC173+BD173)/AB173,0)</f>
        <v>0.165292430036053</v>
      </c>
      <c r="EA173" s="88" t="n">
        <f aca="false">BM173-DZ173*AB173</f>
        <v>7534.27899225744</v>
      </c>
      <c r="EB173" s="90" t="n">
        <f aca="false">IF(AB173&gt;0,CD173/AB173,0)</f>
        <v>0.241785</v>
      </c>
      <c r="EC173" s="85" t="n">
        <f aca="false">IF(EB173*(1-thr_gm_go)-DZ173&gt;0,EA173/(EB173*(1-thr_gm_go)-DZ173),"n/a")</f>
        <v>469533.13963484</v>
      </c>
      <c r="ED173" s="85" t="n">
        <f aca="false">IF(EB173-DZ173&gt;0,EA173/(EB173-DZ173),"n/a")</f>
        <v>98496.8735631252</v>
      </c>
      <c r="EE173" s="93" t="b">
        <f aca="false">INDEX(cfg_fits,D173,C173)</f>
        <v>1</v>
      </c>
      <c r="EF173" s="87" t="n">
        <f aca="false">IF(F173=4,"",INDEX(cfg_lenutil,D173,C173))</f>
        <v>0.999580888516345</v>
      </c>
      <c r="EG173" s="31" t="str">
        <f aca="false">IF(O173&gt;1,"Check fit (units scaled up)","")</f>
        <v/>
      </c>
    </row>
    <row r="174" customFormat="false" ht="15" hidden="false" customHeight="false" outlineLevel="0" collapsed="false">
      <c r="A174" s="78" t="n">
        <v>900020</v>
      </c>
      <c r="B174" s="9" t="s">
        <v>3322</v>
      </c>
      <c r="C174" s="10" t="n">
        <f aca="false">sel_scen</f>
        <v>2</v>
      </c>
      <c r="D174" s="10" t="n">
        <f aca="false">sel_cfg</f>
        <v>4</v>
      </c>
      <c r="E174" s="10" t="n">
        <f aca="false">sel_dest</f>
        <v>1</v>
      </c>
      <c r="F174" s="79" t="n">
        <f aca="false">INDEX(cfg_ct,D174)</f>
        <v>3</v>
      </c>
      <c r="G174" s="79" t="n">
        <f aca="false">INDEX(cfg_n,D174)</f>
        <v>1</v>
      </c>
      <c r="H174" s="79" t="n">
        <f aca="false">INDEX(dest_port,E174)</f>
        <v>1</v>
      </c>
      <c r="I174" s="80" t="n">
        <f aca="false">INDEX(in_fx_cbe,1,C174)*(1-INDEX(in_fx_spread,1,C174))</f>
        <v>52.7748</v>
      </c>
      <c r="J174" s="81" t="n">
        <f aca="false">1</f>
        <v>1</v>
      </c>
      <c r="K174" s="82" t="n">
        <f aca="false">INDEX(in_sup_vat_mode,1,C174)</f>
        <v>2</v>
      </c>
      <c r="L174" s="83" t="n">
        <f aca="false">INDEX(in_cus_s301,1,C174)</f>
        <v>0.125</v>
      </c>
      <c r="M174" s="84" t="n">
        <f aca="false">1</f>
        <v>1</v>
      </c>
      <c r="N174" s="81" t="n">
        <f aca="false">1</f>
        <v>1</v>
      </c>
      <c r="O174" s="81" t="n">
        <f aca="false">1</f>
        <v>1</v>
      </c>
      <c r="P174" s="81" t="n">
        <f aca="false">1</f>
        <v>1</v>
      </c>
      <c r="Q174" s="81" t="n">
        <f aca="false">1</f>
        <v>1</v>
      </c>
      <c r="R174" s="28" t="n">
        <v>0.04</v>
      </c>
      <c r="S174" s="83" t="n">
        <f aca="false">INDEX(in_mkt_dist_margin,1,C174)</f>
        <v>0.25</v>
      </c>
      <c r="T174" s="83" t="n">
        <f aca="false">INDEX(in_mkt_eflute_disc,1,C174)</f>
        <v>0.2</v>
      </c>
      <c r="U174" s="82" t="n">
        <f aca="false">INDEX(in_sel_credit_days,1,C174)</f>
        <v>45</v>
      </c>
      <c r="V174" s="81" t="n">
        <f aca="false">1</f>
        <v>1</v>
      </c>
      <c r="W174" s="83" t="n">
        <f aca="false">INDEX(in_sel_commission,1,C174)</f>
        <v>0.05</v>
      </c>
      <c r="X174" s="82" t="n">
        <f aca="false">1</f>
        <v>1</v>
      </c>
      <c r="Y174" s="85" t="n">
        <f aca="false">INDEX(cfg_u_3464,D174,C174)*O174</f>
        <v>25800</v>
      </c>
      <c r="Z174" s="85" t="n">
        <f aca="false">INDEX(cfg_u_3463,D174,C174)*O174</f>
        <v>25800</v>
      </c>
      <c r="AA174" s="85" t="n">
        <f aca="false">INDEX(cfg_u_3460,D174,C174)*O174</f>
        <v>25800</v>
      </c>
      <c r="AB174" s="85" t="n">
        <f aca="false">Y174+Z174+AA174</f>
        <v>77400</v>
      </c>
      <c r="AC174" s="86" t="n">
        <f aca="false">Y174*INDEX(lg_vpu_3464,C174)</f>
        <v>18.3539136</v>
      </c>
      <c r="AD174" s="86" t="n">
        <f aca="false">Z174*INDEX(lg_vpu_3463,C174)</f>
        <v>22.4530176</v>
      </c>
      <c r="AE174" s="86" t="n">
        <f aca="false">AA174*INDEX(lg_vpu_3460,C174)</f>
        <v>14.6676096</v>
      </c>
      <c r="AF174" s="86" t="n">
        <f aca="false">AC174+AD174+AE174</f>
        <v>55.4745408</v>
      </c>
      <c r="AG174" s="85" t="n">
        <f aca="false">Y174*INDEX(lg_kpu_3464,C174)+Z174*INDEX(lg_kpu_3463,C174)+AA174*INDEX(lg_kpu_3460,C174)</f>
        <v>13341.3537888</v>
      </c>
      <c r="AH174" s="87" t="n">
        <f aca="false">INDEX(in_sup_requote,1,C174)</f>
        <v>0</v>
      </c>
      <c r="AI174" s="88" t="n">
        <f aca="false">Y174*q_price_3464*(1+AH174)*J174/I174</f>
        <v>4089.39493849337</v>
      </c>
      <c r="AJ174" s="88" t="n">
        <f aca="false">Z174*q_price_3463*(1+AH174)*J174/I174</f>
        <v>3862.07053366379</v>
      </c>
      <c r="AK174" s="88" t="n">
        <f aca="false">AA174*q_price_3460*(1+AH174)*J174/I174</f>
        <v>3373.20084585825</v>
      </c>
      <c r="AL174" s="88" t="n">
        <f aca="false">AI174+AJ174+AK174</f>
        <v>11324.6663180154</v>
      </c>
      <c r="AM174" s="88" t="n">
        <f aca="false">IF(OR(K174=2,K174=3),AL174*INDEX(in_sup_vat_rate,1,C174),0)</f>
        <v>1585.45328452216</v>
      </c>
      <c r="AN174" s="88" t="n">
        <f aca="false">IF(K174=3,AM174,0)</f>
        <v>0</v>
      </c>
      <c r="AO174" s="88" t="n">
        <f aca="false">INDEX(in_sup_tooling_egp,1,C174)/I174</f>
        <v>0</v>
      </c>
      <c r="AP174" s="88" t="n">
        <f aca="false">IF(F174=4,INDEX(in_ori_lcl_truck,1,C174)*V174/I174+INDEX(in_ori_lcl_cfs_o,1,C174),G174*(IF(F174=1,INDEX(in_ori_truck_20,1,C174),INDEX(in_ori_truck_40,1,C174))*V174/I174+INDEX(in_ori_terminal,1,C174)+IF(F174=1,INDEX(in_ori_othc_20,1,C174),INDEX(in_ori_othc_40,1,C174))*(1-INDEX(in_ori_othc_in_freight,1,C174))+INDEX(in_ori_seal,1,C174)+INDEX(in_ori_inspection,1,C174)+INDEX(in_ori_dd_days,1,C174)*IF(F174=1,INDEX(in_ori_dd_20,1,C174),INDEX(in_ori_dd_40,1,C174))+INDEX(in_ori_loading_egp,1,C174)/I174))</f>
        <v>555.278125165799</v>
      </c>
      <c r="AQ174" s="88" t="n">
        <f aca="false">(INDEX(in_ori_clearance,1,C174)+INDEX(in_ori_coo,1,C174))/I174+INDEX(in_ori_bl_fee,1,C174)+INDEX(in_ori_fwd_fee,1,C174)+INDEX(in_ori_qc,1,C174)+INDEX(in_ori_wires,1,C174)*INDEX(in_ori_wire_fee,1,C174)</f>
        <v>817.639062582899</v>
      </c>
      <c r="AR174" s="88" t="n">
        <f aca="false">AP174+AQ174</f>
        <v>1372.9171877487</v>
      </c>
      <c r="AS174" s="85" t="n">
        <f aca="false">INDEX(tbl_port_diff,H174,C174)</f>
        <v>0</v>
      </c>
      <c r="AT174" s="88" t="n">
        <f aca="false">IF(F174=4,MAX(AF174*INDEX(in_oce_lcl_factor,1,C174),AG174/1000,1)*INDEX(in_oce_lcl_rate,1,C174)*M174,G174*(INDEX(tbl_ocean_rate,MIN(F174,3),C174)+AS174)*M174)</f>
        <v>4000</v>
      </c>
      <c r="AU174" s="88" t="n">
        <f aca="false">AT174+INDEX(in_oce_ams,1,C174)</f>
        <v>4035</v>
      </c>
      <c r="AV174" s="88" t="n">
        <f aca="false">AI174*(1+IF(K174=3,INDEX(in_sup_vat_rate,1,C174),0))+AO174*Y174/AB174</f>
        <v>4089.39493849337</v>
      </c>
      <c r="AW174" s="88" t="n">
        <f aca="false">AJ174*(1+IF(K174=3,INDEX(in_sup_vat_rate,1,C174),0))+AO174*Z174/AB174</f>
        <v>3862.07053366379</v>
      </c>
      <c r="AX174" s="88" t="n">
        <f aca="false">AK174*(1+IF(K174=3,INDEX(in_sup_vat_rate,1,C174),0))+AO174*AA174/AB174</f>
        <v>3373.20084585825</v>
      </c>
      <c r="AY174" s="88" t="n">
        <f aca="false">AV174+AW174+AX174</f>
        <v>11324.6663180154</v>
      </c>
      <c r="AZ174" s="88" t="n">
        <f aca="false">MAX(INDEX(in_oce_ins_min,1,C174),INDEX(in_oce_ins_rate,1,C174)*(1+INDEX(in_oce_ins_uplift,1,C174))*(AL174+AO174+AR174+AU174))*(1-INDEX(in_oce_ins_in_other,1,C174))</f>
        <v>75</v>
      </c>
      <c r="BA174" s="87" t="n">
        <f aca="false">INDEX(in_cus_mfn,1,C174)+L174</f>
        <v>0.125</v>
      </c>
      <c r="BB174" s="88" t="n">
        <f aca="false">AY174*BA174</f>
        <v>1415.58328975193</v>
      </c>
      <c r="BC174" s="88" t="n">
        <f aca="false">MIN(MAX(AY174*INDEX(in_cus_mpf_rate,1,C174),INDEX(in_cus_mpf_min,1,C174)),INDEX(in_cus_mpf_max,1,C174))</f>
        <v>39.2286441256054</v>
      </c>
      <c r="BD174" s="88" t="n">
        <f aca="false">AY174*INDEX(in_cus_hmf,1,C174)</f>
        <v>14.1558328975193</v>
      </c>
      <c r="BE174" s="88" t="n">
        <f aca="false">MAX(INDEX(in_cus_stb_min,1,C174),INDEX(in_cus_stb_rate,1,C174)/1000*(AY174+BB174+BC174+BD174))</f>
        <v>76.7618045087428</v>
      </c>
      <c r="BF174" s="88" t="n">
        <f aca="false">INDEX(in_cus_broker,1,C174)+INDEX(in_cus_isf,1,C174)+INDEX(in_cus_do_fee,1,C174)+BE174+INDEX(in_cus_isf_bond,1,C174)</f>
        <v>511.761804508743</v>
      </c>
      <c r="BG174" s="88" t="n">
        <f aca="false">IF(H174=1,INDEX(in_cus_cfc,1,C174)*INDEX(ct_teu,F174)*G174*(1-INDEX(in_cus_cfc_in_freight,1,C174)),0)</f>
        <v>29.6</v>
      </c>
      <c r="BH174" s="88" t="n">
        <f aca="false">IF(F174=4,1,G174)*(INDEX(in_cus_exam,1,C174)+INDEX(in_cus_exam_dray,1,C174))</f>
        <v>0</v>
      </c>
      <c r="BI174" s="88" t="n">
        <f aca="false">IF(F174=4,1,G174)*INDEX(in_cus_dem_days,1,C174)*INDEX(in_cus_dem_rate,1,C174)</f>
        <v>0</v>
      </c>
      <c r="BJ174" s="88" t="n">
        <f aca="false">BG174+BH174+BI174</f>
        <v>29.6</v>
      </c>
      <c r="BK174" s="88" t="n">
        <f aca="false">IF(F174=4,(INDEX(in_dra_lcl_cfs_d,1,C174)+INDEX(in_dra_lcl_deliv,1,C174))*P174,G174*(INDEX(tbl_dest_line,E174,C174)*P174*(1+INDEX(in_dra_fsc,1,C174))+INDEX(tbl_dest_tolls,E174,C174)+INDEX(in_dra_chassis_days,1,C174)*INDEX(tbl_dest_chassis,E174,C174)*(1-INDEX(in_dra_chassis_in_dray,1,C174))+INDEX(in_dra_wait_hours,1,C174)*INDEX(in_dra_wait_rate,1,C174)+INDEX(in_dra_split,1,C174)+INDEX(in_dra_prepull,1,C174)+INDEX(in_dra_dryrun,1,C174)))</f>
        <v>1060</v>
      </c>
      <c r="BL174" s="88" t="n">
        <f aca="false">IF(F174=4,0,G174*IF(F174=1,INDEX(in_dra_unload_20,1,C174),INDEX(in_dra_unload_40,1,C174))*Q174*(1-INDEX(in_dra_unload_in_dray,1,C174)))</f>
        <v>450</v>
      </c>
      <c r="BM174" s="88" t="n">
        <f aca="false">AL174+AN174+AO174+AR174+AU174+AZ174+BB174+BC174+BD174+BF174+BJ174+BK174+BL174</f>
        <v>20327.9130770479</v>
      </c>
      <c r="BN174" s="88" t="n">
        <f aca="false">AP174+AU174+BJ174+BK174+BL174</f>
        <v>6129.8781251658</v>
      </c>
      <c r="BO174" s="88" t="n">
        <f aca="false">AQ174+BF174</f>
        <v>1329.40086709164</v>
      </c>
      <c r="BP174" s="88" t="n">
        <f aca="false">AI174*(1+IF(K174=3,INDEX(in_sup_vat_rate,1,C174),0))+AO174*Y174/AB174+AV174*BA174+(BC174+BD174)*AV174/AY174+AZ174*AI174/AL174+BN174*AC174/AF174+BO174*Y174/AB174</f>
        <v>7118.15127339316</v>
      </c>
      <c r="BQ174" s="88" t="n">
        <f aca="false">AJ174*(1+IF(K174=3,INDEX(in_sup_vat_rate,1,C174),0))+AO174*Z174/AB174+AW174*BA174+(BC174+BD174)*AW174/AY174+AZ174*AJ174/AL174+BN174*AD174/AF174+BO174*Z174/AB174</f>
        <v>7312.78086621743</v>
      </c>
      <c r="BR174" s="88" t="n">
        <f aca="false">AK174*(1+IF(K174=3,INDEX(in_sup_vat_rate,1,C174),0))+AO174*AA174/AB174+AX174*BA174+(BC174+BD174)*AX174/AY174+AZ174*AK174/AL174+BN174*AE174/AF174+BO174*AA174/AB174</f>
        <v>5896.98093743733</v>
      </c>
      <c r="BS174" s="89" t="n">
        <f aca="false">BP174+BQ174+BR174-BM174</f>
        <v>0</v>
      </c>
      <c r="BT174" s="85" t="n">
        <f aca="false">Y174*(1-R174)</f>
        <v>24768</v>
      </c>
      <c r="BU174" s="85" t="n">
        <f aca="false">Z174*(1-R174)</f>
        <v>24768</v>
      </c>
      <c r="BV174" s="85" t="n">
        <f aca="false">AA174*(1-R174)</f>
        <v>24768</v>
      </c>
      <c r="BW174" s="85" t="n">
        <f aca="false">BT174+BU174+BV174</f>
        <v>74304</v>
      </c>
      <c r="BX174" s="90" t="n">
        <f aca="false">IF(BT174&gt;0,BP174/BT174,0)</f>
        <v>0.287393058518781</v>
      </c>
      <c r="BY174" s="90" t="n">
        <f aca="false">IF(BU174&gt;0,BQ174/BU174,0)</f>
        <v>0.295251165464205</v>
      </c>
      <c r="BZ174" s="90" t="n">
        <f aca="false">IF(BV174&gt;0,BR174/BV174,0)</f>
        <v>0.238088700639427</v>
      </c>
      <c r="CA174" s="90" t="n">
        <f aca="false">INDEX(in_mkt_listing_3464,1,C174)*(1-IF(sku_flute_3464="B",T174,0))*(1-S174)*N174</f>
        <v>0.234</v>
      </c>
      <c r="CB174" s="90" t="n">
        <f aca="false">INDEX(in_mkt_listing_3463,1,C174)*(1-IF(sku_flute_3463="B",T174,0))*(1-S174)*N174</f>
        <v>0.27</v>
      </c>
      <c r="CC174" s="90" t="n">
        <f aca="false">INDEX(in_mkt_listing_3460,1,C174)*(1-IF(sku_flute_3460="B",T174,0))*(1-S174)*N174</f>
        <v>0.225</v>
      </c>
      <c r="CD174" s="88" t="n">
        <f aca="false">BT174*CA174+BU174*CB174+BV174*CC174</f>
        <v>18055.872</v>
      </c>
      <c r="CE174" s="88" t="n">
        <f aca="false">CD174-BM174</f>
        <v>-2272.04107704791</v>
      </c>
      <c r="CF174" s="87" t="n">
        <f aca="false">IF(CD174&gt;0,CE174/CD174,0)</f>
        <v>-0.125833915805778</v>
      </c>
      <c r="CG174" s="87" t="n">
        <f aca="false">W174+INDEX(in_sel_processing,1,C174)+INDEX(in_sel_bad_debt,1,C174)</f>
        <v>0.058</v>
      </c>
      <c r="CH174" s="88" t="n">
        <f aca="false">CD174*CG174</f>
        <v>1047.240576</v>
      </c>
      <c r="CI174" s="88" t="n">
        <f aca="false">INDEX(in_sel_testing,1,C174)*X174+INDEX(in_sel_admin,1,C174)</f>
        <v>3000</v>
      </c>
      <c r="CJ174" s="79" t="n">
        <f aca="false">INDEX(in_sup_lead_days,1,C174)</f>
        <v>21</v>
      </c>
      <c r="CK174" s="79" t="n">
        <f aca="false">CJ174+INDEX(in_oce_transit,1,C174)+IF(F174=4,INDEX(in_oce_lcl_extra_days,1,C174),0)</f>
        <v>51</v>
      </c>
      <c r="CL174" s="79" t="n">
        <f aca="false">CK174+2+INDEX(in_cus_dem_days,1,C174)</f>
        <v>53</v>
      </c>
      <c r="CM174" s="79" t="n">
        <f aca="false">CL174+U174</f>
        <v>98</v>
      </c>
      <c r="CN174" s="79" t="n">
        <f aca="false">CJ174+INDEX(in_sup_vat_lag,1,C174)</f>
        <v>81</v>
      </c>
      <c r="CO174" s="91" t="n">
        <f aca="false">INDEX(in_sup_advance,1,C174)</f>
        <v>0.5</v>
      </c>
      <c r="CP174" s="88" t="n">
        <f aca="false">CO174*(AL174+AM174)+AO174+INDEX(in_sel_testing,1,C174)*X174</f>
        <v>8955.05980126879</v>
      </c>
      <c r="CQ174" s="88" t="n">
        <f aca="false">(1-CO174)*(AL174+AM174)+AR174+AU174+AZ174</f>
        <v>11937.9769890175</v>
      </c>
      <c r="CR174" s="88" t="n">
        <f aca="false">BB174+BC174+BD174+BF174+BJ174</f>
        <v>2010.32957128379</v>
      </c>
      <c r="CS174" s="88" t="n">
        <f aca="false">BK174+BL174</f>
        <v>1510</v>
      </c>
      <c r="CT174" s="88" t="n">
        <f aca="false">IF(K174=2,AM174,0)</f>
        <v>1585.45328452216</v>
      </c>
      <c r="CU174" s="85" t="n">
        <f aca="false">IF(K174=2,CO174*AM174*(CN174-0)+(1-CO174)*AM174*(CN174-CJ174),0)</f>
        <v>111774.456558812</v>
      </c>
      <c r="CV174" s="85" t="n">
        <f aca="false">(CP174-CO174*CT174)*(CM174-0)+(CQ174-(1-CO174)*CT174)*(CM174-CJ174)+CR174*(CM174-CK174)+CS174*(CM174-CL174)</f>
        <v>1820528.41613334</v>
      </c>
      <c r="CW174" s="88" t="n">
        <f aca="false">INDEX(in_sel_fin_rate,1,C174)/365*(CU174+CV174)</f>
        <v>529.398047312918</v>
      </c>
      <c r="CX174" s="85" t="n">
        <f aca="false">CP174-IF(CN174&lt;=0,CT174,0)</f>
        <v>8955.05980126879</v>
      </c>
      <c r="CY174" s="85" t="n">
        <f aca="false">CP174+CQ174-IF(CN174&lt;=CJ174,CT174,0)</f>
        <v>20893.0367902863</v>
      </c>
      <c r="CZ174" s="85" t="n">
        <f aca="false">CP174+CQ174+CR174-IF(CN174&lt;=CK174,CT174,0)</f>
        <v>22903.3663615701</v>
      </c>
      <c r="DA174" s="85" t="n">
        <f aca="false">CP174+CQ174+CR174+CS174-IF(CN174&lt;=CL174,CT174,0)</f>
        <v>24413.3663615701</v>
      </c>
      <c r="DB174" s="88" t="n">
        <f aca="false">MAX(CX174,CY174,CZ174,DA174)</f>
        <v>24413.3663615701</v>
      </c>
      <c r="DC174" s="88" t="n">
        <f aca="false">CP174+CQ174+CR174+CS174</f>
        <v>24413.3663615701</v>
      </c>
      <c r="DD174" s="88" t="n">
        <f aca="false">CE174-CH174-CI174-CW174</f>
        <v>-6848.67970036082</v>
      </c>
      <c r="DE174" s="87" t="n">
        <f aca="false">IF(CD174&gt;0,DD174/CD174,0)</f>
        <v>-0.379304843341868</v>
      </c>
      <c r="DF174" s="86" t="n">
        <f aca="false">IF(CD174&gt;0,(BM174+CI174+CW174)/(CD174*(1-CG174)),0)</f>
        <v>1.40265906936504</v>
      </c>
      <c r="DG174" s="90" t="n">
        <f aca="false">IF(BW174&gt;0,BM174/BW174,0)</f>
        <v>0.273577641540804</v>
      </c>
      <c r="DH174" s="90" t="n">
        <f aca="false">IF(BW174&gt;0,CD174/BW174,0)</f>
        <v>0.243</v>
      </c>
      <c r="DI174" s="90" t="n">
        <f aca="false">IF(AI174&gt;0,(AI174*IF(K174=3,INDEX(in_sup_vat_rate,1,C174),0)+AV174*BA174+(BC174+BD174)*AV174/AY174+AZ174*AI174/AL174)/AI174,0)</f>
        <v>0.136336711689146</v>
      </c>
      <c r="DJ174" s="90" t="n">
        <f aca="false">IF(AJ174&gt;0,(AJ174*IF(K174=3,INDEX(in_sup_vat_rate,1,C174),0)+AW174*BA174+(BC174+BD174)*AW174/AY174+AZ174*AJ174/AL174)/AJ174,0)</f>
        <v>0.136336711689146</v>
      </c>
      <c r="DK174" s="90" t="n">
        <f aca="false">IF(AK174&gt;0,(AK174*IF(K174=3,INDEX(in_sup_vat_rate,1,C174),0)+AX174*BA174+(BC174+BD174)*AX174/AY174+AZ174*AK174/AL174)/AK174,0)</f>
        <v>0.136336711689146</v>
      </c>
      <c r="DL174" s="90" t="n">
        <f aca="false">IF(Y174&gt;0,(BP174-AI174*(1+DI174))/Y174,0)</f>
        <v>0.0957837858987348</v>
      </c>
      <c r="DM174" s="90" t="n">
        <f aca="false">IF(Z174&gt;0,(BQ174-AJ174*(1+DJ174))/Z174,0)</f>
        <v>0.113339857972185</v>
      </c>
      <c r="DN174" s="90" t="n">
        <f aca="false">IF(AA174&gt;0,(BR174-AK174*(1+DK174))/AA174,0)</f>
        <v>0.0799956969142526</v>
      </c>
      <c r="DO174" s="86" t="n">
        <f aca="false">IF(Y174&gt;0,(CA174*(1-thr_gm_go)*(1-R174)-DL174)/(1+DI174)*I174/((1+AH174)*J174),"")</f>
        <v>3.37622477606001</v>
      </c>
      <c r="DP174" s="86" t="n">
        <f aca="false">IF(Z174&gt;0,(CB174*(1-thr_gm_go)*(1-R174)-DM174)/(1+DJ174)*I174/((1+AH174)*J174),"")</f>
        <v>3.76467004848454</v>
      </c>
      <c r="DQ174" s="86" t="n">
        <f aca="false">IF(AA174&gt;0,(CC174*(1-thr_gm_go)*(1-R174)-DN174)/(1+DK174)*I174/((1+AH174)*J174),"")</f>
        <v>3.80851964912456</v>
      </c>
      <c r="DR174" s="92" t="n">
        <f aca="false">IF(AND(AY174*INDEX(in_cus_mpf_rate,1,C174)&gt;INDEX(in_cus_mpf_min,1,C174),AY174*INDEX(in_cus_mpf_rate,1,C174)&lt;INDEX(in_cus_mpf_max,1,C174)),INDEX(in_cus_mpf_rate,1,C174),0)</f>
        <v>0.003464</v>
      </c>
      <c r="DS174" s="88" t="n">
        <f aca="false">IF(AZ174&gt;INDEX(in_oce_ins_min,1,C174),INDEX(in_oce_ins_rate,1,C174)*(1+INDEX(in_oce_ins_uplift,1,C174))*AL174,0)</f>
        <v>0</v>
      </c>
      <c r="DT174" s="88" t="n">
        <f aca="false">(AL174+AN174)*(1+BA174+INDEX(in_cus_hmf,1,C174)+DR174)+DS174</f>
        <v>12793.6340847905</v>
      </c>
      <c r="DU174" s="86" t="n">
        <f aca="false">IF(DT174&gt;0,(CD174*(1-thr_gm_go)-(BM174-DT174))/DT174,0)</f>
        <v>0.469579242920871</v>
      </c>
      <c r="DV174" s="86" t="n">
        <f aca="false">IF(DT174&gt;0,(CD174-(BM174-DT174))/DT174,0)</f>
        <v>0.822408467993548</v>
      </c>
      <c r="DW174" s="87" t="n">
        <f aca="false">(1+AH174)*J174*DU174-1</f>
        <v>-0.530420757079129</v>
      </c>
      <c r="DX174" s="87" t="n">
        <f aca="false">(1+AH174)*J174*DV174-1</f>
        <v>-0.177591532006452</v>
      </c>
      <c r="DY174" s="85" t="n">
        <f aca="false">IF(G174&gt;0,(CD174*(1-thr_gm_go)-(BM174-AT174))/G174,"")</f>
        <v>-2786.00907704791</v>
      </c>
      <c r="DZ174" s="90" t="n">
        <f aca="false">IF(AB174&gt;0,(AL174+AN174+BB174+BC174+BD174)/AB174,0)</f>
        <v>0.165292430036053</v>
      </c>
      <c r="EA174" s="88" t="n">
        <f aca="false">BM174-DZ174*AB174</f>
        <v>7534.27899225744</v>
      </c>
      <c r="EB174" s="90" t="n">
        <f aca="false">IF(AB174&gt;0,CD174/AB174,0)</f>
        <v>0.23328</v>
      </c>
      <c r="EC174" s="85" t="n">
        <f aca="false">IF(EB174*(1-thr_gm_go)-DZ174&gt;0,EA174/(EB174*(1-thr_gm_go)-DZ174),"n/a")</f>
        <v>779335.346974933</v>
      </c>
      <c r="ED174" s="85" t="n">
        <f aca="false">IF(EB174-DZ174&gt;0,EA174/(EB174-DZ174),"n/a")</f>
        <v>110818.477498942</v>
      </c>
      <c r="EE174" s="93" t="b">
        <f aca="false">INDEX(cfg_fits,D174,C174)</f>
        <v>1</v>
      </c>
      <c r="EF174" s="87" t="n">
        <f aca="false">IF(F174=4,"",INDEX(cfg_lenutil,D174,C174))</f>
        <v>0.999580888516345</v>
      </c>
      <c r="EG174" s="31" t="str">
        <f aca="false">IF(O174&gt;1,"Check fit (units scaled up)","")</f>
        <v/>
      </c>
    </row>
    <row r="175" customFormat="false" ht="15" hidden="false" customHeight="false" outlineLevel="0" collapsed="false">
      <c r="A175" s="78" t="n">
        <v>900021</v>
      </c>
      <c r="B175" s="9" t="s">
        <v>3323</v>
      </c>
      <c r="C175" s="10" t="n">
        <f aca="false">sel_scen</f>
        <v>2</v>
      </c>
      <c r="D175" s="10" t="n">
        <f aca="false">sel_cfg</f>
        <v>4</v>
      </c>
      <c r="E175" s="10" t="n">
        <f aca="false">sel_dest</f>
        <v>1</v>
      </c>
      <c r="F175" s="79" t="n">
        <f aca="false">INDEX(cfg_ct,D175)</f>
        <v>3</v>
      </c>
      <c r="G175" s="79" t="n">
        <f aca="false">INDEX(cfg_n,D175)</f>
        <v>1</v>
      </c>
      <c r="H175" s="79" t="n">
        <f aca="false">INDEX(dest_port,E175)</f>
        <v>1</v>
      </c>
      <c r="I175" s="80" t="n">
        <f aca="false">INDEX(in_fx_cbe,1,C175)*(1-INDEX(in_fx_spread,1,C175))</f>
        <v>52.7748</v>
      </c>
      <c r="J175" s="81" t="n">
        <f aca="false">1</f>
        <v>1</v>
      </c>
      <c r="K175" s="82" t="n">
        <f aca="false">INDEX(in_sup_vat_mode,1,C175)</f>
        <v>2</v>
      </c>
      <c r="L175" s="83" t="n">
        <f aca="false">INDEX(in_cus_s301,1,C175)</f>
        <v>0.125</v>
      </c>
      <c r="M175" s="84" t="n">
        <f aca="false">1</f>
        <v>1</v>
      </c>
      <c r="N175" s="81" t="n">
        <f aca="false">1</f>
        <v>1</v>
      </c>
      <c r="O175" s="81" t="n">
        <f aca="false">1</f>
        <v>1</v>
      </c>
      <c r="P175" s="81" t="n">
        <f aca="false">1</f>
        <v>1</v>
      </c>
      <c r="Q175" s="81" t="n">
        <f aca="false">1</f>
        <v>1</v>
      </c>
      <c r="R175" s="83" t="n">
        <f aca="false">INDEX(in_sel_damage,1,C175)</f>
        <v>0.015</v>
      </c>
      <c r="S175" s="28" t="n">
        <v>0.2</v>
      </c>
      <c r="T175" s="83" t="n">
        <f aca="false">INDEX(in_mkt_eflute_disc,1,C175)</f>
        <v>0.2</v>
      </c>
      <c r="U175" s="82" t="n">
        <f aca="false">INDEX(in_sel_credit_days,1,C175)</f>
        <v>45</v>
      </c>
      <c r="V175" s="81" t="n">
        <f aca="false">1</f>
        <v>1</v>
      </c>
      <c r="W175" s="83" t="n">
        <f aca="false">INDEX(in_sel_commission,1,C175)</f>
        <v>0.05</v>
      </c>
      <c r="X175" s="82" t="n">
        <f aca="false">1</f>
        <v>1</v>
      </c>
      <c r="Y175" s="85" t="n">
        <f aca="false">INDEX(cfg_u_3464,D175,C175)*O175</f>
        <v>25800</v>
      </c>
      <c r="Z175" s="85" t="n">
        <f aca="false">INDEX(cfg_u_3463,D175,C175)*O175</f>
        <v>25800</v>
      </c>
      <c r="AA175" s="85" t="n">
        <f aca="false">INDEX(cfg_u_3460,D175,C175)*O175</f>
        <v>25800</v>
      </c>
      <c r="AB175" s="85" t="n">
        <f aca="false">Y175+Z175+AA175</f>
        <v>77400</v>
      </c>
      <c r="AC175" s="86" t="n">
        <f aca="false">Y175*INDEX(lg_vpu_3464,C175)</f>
        <v>18.3539136</v>
      </c>
      <c r="AD175" s="86" t="n">
        <f aca="false">Z175*INDEX(lg_vpu_3463,C175)</f>
        <v>22.4530176</v>
      </c>
      <c r="AE175" s="86" t="n">
        <f aca="false">AA175*INDEX(lg_vpu_3460,C175)</f>
        <v>14.6676096</v>
      </c>
      <c r="AF175" s="86" t="n">
        <f aca="false">AC175+AD175+AE175</f>
        <v>55.4745408</v>
      </c>
      <c r="AG175" s="85" t="n">
        <f aca="false">Y175*INDEX(lg_kpu_3464,C175)+Z175*INDEX(lg_kpu_3463,C175)+AA175*INDEX(lg_kpu_3460,C175)</f>
        <v>13341.3537888</v>
      </c>
      <c r="AH175" s="87" t="n">
        <f aca="false">INDEX(in_sup_requote,1,C175)</f>
        <v>0</v>
      </c>
      <c r="AI175" s="88" t="n">
        <f aca="false">Y175*q_price_3464*(1+AH175)*J175/I175</f>
        <v>4089.39493849337</v>
      </c>
      <c r="AJ175" s="88" t="n">
        <f aca="false">Z175*q_price_3463*(1+AH175)*J175/I175</f>
        <v>3862.07053366379</v>
      </c>
      <c r="AK175" s="88" t="n">
        <f aca="false">AA175*q_price_3460*(1+AH175)*J175/I175</f>
        <v>3373.20084585825</v>
      </c>
      <c r="AL175" s="88" t="n">
        <f aca="false">AI175+AJ175+AK175</f>
        <v>11324.6663180154</v>
      </c>
      <c r="AM175" s="88" t="n">
        <f aca="false">IF(OR(K175=2,K175=3),AL175*INDEX(in_sup_vat_rate,1,C175),0)</f>
        <v>1585.45328452216</v>
      </c>
      <c r="AN175" s="88" t="n">
        <f aca="false">IF(K175=3,AM175,0)</f>
        <v>0</v>
      </c>
      <c r="AO175" s="88" t="n">
        <f aca="false">INDEX(in_sup_tooling_egp,1,C175)/I175</f>
        <v>0</v>
      </c>
      <c r="AP175" s="88" t="n">
        <f aca="false">IF(F175=4,INDEX(in_ori_lcl_truck,1,C175)*V175/I175+INDEX(in_ori_lcl_cfs_o,1,C175),G175*(IF(F175=1,INDEX(in_ori_truck_20,1,C175),INDEX(in_ori_truck_40,1,C175))*V175/I175+INDEX(in_ori_terminal,1,C175)+IF(F175=1,INDEX(in_ori_othc_20,1,C175),INDEX(in_ori_othc_40,1,C175))*(1-INDEX(in_ori_othc_in_freight,1,C175))+INDEX(in_ori_seal,1,C175)+INDEX(in_ori_inspection,1,C175)+INDEX(in_ori_dd_days,1,C175)*IF(F175=1,INDEX(in_ori_dd_20,1,C175),INDEX(in_ori_dd_40,1,C175))+INDEX(in_ori_loading_egp,1,C175)/I175))</f>
        <v>555.278125165799</v>
      </c>
      <c r="AQ175" s="88" t="n">
        <f aca="false">(INDEX(in_ori_clearance,1,C175)+INDEX(in_ori_coo,1,C175))/I175+INDEX(in_ori_bl_fee,1,C175)+INDEX(in_ori_fwd_fee,1,C175)+INDEX(in_ori_qc,1,C175)+INDEX(in_ori_wires,1,C175)*INDEX(in_ori_wire_fee,1,C175)</f>
        <v>817.639062582899</v>
      </c>
      <c r="AR175" s="88" t="n">
        <f aca="false">AP175+AQ175</f>
        <v>1372.9171877487</v>
      </c>
      <c r="AS175" s="85" t="n">
        <f aca="false">INDEX(tbl_port_diff,H175,C175)</f>
        <v>0</v>
      </c>
      <c r="AT175" s="88" t="n">
        <f aca="false">IF(F175=4,MAX(AF175*INDEX(in_oce_lcl_factor,1,C175),AG175/1000,1)*INDEX(in_oce_lcl_rate,1,C175)*M175,G175*(INDEX(tbl_ocean_rate,MIN(F175,3),C175)+AS175)*M175)</f>
        <v>4000</v>
      </c>
      <c r="AU175" s="88" t="n">
        <f aca="false">AT175+INDEX(in_oce_ams,1,C175)</f>
        <v>4035</v>
      </c>
      <c r="AV175" s="88" t="n">
        <f aca="false">AI175*(1+IF(K175=3,INDEX(in_sup_vat_rate,1,C175),0))+AO175*Y175/AB175</f>
        <v>4089.39493849337</v>
      </c>
      <c r="AW175" s="88" t="n">
        <f aca="false">AJ175*(1+IF(K175=3,INDEX(in_sup_vat_rate,1,C175),0))+AO175*Z175/AB175</f>
        <v>3862.07053366379</v>
      </c>
      <c r="AX175" s="88" t="n">
        <f aca="false">AK175*(1+IF(K175=3,INDEX(in_sup_vat_rate,1,C175),0))+AO175*AA175/AB175</f>
        <v>3373.20084585825</v>
      </c>
      <c r="AY175" s="88" t="n">
        <f aca="false">AV175+AW175+AX175</f>
        <v>11324.6663180154</v>
      </c>
      <c r="AZ175" s="88" t="n">
        <f aca="false">MAX(INDEX(in_oce_ins_min,1,C175),INDEX(in_oce_ins_rate,1,C175)*(1+INDEX(in_oce_ins_uplift,1,C175))*(AL175+AO175+AR175+AU175))*(1-INDEX(in_oce_ins_in_other,1,C175))</f>
        <v>75</v>
      </c>
      <c r="BA175" s="87" t="n">
        <f aca="false">INDEX(in_cus_mfn,1,C175)+L175</f>
        <v>0.125</v>
      </c>
      <c r="BB175" s="88" t="n">
        <f aca="false">AY175*BA175</f>
        <v>1415.58328975193</v>
      </c>
      <c r="BC175" s="88" t="n">
        <f aca="false">MIN(MAX(AY175*INDEX(in_cus_mpf_rate,1,C175),INDEX(in_cus_mpf_min,1,C175)),INDEX(in_cus_mpf_max,1,C175))</f>
        <v>39.2286441256054</v>
      </c>
      <c r="BD175" s="88" t="n">
        <f aca="false">AY175*INDEX(in_cus_hmf,1,C175)</f>
        <v>14.1558328975193</v>
      </c>
      <c r="BE175" s="88" t="n">
        <f aca="false">MAX(INDEX(in_cus_stb_min,1,C175),INDEX(in_cus_stb_rate,1,C175)/1000*(AY175+BB175+BC175+BD175))</f>
        <v>76.7618045087428</v>
      </c>
      <c r="BF175" s="88" t="n">
        <f aca="false">INDEX(in_cus_broker,1,C175)+INDEX(in_cus_isf,1,C175)+INDEX(in_cus_do_fee,1,C175)+BE175+INDEX(in_cus_isf_bond,1,C175)</f>
        <v>511.761804508743</v>
      </c>
      <c r="BG175" s="88" t="n">
        <f aca="false">IF(H175=1,INDEX(in_cus_cfc,1,C175)*INDEX(ct_teu,F175)*G175*(1-INDEX(in_cus_cfc_in_freight,1,C175)),0)</f>
        <v>29.6</v>
      </c>
      <c r="BH175" s="88" t="n">
        <f aca="false">IF(F175=4,1,G175)*(INDEX(in_cus_exam,1,C175)+INDEX(in_cus_exam_dray,1,C175))</f>
        <v>0</v>
      </c>
      <c r="BI175" s="88" t="n">
        <f aca="false">IF(F175=4,1,G175)*INDEX(in_cus_dem_days,1,C175)*INDEX(in_cus_dem_rate,1,C175)</f>
        <v>0</v>
      </c>
      <c r="BJ175" s="88" t="n">
        <f aca="false">BG175+BH175+BI175</f>
        <v>29.6</v>
      </c>
      <c r="BK175" s="88" t="n">
        <f aca="false">IF(F175=4,(INDEX(in_dra_lcl_cfs_d,1,C175)+INDEX(in_dra_lcl_deliv,1,C175))*P175,G175*(INDEX(tbl_dest_line,E175,C175)*P175*(1+INDEX(in_dra_fsc,1,C175))+INDEX(tbl_dest_tolls,E175,C175)+INDEX(in_dra_chassis_days,1,C175)*INDEX(tbl_dest_chassis,E175,C175)*(1-INDEX(in_dra_chassis_in_dray,1,C175))+INDEX(in_dra_wait_hours,1,C175)*INDEX(in_dra_wait_rate,1,C175)+INDEX(in_dra_split,1,C175)+INDEX(in_dra_prepull,1,C175)+INDEX(in_dra_dryrun,1,C175)))</f>
        <v>1060</v>
      </c>
      <c r="BL175" s="88" t="n">
        <f aca="false">IF(F175=4,0,G175*IF(F175=1,INDEX(in_dra_unload_20,1,C175),INDEX(in_dra_unload_40,1,C175))*Q175*(1-INDEX(in_dra_unload_in_dray,1,C175)))</f>
        <v>450</v>
      </c>
      <c r="BM175" s="88" t="n">
        <f aca="false">AL175+AN175+AO175+AR175+AU175+AZ175+BB175+BC175+BD175+BF175+BJ175+BK175+BL175</f>
        <v>20327.9130770479</v>
      </c>
      <c r="BN175" s="88" t="n">
        <f aca="false">AP175+AU175+BJ175+BK175+BL175</f>
        <v>6129.8781251658</v>
      </c>
      <c r="BO175" s="88" t="n">
        <f aca="false">AQ175+BF175</f>
        <v>1329.40086709164</v>
      </c>
      <c r="BP175" s="88" t="n">
        <f aca="false">AI175*(1+IF(K175=3,INDEX(in_sup_vat_rate,1,C175),0))+AO175*Y175/AB175+AV175*BA175+(BC175+BD175)*AV175/AY175+AZ175*AI175/AL175+BN175*AC175/AF175+BO175*Y175/AB175</f>
        <v>7118.15127339316</v>
      </c>
      <c r="BQ175" s="88" t="n">
        <f aca="false">AJ175*(1+IF(K175=3,INDEX(in_sup_vat_rate,1,C175),0))+AO175*Z175/AB175+AW175*BA175+(BC175+BD175)*AW175/AY175+AZ175*AJ175/AL175+BN175*AD175/AF175+BO175*Z175/AB175</f>
        <v>7312.78086621743</v>
      </c>
      <c r="BR175" s="88" t="n">
        <f aca="false">AK175*(1+IF(K175=3,INDEX(in_sup_vat_rate,1,C175),0))+AO175*AA175/AB175+AX175*BA175+(BC175+BD175)*AX175/AY175+AZ175*AK175/AL175+BN175*AE175/AF175+BO175*AA175/AB175</f>
        <v>5896.98093743733</v>
      </c>
      <c r="BS175" s="89" t="n">
        <f aca="false">BP175+BQ175+BR175-BM175</f>
        <v>0</v>
      </c>
      <c r="BT175" s="85" t="n">
        <f aca="false">Y175*(1-R175)</f>
        <v>25413</v>
      </c>
      <c r="BU175" s="85" t="n">
        <f aca="false">Z175*(1-R175)</f>
        <v>25413</v>
      </c>
      <c r="BV175" s="85" t="n">
        <f aca="false">AA175*(1-R175)</f>
        <v>25413</v>
      </c>
      <c r="BW175" s="85" t="n">
        <f aca="false">BT175+BU175+BV175</f>
        <v>76239</v>
      </c>
      <c r="BX175" s="90" t="n">
        <f aca="false">IF(BT175&gt;0,BP175/BT175,0)</f>
        <v>0.280098818454852</v>
      </c>
      <c r="BY175" s="90" t="n">
        <f aca="false">IF(BU175&gt;0,BQ175/BU175,0)</f>
        <v>0.28775748106156</v>
      </c>
      <c r="BZ175" s="90" t="n">
        <f aca="false">IF(BV175&gt;0,BR175/BV175,0)</f>
        <v>0.232045840217106</v>
      </c>
      <c r="CA175" s="90" t="n">
        <f aca="false">INDEX(in_mkt_listing_3464,1,C175)*(1-IF(sku_flute_3464="B",T175,0))*(1-S175)*N175</f>
        <v>0.2496</v>
      </c>
      <c r="CB175" s="90" t="n">
        <f aca="false">INDEX(in_mkt_listing_3463,1,C175)*(1-IF(sku_flute_3463="B",T175,0))*(1-S175)*N175</f>
        <v>0.288</v>
      </c>
      <c r="CC175" s="90" t="n">
        <f aca="false">INDEX(in_mkt_listing_3460,1,C175)*(1-IF(sku_flute_3460="B",T175,0))*(1-S175)*N175</f>
        <v>0.24</v>
      </c>
      <c r="CD175" s="88" t="n">
        <f aca="false">BT175*CA175+BU175*CB175+BV175*CC175</f>
        <v>19761.1488</v>
      </c>
      <c r="CE175" s="88" t="n">
        <f aca="false">CD175-BM175</f>
        <v>-566.764277047907</v>
      </c>
      <c r="CF175" s="87" t="n">
        <f aca="false">IF(CD175&gt;0,CE175/CD175,0)</f>
        <v>-0.0286807352540105</v>
      </c>
      <c r="CG175" s="87" t="n">
        <f aca="false">W175+INDEX(in_sel_processing,1,C175)+INDEX(in_sel_bad_debt,1,C175)</f>
        <v>0.058</v>
      </c>
      <c r="CH175" s="88" t="n">
        <f aca="false">CD175*CG175</f>
        <v>1146.1466304</v>
      </c>
      <c r="CI175" s="88" t="n">
        <f aca="false">INDEX(in_sel_testing,1,C175)*X175+INDEX(in_sel_admin,1,C175)</f>
        <v>3000</v>
      </c>
      <c r="CJ175" s="79" t="n">
        <f aca="false">INDEX(in_sup_lead_days,1,C175)</f>
        <v>21</v>
      </c>
      <c r="CK175" s="79" t="n">
        <f aca="false">CJ175+INDEX(in_oce_transit,1,C175)+IF(F175=4,INDEX(in_oce_lcl_extra_days,1,C175),0)</f>
        <v>51</v>
      </c>
      <c r="CL175" s="79" t="n">
        <f aca="false">CK175+2+INDEX(in_cus_dem_days,1,C175)</f>
        <v>53</v>
      </c>
      <c r="CM175" s="79" t="n">
        <f aca="false">CL175+U175</f>
        <v>98</v>
      </c>
      <c r="CN175" s="79" t="n">
        <f aca="false">CJ175+INDEX(in_sup_vat_lag,1,C175)</f>
        <v>81</v>
      </c>
      <c r="CO175" s="91" t="n">
        <f aca="false">INDEX(in_sup_advance,1,C175)</f>
        <v>0.5</v>
      </c>
      <c r="CP175" s="88" t="n">
        <f aca="false">CO175*(AL175+AM175)+AO175+INDEX(in_sel_testing,1,C175)*X175</f>
        <v>8955.05980126879</v>
      </c>
      <c r="CQ175" s="88" t="n">
        <f aca="false">(1-CO175)*(AL175+AM175)+AR175+AU175+AZ175</f>
        <v>11937.9769890175</v>
      </c>
      <c r="CR175" s="88" t="n">
        <f aca="false">BB175+BC175+BD175+BF175+BJ175</f>
        <v>2010.32957128379</v>
      </c>
      <c r="CS175" s="88" t="n">
        <f aca="false">BK175+BL175</f>
        <v>1510</v>
      </c>
      <c r="CT175" s="88" t="n">
        <f aca="false">IF(K175=2,AM175,0)</f>
        <v>1585.45328452216</v>
      </c>
      <c r="CU175" s="85" t="n">
        <f aca="false">IF(K175=2,CO175*AM175*(CN175-0)+(1-CO175)*AM175*(CN175-CJ175),0)</f>
        <v>111774.456558812</v>
      </c>
      <c r="CV175" s="85" t="n">
        <f aca="false">(CP175-CO175*CT175)*(CM175-0)+(CQ175-(1-CO175)*CT175)*(CM175-CJ175)+CR175*(CM175-CK175)+CS175*(CM175-CL175)</f>
        <v>1820528.41613334</v>
      </c>
      <c r="CW175" s="88" t="n">
        <f aca="false">INDEX(in_sel_fin_rate,1,C175)/365*(CU175+CV175)</f>
        <v>529.398047312918</v>
      </c>
      <c r="CX175" s="85" t="n">
        <f aca="false">CP175-IF(CN175&lt;=0,CT175,0)</f>
        <v>8955.05980126879</v>
      </c>
      <c r="CY175" s="85" t="n">
        <f aca="false">CP175+CQ175-IF(CN175&lt;=CJ175,CT175,0)</f>
        <v>20893.0367902863</v>
      </c>
      <c r="CZ175" s="85" t="n">
        <f aca="false">CP175+CQ175+CR175-IF(CN175&lt;=CK175,CT175,0)</f>
        <v>22903.3663615701</v>
      </c>
      <c r="DA175" s="85" t="n">
        <f aca="false">CP175+CQ175+CR175+CS175-IF(CN175&lt;=CL175,CT175,0)</f>
        <v>24413.3663615701</v>
      </c>
      <c r="DB175" s="88" t="n">
        <f aca="false">MAX(CX175,CY175,CZ175,DA175)</f>
        <v>24413.3663615701</v>
      </c>
      <c r="DC175" s="88" t="n">
        <f aca="false">CP175+CQ175+CR175+CS175</f>
        <v>24413.3663615701</v>
      </c>
      <c r="DD175" s="88" t="n">
        <f aca="false">CE175-CH175-CI175-CW175</f>
        <v>-5242.30895476083</v>
      </c>
      <c r="DE175" s="87" t="n">
        <f aca="false">IF(CD175&gt;0,DD175/CD175,0)</f>
        <v>-0.265283613205768</v>
      </c>
      <c r="DF175" s="86" t="n">
        <f aca="false">IF(CD175&gt;0,(BM175+CI175+CW175)/(CD175*(1-CG175)),0)</f>
        <v>1.28161742378532</v>
      </c>
      <c r="DG175" s="90" t="n">
        <f aca="false">IF(BW175&gt;0,BM175/BW175,0)</f>
        <v>0.26663404657784</v>
      </c>
      <c r="DH175" s="90" t="n">
        <f aca="false">IF(BW175&gt;0,CD175/BW175,0)</f>
        <v>0.2592</v>
      </c>
      <c r="DI175" s="90" t="n">
        <f aca="false">IF(AI175&gt;0,(AI175*IF(K175=3,INDEX(in_sup_vat_rate,1,C175),0)+AV175*BA175+(BC175+BD175)*AV175/AY175+AZ175*AI175/AL175)/AI175,0)</f>
        <v>0.136336711689146</v>
      </c>
      <c r="DJ175" s="90" t="n">
        <f aca="false">IF(AJ175&gt;0,(AJ175*IF(K175=3,INDEX(in_sup_vat_rate,1,C175),0)+AW175*BA175+(BC175+BD175)*AW175/AY175+AZ175*AJ175/AL175)/AJ175,0)</f>
        <v>0.136336711689146</v>
      </c>
      <c r="DK175" s="90" t="n">
        <f aca="false">IF(AK175&gt;0,(AK175*IF(K175=3,INDEX(in_sup_vat_rate,1,C175),0)+AX175*BA175+(BC175+BD175)*AX175/AY175+AZ175*AK175/AL175)/AK175,0)</f>
        <v>0.136336711689146</v>
      </c>
      <c r="DL175" s="90" t="n">
        <f aca="false">IF(Y175&gt;0,(BP175-AI175*(1+DI175))/Y175,0)</f>
        <v>0.0957837858987348</v>
      </c>
      <c r="DM175" s="90" t="n">
        <f aca="false">IF(Z175&gt;0,(BQ175-AJ175*(1+DJ175))/Z175,0)</f>
        <v>0.113339857972185</v>
      </c>
      <c r="DN175" s="90" t="n">
        <f aca="false">IF(AA175&gt;0,(BR175-AK175*(1+DK175))/AA175,0)</f>
        <v>0.0799956969142526</v>
      </c>
      <c r="DO175" s="86" t="n">
        <f aca="false">IF(Y175&gt;0,(CA175*(1-thr_gm_go)*(1-R175)-DL175)/(1+DI175)*I175/((1+AH175)*J175),"")</f>
        <v>4.11522458919789</v>
      </c>
      <c r="DP175" s="86" t="n">
        <f aca="false">IF(Z175&gt;0,(CB175*(1-thr_gm_go)*(1-R175)-DM175)/(1+DJ175)*I175/((1+AH175)*J175),"")</f>
        <v>4.61736214056672</v>
      </c>
      <c r="DQ175" s="86" t="n">
        <f aca="false">IF(AA175&gt;0,(CC175*(1-thr_gm_go)*(1-R175)-DN175)/(1+DK175)*I175/((1+AH175)*J175),"")</f>
        <v>4.51909639252637</v>
      </c>
      <c r="DR175" s="92" t="n">
        <f aca="false">IF(AND(AY175*INDEX(in_cus_mpf_rate,1,C175)&gt;INDEX(in_cus_mpf_min,1,C175),AY175*INDEX(in_cus_mpf_rate,1,C175)&lt;INDEX(in_cus_mpf_max,1,C175)),INDEX(in_cus_mpf_rate,1,C175),0)</f>
        <v>0.003464</v>
      </c>
      <c r="DS175" s="88" t="n">
        <f aca="false">IF(AZ175&gt;INDEX(in_oce_ins_min,1,C175),INDEX(in_oce_ins_rate,1,C175)*(1+INDEX(in_oce_ins_uplift,1,C175))*AL175,0)</f>
        <v>0</v>
      </c>
      <c r="DT175" s="88" t="n">
        <f aca="false">(AL175+AN175)*(1+BA175+INDEX(in_cus_hmf,1,C175)+DR175)+DS175</f>
        <v>12793.6340847905</v>
      </c>
      <c r="DU175" s="86" t="n">
        <f aca="false">IF(DT175&gt;0,(CD175*(1-thr_gm_go)-(BM175-DT175))/DT175,0)</f>
        <v>0.56954752335813</v>
      </c>
      <c r="DV175" s="86" t="n">
        <f aca="false">IF(DT175&gt;0,(CD175-(BM175-DT175))/DT175,0)</f>
        <v>0.955699508576559</v>
      </c>
      <c r="DW175" s="87" t="n">
        <f aca="false">(1+AH175)*J175*DU175-1</f>
        <v>-0.430452476641871</v>
      </c>
      <c r="DX175" s="87" t="n">
        <f aca="false">(1+AH175)*J175*DV175-1</f>
        <v>-0.0443004914234414</v>
      </c>
      <c r="DY175" s="85" t="n">
        <f aca="false">IF(G175&gt;0,(CD175*(1-thr_gm_go)-(BM175-AT175))/G175,"")</f>
        <v>-1507.05147704791</v>
      </c>
      <c r="DZ175" s="90" t="n">
        <f aca="false">IF(AB175&gt;0,(AL175+AN175+BB175+BC175+BD175)/AB175,0)</f>
        <v>0.165292430036053</v>
      </c>
      <c r="EA175" s="88" t="n">
        <f aca="false">BM175-DZ175*AB175</f>
        <v>7534.27899225744</v>
      </c>
      <c r="EB175" s="90" t="n">
        <f aca="false">IF(AB175&gt;0,CD175/AB175,0)</f>
        <v>0.255312</v>
      </c>
      <c r="EC175" s="85" t="n">
        <f aca="false">IF(EB175*(1-thr_gm_go)-DZ175&gt;0,EA175/(EB175*(1-thr_gm_go)-DZ175),"n/a")</f>
        <v>287660.457262712</v>
      </c>
      <c r="ED175" s="85" t="n">
        <f aca="false">IF(EB175-DZ175&gt;0,EA175/(EB175-DZ175),"n/a")</f>
        <v>83696.0118258163</v>
      </c>
      <c r="EE175" s="93" t="b">
        <f aca="false">INDEX(cfg_fits,D175,C175)</f>
        <v>1</v>
      </c>
      <c r="EF175" s="87" t="n">
        <f aca="false">IF(F175=4,"",INDEX(cfg_lenutil,D175,C175))</f>
        <v>0.999580888516345</v>
      </c>
      <c r="EG175" s="31" t="str">
        <f aca="false">IF(O175&gt;1,"Check fit (units scaled up)","")</f>
        <v/>
      </c>
    </row>
    <row r="176" customFormat="false" ht="15" hidden="false" customHeight="false" outlineLevel="0" collapsed="false">
      <c r="A176" s="78" t="n">
        <v>900022</v>
      </c>
      <c r="B176" s="9" t="s">
        <v>3324</v>
      </c>
      <c r="C176" s="10" t="n">
        <f aca="false">sel_scen</f>
        <v>2</v>
      </c>
      <c r="D176" s="10" t="n">
        <f aca="false">sel_cfg</f>
        <v>4</v>
      </c>
      <c r="E176" s="10" t="n">
        <f aca="false">sel_dest</f>
        <v>1</v>
      </c>
      <c r="F176" s="79" t="n">
        <f aca="false">INDEX(cfg_ct,D176)</f>
        <v>3</v>
      </c>
      <c r="G176" s="79" t="n">
        <f aca="false">INDEX(cfg_n,D176)</f>
        <v>1</v>
      </c>
      <c r="H176" s="79" t="n">
        <f aca="false">INDEX(dest_port,E176)</f>
        <v>1</v>
      </c>
      <c r="I176" s="80" t="n">
        <f aca="false">INDEX(in_fx_cbe,1,C176)*(1-INDEX(in_fx_spread,1,C176))</f>
        <v>52.7748</v>
      </c>
      <c r="J176" s="81" t="n">
        <f aca="false">1</f>
        <v>1</v>
      </c>
      <c r="K176" s="82" t="n">
        <f aca="false">INDEX(in_sup_vat_mode,1,C176)</f>
        <v>2</v>
      </c>
      <c r="L176" s="83" t="n">
        <f aca="false">INDEX(in_cus_s301,1,C176)</f>
        <v>0.125</v>
      </c>
      <c r="M176" s="84" t="n">
        <f aca="false">1</f>
        <v>1</v>
      </c>
      <c r="N176" s="81" t="n">
        <f aca="false">1</f>
        <v>1</v>
      </c>
      <c r="O176" s="81" t="n">
        <f aca="false">1</f>
        <v>1</v>
      </c>
      <c r="P176" s="81" t="n">
        <f aca="false">1</f>
        <v>1</v>
      </c>
      <c r="Q176" s="81" t="n">
        <f aca="false">1</f>
        <v>1</v>
      </c>
      <c r="R176" s="83" t="n">
        <f aca="false">INDEX(in_sel_damage,1,C176)</f>
        <v>0.015</v>
      </c>
      <c r="S176" s="28" t="n">
        <v>0.3</v>
      </c>
      <c r="T176" s="83" t="n">
        <f aca="false">INDEX(in_mkt_eflute_disc,1,C176)</f>
        <v>0.2</v>
      </c>
      <c r="U176" s="82" t="n">
        <f aca="false">INDEX(in_sel_credit_days,1,C176)</f>
        <v>45</v>
      </c>
      <c r="V176" s="81" t="n">
        <f aca="false">1</f>
        <v>1</v>
      </c>
      <c r="W176" s="83" t="n">
        <f aca="false">INDEX(in_sel_commission,1,C176)</f>
        <v>0.05</v>
      </c>
      <c r="X176" s="82" t="n">
        <f aca="false">1</f>
        <v>1</v>
      </c>
      <c r="Y176" s="85" t="n">
        <f aca="false">INDEX(cfg_u_3464,D176,C176)*O176</f>
        <v>25800</v>
      </c>
      <c r="Z176" s="85" t="n">
        <f aca="false">INDEX(cfg_u_3463,D176,C176)*O176</f>
        <v>25800</v>
      </c>
      <c r="AA176" s="85" t="n">
        <f aca="false">INDEX(cfg_u_3460,D176,C176)*O176</f>
        <v>25800</v>
      </c>
      <c r="AB176" s="85" t="n">
        <f aca="false">Y176+Z176+AA176</f>
        <v>77400</v>
      </c>
      <c r="AC176" s="86" t="n">
        <f aca="false">Y176*INDEX(lg_vpu_3464,C176)</f>
        <v>18.3539136</v>
      </c>
      <c r="AD176" s="86" t="n">
        <f aca="false">Z176*INDEX(lg_vpu_3463,C176)</f>
        <v>22.4530176</v>
      </c>
      <c r="AE176" s="86" t="n">
        <f aca="false">AA176*INDEX(lg_vpu_3460,C176)</f>
        <v>14.6676096</v>
      </c>
      <c r="AF176" s="86" t="n">
        <f aca="false">AC176+AD176+AE176</f>
        <v>55.4745408</v>
      </c>
      <c r="AG176" s="85" t="n">
        <f aca="false">Y176*INDEX(lg_kpu_3464,C176)+Z176*INDEX(lg_kpu_3463,C176)+AA176*INDEX(lg_kpu_3460,C176)</f>
        <v>13341.3537888</v>
      </c>
      <c r="AH176" s="87" t="n">
        <f aca="false">INDEX(in_sup_requote,1,C176)</f>
        <v>0</v>
      </c>
      <c r="AI176" s="88" t="n">
        <f aca="false">Y176*q_price_3464*(1+AH176)*J176/I176</f>
        <v>4089.39493849337</v>
      </c>
      <c r="AJ176" s="88" t="n">
        <f aca="false">Z176*q_price_3463*(1+AH176)*J176/I176</f>
        <v>3862.07053366379</v>
      </c>
      <c r="AK176" s="88" t="n">
        <f aca="false">AA176*q_price_3460*(1+AH176)*J176/I176</f>
        <v>3373.20084585825</v>
      </c>
      <c r="AL176" s="88" t="n">
        <f aca="false">AI176+AJ176+AK176</f>
        <v>11324.6663180154</v>
      </c>
      <c r="AM176" s="88" t="n">
        <f aca="false">IF(OR(K176=2,K176=3),AL176*INDEX(in_sup_vat_rate,1,C176),0)</f>
        <v>1585.45328452216</v>
      </c>
      <c r="AN176" s="88" t="n">
        <f aca="false">IF(K176=3,AM176,0)</f>
        <v>0</v>
      </c>
      <c r="AO176" s="88" t="n">
        <f aca="false">INDEX(in_sup_tooling_egp,1,C176)/I176</f>
        <v>0</v>
      </c>
      <c r="AP176" s="88" t="n">
        <f aca="false">IF(F176=4,INDEX(in_ori_lcl_truck,1,C176)*V176/I176+INDEX(in_ori_lcl_cfs_o,1,C176),G176*(IF(F176=1,INDEX(in_ori_truck_20,1,C176),INDEX(in_ori_truck_40,1,C176))*V176/I176+INDEX(in_ori_terminal,1,C176)+IF(F176=1,INDEX(in_ori_othc_20,1,C176),INDEX(in_ori_othc_40,1,C176))*(1-INDEX(in_ori_othc_in_freight,1,C176))+INDEX(in_ori_seal,1,C176)+INDEX(in_ori_inspection,1,C176)+INDEX(in_ori_dd_days,1,C176)*IF(F176=1,INDEX(in_ori_dd_20,1,C176),INDEX(in_ori_dd_40,1,C176))+INDEX(in_ori_loading_egp,1,C176)/I176))</f>
        <v>555.278125165799</v>
      </c>
      <c r="AQ176" s="88" t="n">
        <f aca="false">(INDEX(in_ori_clearance,1,C176)+INDEX(in_ori_coo,1,C176))/I176+INDEX(in_ori_bl_fee,1,C176)+INDEX(in_ori_fwd_fee,1,C176)+INDEX(in_ori_qc,1,C176)+INDEX(in_ori_wires,1,C176)*INDEX(in_ori_wire_fee,1,C176)</f>
        <v>817.639062582899</v>
      </c>
      <c r="AR176" s="88" t="n">
        <f aca="false">AP176+AQ176</f>
        <v>1372.9171877487</v>
      </c>
      <c r="AS176" s="85" t="n">
        <f aca="false">INDEX(tbl_port_diff,H176,C176)</f>
        <v>0</v>
      </c>
      <c r="AT176" s="88" t="n">
        <f aca="false">IF(F176=4,MAX(AF176*INDEX(in_oce_lcl_factor,1,C176),AG176/1000,1)*INDEX(in_oce_lcl_rate,1,C176)*M176,G176*(INDEX(tbl_ocean_rate,MIN(F176,3),C176)+AS176)*M176)</f>
        <v>4000</v>
      </c>
      <c r="AU176" s="88" t="n">
        <f aca="false">AT176+INDEX(in_oce_ams,1,C176)</f>
        <v>4035</v>
      </c>
      <c r="AV176" s="88" t="n">
        <f aca="false">AI176*(1+IF(K176=3,INDEX(in_sup_vat_rate,1,C176),0))+AO176*Y176/AB176</f>
        <v>4089.39493849337</v>
      </c>
      <c r="AW176" s="88" t="n">
        <f aca="false">AJ176*(1+IF(K176=3,INDEX(in_sup_vat_rate,1,C176),0))+AO176*Z176/AB176</f>
        <v>3862.07053366379</v>
      </c>
      <c r="AX176" s="88" t="n">
        <f aca="false">AK176*(1+IF(K176=3,INDEX(in_sup_vat_rate,1,C176),0))+AO176*AA176/AB176</f>
        <v>3373.20084585825</v>
      </c>
      <c r="AY176" s="88" t="n">
        <f aca="false">AV176+AW176+AX176</f>
        <v>11324.6663180154</v>
      </c>
      <c r="AZ176" s="88" t="n">
        <f aca="false">MAX(INDEX(in_oce_ins_min,1,C176),INDEX(in_oce_ins_rate,1,C176)*(1+INDEX(in_oce_ins_uplift,1,C176))*(AL176+AO176+AR176+AU176))*(1-INDEX(in_oce_ins_in_other,1,C176))</f>
        <v>75</v>
      </c>
      <c r="BA176" s="87" t="n">
        <f aca="false">INDEX(in_cus_mfn,1,C176)+L176</f>
        <v>0.125</v>
      </c>
      <c r="BB176" s="88" t="n">
        <f aca="false">AY176*BA176</f>
        <v>1415.58328975193</v>
      </c>
      <c r="BC176" s="88" t="n">
        <f aca="false">MIN(MAX(AY176*INDEX(in_cus_mpf_rate,1,C176),INDEX(in_cus_mpf_min,1,C176)),INDEX(in_cus_mpf_max,1,C176))</f>
        <v>39.2286441256054</v>
      </c>
      <c r="BD176" s="88" t="n">
        <f aca="false">AY176*INDEX(in_cus_hmf,1,C176)</f>
        <v>14.1558328975193</v>
      </c>
      <c r="BE176" s="88" t="n">
        <f aca="false">MAX(INDEX(in_cus_stb_min,1,C176),INDEX(in_cus_stb_rate,1,C176)/1000*(AY176+BB176+BC176+BD176))</f>
        <v>76.7618045087428</v>
      </c>
      <c r="BF176" s="88" t="n">
        <f aca="false">INDEX(in_cus_broker,1,C176)+INDEX(in_cus_isf,1,C176)+INDEX(in_cus_do_fee,1,C176)+BE176+INDEX(in_cus_isf_bond,1,C176)</f>
        <v>511.761804508743</v>
      </c>
      <c r="BG176" s="88" t="n">
        <f aca="false">IF(H176=1,INDEX(in_cus_cfc,1,C176)*INDEX(ct_teu,F176)*G176*(1-INDEX(in_cus_cfc_in_freight,1,C176)),0)</f>
        <v>29.6</v>
      </c>
      <c r="BH176" s="88" t="n">
        <f aca="false">IF(F176=4,1,G176)*(INDEX(in_cus_exam,1,C176)+INDEX(in_cus_exam_dray,1,C176))</f>
        <v>0</v>
      </c>
      <c r="BI176" s="88" t="n">
        <f aca="false">IF(F176=4,1,G176)*INDEX(in_cus_dem_days,1,C176)*INDEX(in_cus_dem_rate,1,C176)</f>
        <v>0</v>
      </c>
      <c r="BJ176" s="88" t="n">
        <f aca="false">BG176+BH176+BI176</f>
        <v>29.6</v>
      </c>
      <c r="BK176" s="88" t="n">
        <f aca="false">IF(F176=4,(INDEX(in_dra_lcl_cfs_d,1,C176)+INDEX(in_dra_lcl_deliv,1,C176))*P176,G176*(INDEX(tbl_dest_line,E176,C176)*P176*(1+INDEX(in_dra_fsc,1,C176))+INDEX(tbl_dest_tolls,E176,C176)+INDEX(in_dra_chassis_days,1,C176)*INDEX(tbl_dest_chassis,E176,C176)*(1-INDEX(in_dra_chassis_in_dray,1,C176))+INDEX(in_dra_wait_hours,1,C176)*INDEX(in_dra_wait_rate,1,C176)+INDEX(in_dra_split,1,C176)+INDEX(in_dra_prepull,1,C176)+INDEX(in_dra_dryrun,1,C176)))</f>
        <v>1060</v>
      </c>
      <c r="BL176" s="88" t="n">
        <f aca="false">IF(F176=4,0,G176*IF(F176=1,INDEX(in_dra_unload_20,1,C176),INDEX(in_dra_unload_40,1,C176))*Q176*(1-INDEX(in_dra_unload_in_dray,1,C176)))</f>
        <v>450</v>
      </c>
      <c r="BM176" s="88" t="n">
        <f aca="false">AL176+AN176+AO176+AR176+AU176+AZ176+BB176+BC176+BD176+BF176+BJ176+BK176+BL176</f>
        <v>20327.9130770479</v>
      </c>
      <c r="BN176" s="88" t="n">
        <f aca="false">AP176+AU176+BJ176+BK176+BL176</f>
        <v>6129.8781251658</v>
      </c>
      <c r="BO176" s="88" t="n">
        <f aca="false">AQ176+BF176</f>
        <v>1329.40086709164</v>
      </c>
      <c r="BP176" s="88" t="n">
        <f aca="false">AI176*(1+IF(K176=3,INDEX(in_sup_vat_rate,1,C176),0))+AO176*Y176/AB176+AV176*BA176+(BC176+BD176)*AV176/AY176+AZ176*AI176/AL176+BN176*AC176/AF176+BO176*Y176/AB176</f>
        <v>7118.15127339316</v>
      </c>
      <c r="BQ176" s="88" t="n">
        <f aca="false">AJ176*(1+IF(K176=3,INDEX(in_sup_vat_rate,1,C176),0))+AO176*Z176/AB176+AW176*BA176+(BC176+BD176)*AW176/AY176+AZ176*AJ176/AL176+BN176*AD176/AF176+BO176*Z176/AB176</f>
        <v>7312.78086621743</v>
      </c>
      <c r="BR176" s="88" t="n">
        <f aca="false">AK176*(1+IF(K176=3,INDEX(in_sup_vat_rate,1,C176),0))+AO176*AA176/AB176+AX176*BA176+(BC176+BD176)*AX176/AY176+AZ176*AK176/AL176+BN176*AE176/AF176+BO176*AA176/AB176</f>
        <v>5896.98093743733</v>
      </c>
      <c r="BS176" s="89" t="n">
        <f aca="false">BP176+BQ176+BR176-BM176</f>
        <v>0</v>
      </c>
      <c r="BT176" s="85" t="n">
        <f aca="false">Y176*(1-R176)</f>
        <v>25413</v>
      </c>
      <c r="BU176" s="85" t="n">
        <f aca="false">Z176*(1-R176)</f>
        <v>25413</v>
      </c>
      <c r="BV176" s="85" t="n">
        <f aca="false">AA176*(1-R176)</f>
        <v>25413</v>
      </c>
      <c r="BW176" s="85" t="n">
        <f aca="false">BT176+BU176+BV176</f>
        <v>76239</v>
      </c>
      <c r="BX176" s="90" t="n">
        <f aca="false">IF(BT176&gt;0,BP176/BT176,0)</f>
        <v>0.280098818454852</v>
      </c>
      <c r="BY176" s="90" t="n">
        <f aca="false">IF(BU176&gt;0,BQ176/BU176,0)</f>
        <v>0.28775748106156</v>
      </c>
      <c r="BZ176" s="90" t="n">
        <f aca="false">IF(BV176&gt;0,BR176/BV176,0)</f>
        <v>0.232045840217106</v>
      </c>
      <c r="CA176" s="90" t="n">
        <f aca="false">INDEX(in_mkt_listing_3464,1,C176)*(1-IF(sku_flute_3464="B",T176,0))*(1-S176)*N176</f>
        <v>0.2184</v>
      </c>
      <c r="CB176" s="90" t="n">
        <f aca="false">INDEX(in_mkt_listing_3463,1,C176)*(1-IF(sku_flute_3463="B",T176,0))*(1-S176)*N176</f>
        <v>0.252</v>
      </c>
      <c r="CC176" s="90" t="n">
        <f aca="false">INDEX(in_mkt_listing_3460,1,C176)*(1-IF(sku_flute_3460="B",T176,0))*(1-S176)*N176</f>
        <v>0.21</v>
      </c>
      <c r="CD176" s="88" t="n">
        <f aca="false">BT176*CA176+BU176*CB176+BV176*CC176</f>
        <v>17291.0052</v>
      </c>
      <c r="CE176" s="88" t="n">
        <f aca="false">CD176-BM176</f>
        <v>-3036.90787704791</v>
      </c>
      <c r="CF176" s="87" t="n">
        <f aca="false">IF(CD176&gt;0,CE176/CD176,0)</f>
        <v>-0.175635126004584</v>
      </c>
      <c r="CG176" s="87" t="n">
        <f aca="false">W176+INDEX(in_sel_processing,1,C176)+INDEX(in_sel_bad_debt,1,C176)</f>
        <v>0.058</v>
      </c>
      <c r="CH176" s="88" t="n">
        <f aca="false">CD176*CG176</f>
        <v>1002.8783016</v>
      </c>
      <c r="CI176" s="88" t="n">
        <f aca="false">INDEX(in_sel_testing,1,C176)*X176+INDEX(in_sel_admin,1,C176)</f>
        <v>3000</v>
      </c>
      <c r="CJ176" s="79" t="n">
        <f aca="false">INDEX(in_sup_lead_days,1,C176)</f>
        <v>21</v>
      </c>
      <c r="CK176" s="79" t="n">
        <f aca="false">CJ176+INDEX(in_oce_transit,1,C176)+IF(F176=4,INDEX(in_oce_lcl_extra_days,1,C176),0)</f>
        <v>51</v>
      </c>
      <c r="CL176" s="79" t="n">
        <f aca="false">CK176+2+INDEX(in_cus_dem_days,1,C176)</f>
        <v>53</v>
      </c>
      <c r="CM176" s="79" t="n">
        <f aca="false">CL176+U176</f>
        <v>98</v>
      </c>
      <c r="CN176" s="79" t="n">
        <f aca="false">CJ176+INDEX(in_sup_vat_lag,1,C176)</f>
        <v>81</v>
      </c>
      <c r="CO176" s="91" t="n">
        <f aca="false">INDEX(in_sup_advance,1,C176)</f>
        <v>0.5</v>
      </c>
      <c r="CP176" s="88" t="n">
        <f aca="false">CO176*(AL176+AM176)+AO176+INDEX(in_sel_testing,1,C176)*X176</f>
        <v>8955.05980126879</v>
      </c>
      <c r="CQ176" s="88" t="n">
        <f aca="false">(1-CO176)*(AL176+AM176)+AR176+AU176+AZ176</f>
        <v>11937.9769890175</v>
      </c>
      <c r="CR176" s="88" t="n">
        <f aca="false">BB176+BC176+BD176+BF176+BJ176</f>
        <v>2010.32957128379</v>
      </c>
      <c r="CS176" s="88" t="n">
        <f aca="false">BK176+BL176</f>
        <v>1510</v>
      </c>
      <c r="CT176" s="88" t="n">
        <f aca="false">IF(K176=2,AM176,0)</f>
        <v>1585.45328452216</v>
      </c>
      <c r="CU176" s="85" t="n">
        <f aca="false">IF(K176=2,CO176*AM176*(CN176-0)+(1-CO176)*AM176*(CN176-CJ176),0)</f>
        <v>111774.456558812</v>
      </c>
      <c r="CV176" s="85" t="n">
        <f aca="false">(CP176-CO176*CT176)*(CM176-0)+(CQ176-(1-CO176)*CT176)*(CM176-CJ176)+CR176*(CM176-CK176)+CS176*(CM176-CL176)</f>
        <v>1820528.41613334</v>
      </c>
      <c r="CW176" s="88" t="n">
        <f aca="false">INDEX(in_sel_fin_rate,1,C176)/365*(CU176+CV176)</f>
        <v>529.398047312918</v>
      </c>
      <c r="CX176" s="85" t="n">
        <f aca="false">CP176-IF(CN176&lt;=0,CT176,0)</f>
        <v>8955.05980126879</v>
      </c>
      <c r="CY176" s="85" t="n">
        <f aca="false">CP176+CQ176-IF(CN176&lt;=CJ176,CT176,0)</f>
        <v>20893.0367902863</v>
      </c>
      <c r="CZ176" s="85" t="n">
        <f aca="false">CP176+CQ176+CR176-IF(CN176&lt;=CK176,CT176,0)</f>
        <v>22903.3663615701</v>
      </c>
      <c r="DA176" s="85" t="n">
        <f aca="false">CP176+CQ176+CR176+CS176-IF(CN176&lt;=CL176,CT176,0)</f>
        <v>24413.3663615701</v>
      </c>
      <c r="DB176" s="88" t="n">
        <f aca="false">MAX(CX176,CY176,CZ176,DA176)</f>
        <v>24413.3663615701</v>
      </c>
      <c r="DC176" s="88" t="n">
        <f aca="false">CP176+CQ176+CR176+CS176</f>
        <v>24413.3663615701</v>
      </c>
      <c r="DD176" s="88" t="n">
        <f aca="false">CE176-CH176-CI176-CW176</f>
        <v>-7569.18422596083</v>
      </c>
      <c r="DE176" s="87" t="n">
        <f aca="false">IF(CD176&gt;0,DD176/CD176,0)</f>
        <v>-0.437752700806592</v>
      </c>
      <c r="DF176" s="86" t="n">
        <f aca="false">IF(CD176&gt;0,(BM176+CI176+CW176)/(CD176*(1-CG176)),0)</f>
        <v>1.46470562718322</v>
      </c>
      <c r="DG176" s="90" t="n">
        <f aca="false">IF(BW176&gt;0,BM176/BW176,0)</f>
        <v>0.26663404657784</v>
      </c>
      <c r="DH176" s="90" t="n">
        <f aca="false">IF(BW176&gt;0,CD176/BW176,0)</f>
        <v>0.2268</v>
      </c>
      <c r="DI176" s="90" t="n">
        <f aca="false">IF(AI176&gt;0,(AI176*IF(K176=3,INDEX(in_sup_vat_rate,1,C176),0)+AV176*BA176+(BC176+BD176)*AV176/AY176+AZ176*AI176/AL176)/AI176,0)</f>
        <v>0.136336711689146</v>
      </c>
      <c r="DJ176" s="90" t="n">
        <f aca="false">IF(AJ176&gt;0,(AJ176*IF(K176=3,INDEX(in_sup_vat_rate,1,C176),0)+AW176*BA176+(BC176+BD176)*AW176/AY176+AZ176*AJ176/AL176)/AJ176,0)</f>
        <v>0.136336711689146</v>
      </c>
      <c r="DK176" s="90" t="n">
        <f aca="false">IF(AK176&gt;0,(AK176*IF(K176=3,INDEX(in_sup_vat_rate,1,C176),0)+AX176*BA176+(BC176+BD176)*AX176/AY176+AZ176*AK176/AL176)/AK176,0)</f>
        <v>0.136336711689146</v>
      </c>
      <c r="DL176" s="90" t="n">
        <f aca="false">IF(Y176&gt;0,(BP176-AI176*(1+DI176))/Y176,0)</f>
        <v>0.0957837858987348</v>
      </c>
      <c r="DM176" s="90" t="n">
        <f aca="false">IF(Z176&gt;0,(BQ176-AJ176*(1+DJ176))/Z176,0)</f>
        <v>0.113339857972185</v>
      </c>
      <c r="DN176" s="90" t="n">
        <f aca="false">IF(AA176&gt;0,(BR176-AK176*(1+DK176))/AA176,0)</f>
        <v>0.0799956969142526</v>
      </c>
      <c r="DO176" s="86" t="n">
        <f aca="false">IF(Y176&gt;0,(CA176*(1-thr_gm_go)*(1-R176)-DL176)/(1+DI176)*I176/((1+AH176)*J176),"")</f>
        <v>3.04476162457904</v>
      </c>
      <c r="DP176" s="86" t="n">
        <f aca="false">IF(Z176&gt;0,(CB176*(1-thr_gm_go)*(1-R176)-DM176)/(1+DJ176)*I176/((1+AH176)*J176),"")</f>
        <v>3.38221256600651</v>
      </c>
      <c r="DQ176" s="86" t="n">
        <f aca="false">IF(AA176&gt;0,(CC176*(1-thr_gm_go)*(1-R176)-DN176)/(1+DK176)*I176/((1+AH176)*J176),"")</f>
        <v>3.48980508039286</v>
      </c>
      <c r="DR176" s="92" t="n">
        <f aca="false">IF(AND(AY176*INDEX(in_cus_mpf_rate,1,C176)&gt;INDEX(in_cus_mpf_min,1,C176),AY176*INDEX(in_cus_mpf_rate,1,C176)&lt;INDEX(in_cus_mpf_max,1,C176)),INDEX(in_cus_mpf_rate,1,C176),0)</f>
        <v>0.003464</v>
      </c>
      <c r="DS176" s="88" t="n">
        <f aca="false">IF(AZ176&gt;INDEX(in_oce_ins_min,1,C176),INDEX(in_oce_ins_rate,1,C176)*(1+INDEX(in_oce_ins_uplift,1,C176))*AL176,0)</f>
        <v>0</v>
      </c>
      <c r="DT176" s="88" t="n">
        <f aca="false">(AL176+AN176)*(1+BA176+INDEX(in_cus_hmf,1,C176)+DR176)+DS176</f>
        <v>12793.6340847905</v>
      </c>
      <c r="DU176" s="86" t="n">
        <f aca="false">IF(DT176&gt;0,(CD176*(1-thr_gm_go)-(BM176-DT176))/DT176,0)</f>
        <v>0.424740528901218</v>
      </c>
      <c r="DV176" s="86" t="n">
        <f aca="false">IF(DT176&gt;0,(CD176-(BM176-DT176))/DT176,0)</f>
        <v>0.762623515967344</v>
      </c>
      <c r="DW176" s="87" t="n">
        <f aca="false">(1+AH176)*J176*DU176-1</f>
        <v>-0.575259471098782</v>
      </c>
      <c r="DX176" s="87" t="n">
        <f aca="false">(1+AH176)*J176*DV176-1</f>
        <v>-0.237376484032656</v>
      </c>
      <c r="DY176" s="85" t="n">
        <f aca="false">IF(G176&gt;0,(CD176*(1-thr_gm_go)-(BM176-AT176))/G176,"")</f>
        <v>-3359.65917704791</v>
      </c>
      <c r="DZ176" s="90" t="n">
        <f aca="false">IF(AB176&gt;0,(AL176+AN176+BB176+BC176+BD176)/AB176,0)</f>
        <v>0.165292430036053</v>
      </c>
      <c r="EA176" s="88" t="n">
        <f aca="false">BM176-DZ176*AB176</f>
        <v>7534.27899225744</v>
      </c>
      <c r="EB176" s="90" t="n">
        <f aca="false">IF(AB176&gt;0,CD176/AB176,0)</f>
        <v>0.223398</v>
      </c>
      <c r="EC176" s="85" t="n">
        <f aca="false">IF(EB176*(1-thr_gm_go)-DZ176&gt;0,EA176/(EB176*(1-thr_gm_go)-DZ176),"n/a")</f>
        <v>3339559.10617009</v>
      </c>
      <c r="ED176" s="85" t="n">
        <f aca="false">IF(EB176-DZ176&gt;0,EA176/(EB176-DZ176),"n/a")</f>
        <v>129665.348725298</v>
      </c>
      <c r="EE176" s="93" t="b">
        <f aca="false">INDEX(cfg_fits,D176,C176)</f>
        <v>1</v>
      </c>
      <c r="EF176" s="87" t="n">
        <f aca="false">IF(F176=4,"",INDEX(cfg_lenutil,D176,C176))</f>
        <v>0.999580888516345</v>
      </c>
      <c r="EG176" s="31" t="str">
        <f aca="false">IF(O176&gt;1,"Check fit (units scaled up)","")</f>
        <v/>
      </c>
    </row>
    <row r="177" customFormat="false" ht="15" hidden="false" customHeight="false" outlineLevel="0" collapsed="false">
      <c r="A177" s="78" t="n">
        <v>900023</v>
      </c>
      <c r="B177" s="9" t="s">
        <v>3325</v>
      </c>
      <c r="C177" s="10" t="n">
        <f aca="false">sel_scen</f>
        <v>2</v>
      </c>
      <c r="D177" s="10" t="n">
        <f aca="false">sel_cfg</f>
        <v>4</v>
      </c>
      <c r="E177" s="10" t="n">
        <f aca="false">sel_dest</f>
        <v>1</v>
      </c>
      <c r="F177" s="79" t="n">
        <f aca="false">INDEX(cfg_ct,D177)</f>
        <v>3</v>
      </c>
      <c r="G177" s="79" t="n">
        <f aca="false">INDEX(cfg_n,D177)</f>
        <v>1</v>
      </c>
      <c r="H177" s="79" t="n">
        <f aca="false">INDEX(dest_port,E177)</f>
        <v>1</v>
      </c>
      <c r="I177" s="80" t="n">
        <f aca="false">INDEX(in_fx_cbe,1,C177)*(1-INDEX(in_fx_spread,1,C177))</f>
        <v>52.7748</v>
      </c>
      <c r="J177" s="81" t="n">
        <f aca="false">1</f>
        <v>1</v>
      </c>
      <c r="K177" s="82" t="n">
        <f aca="false">INDEX(in_sup_vat_mode,1,C177)</f>
        <v>2</v>
      </c>
      <c r="L177" s="83" t="n">
        <f aca="false">INDEX(in_cus_s301,1,C177)</f>
        <v>0.125</v>
      </c>
      <c r="M177" s="84" t="n">
        <f aca="false">1</f>
        <v>1</v>
      </c>
      <c r="N177" s="81" t="n">
        <f aca="false">1</f>
        <v>1</v>
      </c>
      <c r="O177" s="81" t="n">
        <f aca="false">1</f>
        <v>1</v>
      </c>
      <c r="P177" s="81" t="n">
        <f aca="false">1</f>
        <v>1</v>
      </c>
      <c r="Q177" s="81" t="n">
        <f aca="false">1</f>
        <v>1</v>
      </c>
      <c r="R177" s="83" t="n">
        <f aca="false">INDEX(in_sel_damage,1,C177)</f>
        <v>0.015</v>
      </c>
      <c r="S177" s="83" t="n">
        <f aca="false">INDEX(in_mkt_dist_margin,1,C177)</f>
        <v>0.25</v>
      </c>
      <c r="T177" s="28" t="n">
        <v>0.15</v>
      </c>
      <c r="U177" s="82" t="n">
        <f aca="false">INDEX(in_sel_credit_days,1,C177)</f>
        <v>45</v>
      </c>
      <c r="V177" s="81" t="n">
        <f aca="false">1</f>
        <v>1</v>
      </c>
      <c r="W177" s="83" t="n">
        <f aca="false">INDEX(in_sel_commission,1,C177)</f>
        <v>0.05</v>
      </c>
      <c r="X177" s="82" t="n">
        <f aca="false">1</f>
        <v>1</v>
      </c>
      <c r="Y177" s="85" t="n">
        <f aca="false">INDEX(cfg_u_3464,D177,C177)*O177</f>
        <v>25800</v>
      </c>
      <c r="Z177" s="85" t="n">
        <f aca="false">INDEX(cfg_u_3463,D177,C177)*O177</f>
        <v>25800</v>
      </c>
      <c r="AA177" s="85" t="n">
        <f aca="false">INDEX(cfg_u_3460,D177,C177)*O177</f>
        <v>25800</v>
      </c>
      <c r="AB177" s="85" t="n">
        <f aca="false">Y177+Z177+AA177</f>
        <v>77400</v>
      </c>
      <c r="AC177" s="86" t="n">
        <f aca="false">Y177*INDEX(lg_vpu_3464,C177)</f>
        <v>18.3539136</v>
      </c>
      <c r="AD177" s="86" t="n">
        <f aca="false">Z177*INDEX(lg_vpu_3463,C177)</f>
        <v>22.4530176</v>
      </c>
      <c r="AE177" s="86" t="n">
        <f aca="false">AA177*INDEX(lg_vpu_3460,C177)</f>
        <v>14.6676096</v>
      </c>
      <c r="AF177" s="86" t="n">
        <f aca="false">AC177+AD177+AE177</f>
        <v>55.4745408</v>
      </c>
      <c r="AG177" s="85" t="n">
        <f aca="false">Y177*INDEX(lg_kpu_3464,C177)+Z177*INDEX(lg_kpu_3463,C177)+AA177*INDEX(lg_kpu_3460,C177)</f>
        <v>13341.3537888</v>
      </c>
      <c r="AH177" s="87" t="n">
        <f aca="false">INDEX(in_sup_requote,1,C177)</f>
        <v>0</v>
      </c>
      <c r="AI177" s="88" t="n">
        <f aca="false">Y177*q_price_3464*(1+AH177)*J177/I177</f>
        <v>4089.39493849337</v>
      </c>
      <c r="AJ177" s="88" t="n">
        <f aca="false">Z177*q_price_3463*(1+AH177)*J177/I177</f>
        <v>3862.07053366379</v>
      </c>
      <c r="AK177" s="88" t="n">
        <f aca="false">AA177*q_price_3460*(1+AH177)*J177/I177</f>
        <v>3373.20084585825</v>
      </c>
      <c r="AL177" s="88" t="n">
        <f aca="false">AI177+AJ177+AK177</f>
        <v>11324.6663180154</v>
      </c>
      <c r="AM177" s="88" t="n">
        <f aca="false">IF(OR(K177=2,K177=3),AL177*INDEX(in_sup_vat_rate,1,C177),0)</f>
        <v>1585.45328452216</v>
      </c>
      <c r="AN177" s="88" t="n">
        <f aca="false">IF(K177=3,AM177,0)</f>
        <v>0</v>
      </c>
      <c r="AO177" s="88" t="n">
        <f aca="false">INDEX(in_sup_tooling_egp,1,C177)/I177</f>
        <v>0</v>
      </c>
      <c r="AP177" s="88" t="n">
        <f aca="false">IF(F177=4,INDEX(in_ori_lcl_truck,1,C177)*V177/I177+INDEX(in_ori_lcl_cfs_o,1,C177),G177*(IF(F177=1,INDEX(in_ori_truck_20,1,C177),INDEX(in_ori_truck_40,1,C177))*V177/I177+INDEX(in_ori_terminal,1,C177)+IF(F177=1,INDEX(in_ori_othc_20,1,C177),INDEX(in_ori_othc_40,1,C177))*(1-INDEX(in_ori_othc_in_freight,1,C177))+INDEX(in_ori_seal,1,C177)+INDEX(in_ori_inspection,1,C177)+INDEX(in_ori_dd_days,1,C177)*IF(F177=1,INDEX(in_ori_dd_20,1,C177),INDEX(in_ori_dd_40,1,C177))+INDEX(in_ori_loading_egp,1,C177)/I177))</f>
        <v>555.278125165799</v>
      </c>
      <c r="AQ177" s="88" t="n">
        <f aca="false">(INDEX(in_ori_clearance,1,C177)+INDEX(in_ori_coo,1,C177))/I177+INDEX(in_ori_bl_fee,1,C177)+INDEX(in_ori_fwd_fee,1,C177)+INDEX(in_ori_qc,1,C177)+INDEX(in_ori_wires,1,C177)*INDEX(in_ori_wire_fee,1,C177)</f>
        <v>817.639062582899</v>
      </c>
      <c r="AR177" s="88" t="n">
        <f aca="false">AP177+AQ177</f>
        <v>1372.9171877487</v>
      </c>
      <c r="AS177" s="85" t="n">
        <f aca="false">INDEX(tbl_port_diff,H177,C177)</f>
        <v>0</v>
      </c>
      <c r="AT177" s="88" t="n">
        <f aca="false">IF(F177=4,MAX(AF177*INDEX(in_oce_lcl_factor,1,C177),AG177/1000,1)*INDEX(in_oce_lcl_rate,1,C177)*M177,G177*(INDEX(tbl_ocean_rate,MIN(F177,3),C177)+AS177)*M177)</f>
        <v>4000</v>
      </c>
      <c r="AU177" s="88" t="n">
        <f aca="false">AT177+INDEX(in_oce_ams,1,C177)</f>
        <v>4035</v>
      </c>
      <c r="AV177" s="88" t="n">
        <f aca="false">AI177*(1+IF(K177=3,INDEX(in_sup_vat_rate,1,C177),0))+AO177*Y177/AB177</f>
        <v>4089.39493849337</v>
      </c>
      <c r="AW177" s="88" t="n">
        <f aca="false">AJ177*(1+IF(K177=3,INDEX(in_sup_vat_rate,1,C177),0))+AO177*Z177/AB177</f>
        <v>3862.07053366379</v>
      </c>
      <c r="AX177" s="88" t="n">
        <f aca="false">AK177*(1+IF(K177=3,INDEX(in_sup_vat_rate,1,C177),0))+AO177*AA177/AB177</f>
        <v>3373.20084585825</v>
      </c>
      <c r="AY177" s="88" t="n">
        <f aca="false">AV177+AW177+AX177</f>
        <v>11324.6663180154</v>
      </c>
      <c r="AZ177" s="88" t="n">
        <f aca="false">MAX(INDEX(in_oce_ins_min,1,C177),INDEX(in_oce_ins_rate,1,C177)*(1+INDEX(in_oce_ins_uplift,1,C177))*(AL177+AO177+AR177+AU177))*(1-INDEX(in_oce_ins_in_other,1,C177))</f>
        <v>75</v>
      </c>
      <c r="BA177" s="87" t="n">
        <f aca="false">INDEX(in_cus_mfn,1,C177)+L177</f>
        <v>0.125</v>
      </c>
      <c r="BB177" s="88" t="n">
        <f aca="false">AY177*BA177</f>
        <v>1415.58328975193</v>
      </c>
      <c r="BC177" s="88" t="n">
        <f aca="false">MIN(MAX(AY177*INDEX(in_cus_mpf_rate,1,C177),INDEX(in_cus_mpf_min,1,C177)),INDEX(in_cus_mpf_max,1,C177))</f>
        <v>39.2286441256054</v>
      </c>
      <c r="BD177" s="88" t="n">
        <f aca="false">AY177*INDEX(in_cus_hmf,1,C177)</f>
        <v>14.1558328975193</v>
      </c>
      <c r="BE177" s="88" t="n">
        <f aca="false">MAX(INDEX(in_cus_stb_min,1,C177),INDEX(in_cus_stb_rate,1,C177)/1000*(AY177+BB177+BC177+BD177))</f>
        <v>76.7618045087428</v>
      </c>
      <c r="BF177" s="88" t="n">
        <f aca="false">INDEX(in_cus_broker,1,C177)+INDEX(in_cus_isf,1,C177)+INDEX(in_cus_do_fee,1,C177)+BE177+INDEX(in_cus_isf_bond,1,C177)</f>
        <v>511.761804508743</v>
      </c>
      <c r="BG177" s="88" t="n">
        <f aca="false">IF(H177=1,INDEX(in_cus_cfc,1,C177)*INDEX(ct_teu,F177)*G177*(1-INDEX(in_cus_cfc_in_freight,1,C177)),0)</f>
        <v>29.6</v>
      </c>
      <c r="BH177" s="88" t="n">
        <f aca="false">IF(F177=4,1,G177)*(INDEX(in_cus_exam,1,C177)+INDEX(in_cus_exam_dray,1,C177))</f>
        <v>0</v>
      </c>
      <c r="BI177" s="88" t="n">
        <f aca="false">IF(F177=4,1,G177)*INDEX(in_cus_dem_days,1,C177)*INDEX(in_cus_dem_rate,1,C177)</f>
        <v>0</v>
      </c>
      <c r="BJ177" s="88" t="n">
        <f aca="false">BG177+BH177+BI177</f>
        <v>29.6</v>
      </c>
      <c r="BK177" s="88" t="n">
        <f aca="false">IF(F177=4,(INDEX(in_dra_lcl_cfs_d,1,C177)+INDEX(in_dra_lcl_deliv,1,C177))*P177,G177*(INDEX(tbl_dest_line,E177,C177)*P177*(1+INDEX(in_dra_fsc,1,C177))+INDEX(tbl_dest_tolls,E177,C177)+INDEX(in_dra_chassis_days,1,C177)*INDEX(tbl_dest_chassis,E177,C177)*(1-INDEX(in_dra_chassis_in_dray,1,C177))+INDEX(in_dra_wait_hours,1,C177)*INDEX(in_dra_wait_rate,1,C177)+INDEX(in_dra_split,1,C177)+INDEX(in_dra_prepull,1,C177)+INDEX(in_dra_dryrun,1,C177)))</f>
        <v>1060</v>
      </c>
      <c r="BL177" s="88" t="n">
        <f aca="false">IF(F177=4,0,G177*IF(F177=1,INDEX(in_dra_unload_20,1,C177),INDEX(in_dra_unload_40,1,C177))*Q177*(1-INDEX(in_dra_unload_in_dray,1,C177)))</f>
        <v>450</v>
      </c>
      <c r="BM177" s="88" t="n">
        <f aca="false">AL177+AN177+AO177+AR177+AU177+AZ177+BB177+BC177+BD177+BF177+BJ177+BK177+BL177</f>
        <v>20327.9130770479</v>
      </c>
      <c r="BN177" s="88" t="n">
        <f aca="false">AP177+AU177+BJ177+BK177+BL177</f>
        <v>6129.8781251658</v>
      </c>
      <c r="BO177" s="88" t="n">
        <f aca="false">AQ177+BF177</f>
        <v>1329.40086709164</v>
      </c>
      <c r="BP177" s="88" t="n">
        <f aca="false">AI177*(1+IF(K177=3,INDEX(in_sup_vat_rate,1,C177),0))+AO177*Y177/AB177+AV177*BA177+(BC177+BD177)*AV177/AY177+AZ177*AI177/AL177+BN177*AC177/AF177+BO177*Y177/AB177</f>
        <v>7118.15127339316</v>
      </c>
      <c r="BQ177" s="88" t="n">
        <f aca="false">AJ177*(1+IF(K177=3,INDEX(in_sup_vat_rate,1,C177),0))+AO177*Z177/AB177+AW177*BA177+(BC177+BD177)*AW177/AY177+AZ177*AJ177/AL177+BN177*AD177/AF177+BO177*Z177/AB177</f>
        <v>7312.78086621743</v>
      </c>
      <c r="BR177" s="88" t="n">
        <f aca="false">AK177*(1+IF(K177=3,INDEX(in_sup_vat_rate,1,C177),0))+AO177*AA177/AB177+AX177*BA177+(BC177+BD177)*AX177/AY177+AZ177*AK177/AL177+BN177*AE177/AF177+BO177*AA177/AB177</f>
        <v>5896.98093743733</v>
      </c>
      <c r="BS177" s="89" t="n">
        <f aca="false">BP177+BQ177+BR177-BM177</f>
        <v>0</v>
      </c>
      <c r="BT177" s="85" t="n">
        <f aca="false">Y177*(1-R177)</f>
        <v>25413</v>
      </c>
      <c r="BU177" s="85" t="n">
        <f aca="false">Z177*(1-R177)</f>
        <v>25413</v>
      </c>
      <c r="BV177" s="85" t="n">
        <f aca="false">AA177*(1-R177)</f>
        <v>25413</v>
      </c>
      <c r="BW177" s="85" t="n">
        <f aca="false">BT177+BU177+BV177</f>
        <v>76239</v>
      </c>
      <c r="BX177" s="90" t="n">
        <f aca="false">IF(BT177&gt;0,BP177/BT177,0)</f>
        <v>0.280098818454852</v>
      </c>
      <c r="BY177" s="90" t="n">
        <f aca="false">IF(BU177&gt;0,BQ177/BU177,0)</f>
        <v>0.28775748106156</v>
      </c>
      <c r="BZ177" s="90" t="n">
        <f aca="false">IF(BV177&gt;0,BR177/BV177,0)</f>
        <v>0.232045840217106</v>
      </c>
      <c r="CA177" s="90" t="n">
        <f aca="false">INDEX(in_mkt_listing_3464,1,C177)*(1-IF(sku_flute_3464="B",T177,0))*(1-S177)*N177</f>
        <v>0.248625</v>
      </c>
      <c r="CB177" s="90" t="n">
        <f aca="false">INDEX(in_mkt_listing_3463,1,C177)*(1-IF(sku_flute_3463="B",T177,0))*(1-S177)*N177</f>
        <v>0.286875</v>
      </c>
      <c r="CC177" s="90" t="n">
        <f aca="false">INDEX(in_mkt_listing_3460,1,C177)*(1-IF(sku_flute_3460="B",T177,0))*(1-S177)*N177</f>
        <v>0.225</v>
      </c>
      <c r="CD177" s="88" t="n">
        <f aca="false">BT177*CA177+BU177*CB177+BV177*CC177</f>
        <v>19326.5865</v>
      </c>
      <c r="CE177" s="88" t="n">
        <f aca="false">CD177-BM177</f>
        <v>-1001.32657704791</v>
      </c>
      <c r="CF177" s="87" t="n">
        <f aca="false">IF(CD177&gt;0,CE177/CD177,0)</f>
        <v>-0.0518108346265861</v>
      </c>
      <c r="CG177" s="87" t="n">
        <f aca="false">W177+INDEX(in_sel_processing,1,C177)+INDEX(in_sel_bad_debt,1,C177)</f>
        <v>0.058</v>
      </c>
      <c r="CH177" s="88" t="n">
        <f aca="false">CD177*CG177</f>
        <v>1120.942017</v>
      </c>
      <c r="CI177" s="88" t="n">
        <f aca="false">INDEX(in_sel_testing,1,C177)*X177+INDEX(in_sel_admin,1,C177)</f>
        <v>3000</v>
      </c>
      <c r="CJ177" s="79" t="n">
        <f aca="false">INDEX(in_sup_lead_days,1,C177)</f>
        <v>21</v>
      </c>
      <c r="CK177" s="79" t="n">
        <f aca="false">CJ177+INDEX(in_oce_transit,1,C177)+IF(F177=4,INDEX(in_oce_lcl_extra_days,1,C177),0)</f>
        <v>51</v>
      </c>
      <c r="CL177" s="79" t="n">
        <f aca="false">CK177+2+INDEX(in_cus_dem_days,1,C177)</f>
        <v>53</v>
      </c>
      <c r="CM177" s="79" t="n">
        <f aca="false">CL177+U177</f>
        <v>98</v>
      </c>
      <c r="CN177" s="79" t="n">
        <f aca="false">CJ177+INDEX(in_sup_vat_lag,1,C177)</f>
        <v>81</v>
      </c>
      <c r="CO177" s="91" t="n">
        <f aca="false">INDEX(in_sup_advance,1,C177)</f>
        <v>0.5</v>
      </c>
      <c r="CP177" s="88" t="n">
        <f aca="false">CO177*(AL177+AM177)+AO177+INDEX(in_sel_testing,1,C177)*X177</f>
        <v>8955.05980126879</v>
      </c>
      <c r="CQ177" s="88" t="n">
        <f aca="false">(1-CO177)*(AL177+AM177)+AR177+AU177+AZ177</f>
        <v>11937.9769890175</v>
      </c>
      <c r="CR177" s="88" t="n">
        <f aca="false">BB177+BC177+BD177+BF177+BJ177</f>
        <v>2010.32957128379</v>
      </c>
      <c r="CS177" s="88" t="n">
        <f aca="false">BK177+BL177</f>
        <v>1510</v>
      </c>
      <c r="CT177" s="88" t="n">
        <f aca="false">IF(K177=2,AM177,0)</f>
        <v>1585.45328452216</v>
      </c>
      <c r="CU177" s="85" t="n">
        <f aca="false">IF(K177=2,CO177*AM177*(CN177-0)+(1-CO177)*AM177*(CN177-CJ177),0)</f>
        <v>111774.456558812</v>
      </c>
      <c r="CV177" s="85" t="n">
        <f aca="false">(CP177-CO177*CT177)*(CM177-0)+(CQ177-(1-CO177)*CT177)*(CM177-CJ177)+CR177*(CM177-CK177)+CS177*(CM177-CL177)</f>
        <v>1820528.41613334</v>
      </c>
      <c r="CW177" s="88" t="n">
        <f aca="false">INDEX(in_sel_fin_rate,1,C177)/365*(CU177+CV177)</f>
        <v>529.398047312918</v>
      </c>
      <c r="CX177" s="85" t="n">
        <f aca="false">CP177-IF(CN177&lt;=0,CT177,0)</f>
        <v>8955.05980126879</v>
      </c>
      <c r="CY177" s="85" t="n">
        <f aca="false">CP177+CQ177-IF(CN177&lt;=CJ177,CT177,0)</f>
        <v>20893.0367902863</v>
      </c>
      <c r="CZ177" s="85" t="n">
        <f aca="false">CP177+CQ177+CR177-IF(CN177&lt;=CK177,CT177,0)</f>
        <v>22903.3663615701</v>
      </c>
      <c r="DA177" s="85" t="n">
        <f aca="false">CP177+CQ177+CR177+CS177-IF(CN177&lt;=CL177,CT177,0)</f>
        <v>24413.3663615701</v>
      </c>
      <c r="DB177" s="88" t="n">
        <f aca="false">MAX(CX177,CY177,CZ177,DA177)</f>
        <v>24413.3663615701</v>
      </c>
      <c r="DC177" s="88" t="n">
        <f aca="false">CP177+CQ177+CR177+CS177</f>
        <v>24413.3663615701</v>
      </c>
      <c r="DD177" s="88" t="n">
        <f aca="false">CE177-CH177-CI177-CW177</f>
        <v>-5651.66664136083</v>
      </c>
      <c r="DE177" s="87" t="n">
        <f aca="false">IF(CD177&gt;0,DD177/CD177,0)</f>
        <v>-0.292429635277851</v>
      </c>
      <c r="DF177" s="86" t="n">
        <f aca="false">IF(CD177&gt;0,(BM177+CI177+CW177)/(CD177*(1-CG177)),0)</f>
        <v>1.31043485698286</v>
      </c>
      <c r="DG177" s="90" t="n">
        <f aca="false">IF(BW177&gt;0,BM177/BW177,0)</f>
        <v>0.26663404657784</v>
      </c>
      <c r="DH177" s="90" t="n">
        <f aca="false">IF(BW177&gt;0,CD177/BW177,0)</f>
        <v>0.2535</v>
      </c>
      <c r="DI177" s="90" t="n">
        <f aca="false">IF(AI177&gt;0,(AI177*IF(K177=3,INDEX(in_sup_vat_rate,1,C177),0)+AV177*BA177+(BC177+BD177)*AV177/AY177+AZ177*AI177/AL177)/AI177,0)</f>
        <v>0.136336711689146</v>
      </c>
      <c r="DJ177" s="90" t="n">
        <f aca="false">IF(AJ177&gt;0,(AJ177*IF(K177=3,INDEX(in_sup_vat_rate,1,C177),0)+AW177*BA177+(BC177+BD177)*AW177/AY177+AZ177*AJ177/AL177)/AJ177,0)</f>
        <v>0.136336711689146</v>
      </c>
      <c r="DK177" s="90" t="n">
        <f aca="false">IF(AK177&gt;0,(AK177*IF(K177=3,INDEX(in_sup_vat_rate,1,C177),0)+AX177*BA177+(BC177+BD177)*AX177/AY177+AZ177*AK177/AL177)/AK177,0)</f>
        <v>0.136336711689146</v>
      </c>
      <c r="DL177" s="90" t="n">
        <f aca="false">IF(Y177&gt;0,(BP177-AI177*(1+DI177))/Y177,0)</f>
        <v>0.0957837858987348</v>
      </c>
      <c r="DM177" s="90" t="n">
        <f aca="false">IF(Z177&gt;0,(BQ177-AJ177*(1+DJ177))/Z177,0)</f>
        <v>0.113339857972185</v>
      </c>
      <c r="DN177" s="90" t="n">
        <f aca="false">IF(AA177&gt;0,(BR177-AK177*(1+DK177))/AA177,0)</f>
        <v>0.0799956969142526</v>
      </c>
      <c r="DO177" s="86" t="n">
        <f aca="false">IF(Y177&gt;0,(CA177*(1-thr_gm_go)*(1-R177)-DL177)/(1+DI177)*I177/((1+AH177)*J177),"")</f>
        <v>4.08177262155355</v>
      </c>
      <c r="DP177" s="86" t="n">
        <f aca="false">IF(Z177&gt;0,(CB177*(1-thr_gm_go)*(1-R177)-DM177)/(1+DJ177)*I177/((1+AH177)*J177),"")</f>
        <v>4.57876371636171</v>
      </c>
      <c r="DQ177" s="86" t="n">
        <f aca="false">IF(AA177&gt;0,(CC177*(1-thr_gm_go)*(1-R177)-DN177)/(1+DK177)*I177/((1+AH177)*J177),"")</f>
        <v>4.00445073645962</v>
      </c>
      <c r="DR177" s="92" t="n">
        <f aca="false">IF(AND(AY177*INDEX(in_cus_mpf_rate,1,C177)&gt;INDEX(in_cus_mpf_min,1,C177),AY177*INDEX(in_cus_mpf_rate,1,C177)&lt;INDEX(in_cus_mpf_max,1,C177)),INDEX(in_cus_mpf_rate,1,C177),0)</f>
        <v>0.003464</v>
      </c>
      <c r="DS177" s="88" t="n">
        <f aca="false">IF(AZ177&gt;INDEX(in_oce_ins_min,1,C177),INDEX(in_oce_ins_rate,1,C177)*(1+INDEX(in_oce_ins_uplift,1,C177))*AL177,0)</f>
        <v>0</v>
      </c>
      <c r="DT177" s="88" t="n">
        <f aca="false">(AL177+AN177)*(1+BA177+INDEX(in_cus_hmf,1,C177)+DR177)+DS177</f>
        <v>12793.6340847905</v>
      </c>
      <c r="DU177" s="86" t="n">
        <f aca="false">IF(DT177&gt;0,(CD177*(1-thr_gm_go)-(BM177-DT177))/DT177,0)</f>
        <v>0.544072218777747</v>
      </c>
      <c r="DV177" s="86" t="n">
        <f aca="false">IF(DT177&gt;0,(CD177-(BM177-DT177))/DT177,0)</f>
        <v>0.921732435802715</v>
      </c>
      <c r="DW177" s="87" t="n">
        <f aca="false">(1+AH177)*J177*DU177-1</f>
        <v>-0.455927781222253</v>
      </c>
      <c r="DX177" s="87" t="n">
        <f aca="false">(1+AH177)*J177*DV177-1</f>
        <v>-0.0782675641972851</v>
      </c>
      <c r="DY177" s="85" t="n">
        <f aca="false">IF(G177&gt;0,(CD177*(1-thr_gm_go)-(BM177-AT177))/G177,"")</f>
        <v>-1832.97320204791</v>
      </c>
      <c r="DZ177" s="90" t="n">
        <f aca="false">IF(AB177&gt;0,(AL177+AN177+BB177+BC177+BD177)/AB177,0)</f>
        <v>0.165292430036053</v>
      </c>
      <c r="EA177" s="88" t="n">
        <f aca="false">BM177-DZ177*AB177</f>
        <v>7534.27899225744</v>
      </c>
      <c r="EB177" s="90" t="n">
        <f aca="false">IF(AB177&gt;0,CD177/AB177,0)</f>
        <v>0.2496975</v>
      </c>
      <c r="EC177" s="85" t="n">
        <f aca="false">IF(EB177*(1-thr_gm_go)-DZ177&gt;0,EA177/(EB177*(1-thr_gm_go)-DZ177),"n/a")</f>
        <v>342768.006408128</v>
      </c>
      <c r="ED177" s="85" t="n">
        <f aca="false">IF(EB177-DZ177&gt;0,EA177/(EB177-DZ177),"n/a")</f>
        <v>89263.3463306839</v>
      </c>
      <c r="EE177" s="93" t="b">
        <f aca="false">INDEX(cfg_fits,D177,C177)</f>
        <v>1</v>
      </c>
      <c r="EF177" s="87" t="n">
        <f aca="false">IF(F177=4,"",INDEX(cfg_lenutil,D177,C177))</f>
        <v>0.999580888516345</v>
      </c>
      <c r="EG177" s="31" t="str">
        <f aca="false">IF(O177&gt;1,"Check fit (units scaled up)","")</f>
        <v/>
      </c>
    </row>
    <row r="178" customFormat="false" ht="15" hidden="false" customHeight="false" outlineLevel="0" collapsed="false">
      <c r="A178" s="78" t="n">
        <v>900024</v>
      </c>
      <c r="B178" s="9" t="s">
        <v>3326</v>
      </c>
      <c r="C178" s="10" t="n">
        <f aca="false">sel_scen</f>
        <v>2</v>
      </c>
      <c r="D178" s="10" t="n">
        <f aca="false">sel_cfg</f>
        <v>4</v>
      </c>
      <c r="E178" s="10" t="n">
        <f aca="false">sel_dest</f>
        <v>1</v>
      </c>
      <c r="F178" s="79" t="n">
        <f aca="false">INDEX(cfg_ct,D178)</f>
        <v>3</v>
      </c>
      <c r="G178" s="79" t="n">
        <f aca="false">INDEX(cfg_n,D178)</f>
        <v>1</v>
      </c>
      <c r="H178" s="79" t="n">
        <f aca="false">INDEX(dest_port,E178)</f>
        <v>1</v>
      </c>
      <c r="I178" s="80" t="n">
        <f aca="false">INDEX(in_fx_cbe,1,C178)*(1-INDEX(in_fx_spread,1,C178))</f>
        <v>52.7748</v>
      </c>
      <c r="J178" s="81" t="n">
        <f aca="false">1</f>
        <v>1</v>
      </c>
      <c r="K178" s="82" t="n">
        <f aca="false">INDEX(in_sup_vat_mode,1,C178)</f>
        <v>2</v>
      </c>
      <c r="L178" s="83" t="n">
        <f aca="false">INDEX(in_cus_s301,1,C178)</f>
        <v>0.125</v>
      </c>
      <c r="M178" s="84" t="n">
        <f aca="false">1</f>
        <v>1</v>
      </c>
      <c r="N178" s="81" t="n">
        <f aca="false">1</f>
        <v>1</v>
      </c>
      <c r="O178" s="81" t="n">
        <f aca="false">1</f>
        <v>1</v>
      </c>
      <c r="P178" s="81" t="n">
        <f aca="false">1</f>
        <v>1</v>
      </c>
      <c r="Q178" s="81" t="n">
        <f aca="false">1</f>
        <v>1</v>
      </c>
      <c r="R178" s="83" t="n">
        <f aca="false">INDEX(in_sel_damage,1,C178)</f>
        <v>0.015</v>
      </c>
      <c r="S178" s="83" t="n">
        <f aca="false">INDEX(in_mkt_dist_margin,1,C178)</f>
        <v>0.25</v>
      </c>
      <c r="T178" s="28" t="n">
        <v>0.25</v>
      </c>
      <c r="U178" s="82" t="n">
        <f aca="false">INDEX(in_sel_credit_days,1,C178)</f>
        <v>45</v>
      </c>
      <c r="V178" s="81" t="n">
        <f aca="false">1</f>
        <v>1</v>
      </c>
      <c r="W178" s="83" t="n">
        <f aca="false">INDEX(in_sel_commission,1,C178)</f>
        <v>0.05</v>
      </c>
      <c r="X178" s="82" t="n">
        <f aca="false">1</f>
        <v>1</v>
      </c>
      <c r="Y178" s="85" t="n">
        <f aca="false">INDEX(cfg_u_3464,D178,C178)*O178</f>
        <v>25800</v>
      </c>
      <c r="Z178" s="85" t="n">
        <f aca="false">INDEX(cfg_u_3463,D178,C178)*O178</f>
        <v>25800</v>
      </c>
      <c r="AA178" s="85" t="n">
        <f aca="false">INDEX(cfg_u_3460,D178,C178)*O178</f>
        <v>25800</v>
      </c>
      <c r="AB178" s="85" t="n">
        <f aca="false">Y178+Z178+AA178</f>
        <v>77400</v>
      </c>
      <c r="AC178" s="86" t="n">
        <f aca="false">Y178*INDEX(lg_vpu_3464,C178)</f>
        <v>18.3539136</v>
      </c>
      <c r="AD178" s="86" t="n">
        <f aca="false">Z178*INDEX(lg_vpu_3463,C178)</f>
        <v>22.4530176</v>
      </c>
      <c r="AE178" s="86" t="n">
        <f aca="false">AA178*INDEX(lg_vpu_3460,C178)</f>
        <v>14.6676096</v>
      </c>
      <c r="AF178" s="86" t="n">
        <f aca="false">AC178+AD178+AE178</f>
        <v>55.4745408</v>
      </c>
      <c r="AG178" s="85" t="n">
        <f aca="false">Y178*INDEX(lg_kpu_3464,C178)+Z178*INDEX(lg_kpu_3463,C178)+AA178*INDEX(lg_kpu_3460,C178)</f>
        <v>13341.3537888</v>
      </c>
      <c r="AH178" s="87" t="n">
        <f aca="false">INDEX(in_sup_requote,1,C178)</f>
        <v>0</v>
      </c>
      <c r="AI178" s="88" t="n">
        <f aca="false">Y178*q_price_3464*(1+AH178)*J178/I178</f>
        <v>4089.39493849337</v>
      </c>
      <c r="AJ178" s="88" t="n">
        <f aca="false">Z178*q_price_3463*(1+AH178)*J178/I178</f>
        <v>3862.07053366379</v>
      </c>
      <c r="AK178" s="88" t="n">
        <f aca="false">AA178*q_price_3460*(1+AH178)*J178/I178</f>
        <v>3373.20084585825</v>
      </c>
      <c r="AL178" s="88" t="n">
        <f aca="false">AI178+AJ178+AK178</f>
        <v>11324.6663180154</v>
      </c>
      <c r="AM178" s="88" t="n">
        <f aca="false">IF(OR(K178=2,K178=3),AL178*INDEX(in_sup_vat_rate,1,C178),0)</f>
        <v>1585.45328452216</v>
      </c>
      <c r="AN178" s="88" t="n">
        <f aca="false">IF(K178=3,AM178,0)</f>
        <v>0</v>
      </c>
      <c r="AO178" s="88" t="n">
        <f aca="false">INDEX(in_sup_tooling_egp,1,C178)/I178</f>
        <v>0</v>
      </c>
      <c r="AP178" s="88" t="n">
        <f aca="false">IF(F178=4,INDEX(in_ori_lcl_truck,1,C178)*V178/I178+INDEX(in_ori_lcl_cfs_o,1,C178),G178*(IF(F178=1,INDEX(in_ori_truck_20,1,C178),INDEX(in_ori_truck_40,1,C178))*V178/I178+INDEX(in_ori_terminal,1,C178)+IF(F178=1,INDEX(in_ori_othc_20,1,C178),INDEX(in_ori_othc_40,1,C178))*(1-INDEX(in_ori_othc_in_freight,1,C178))+INDEX(in_ori_seal,1,C178)+INDEX(in_ori_inspection,1,C178)+INDEX(in_ori_dd_days,1,C178)*IF(F178=1,INDEX(in_ori_dd_20,1,C178),INDEX(in_ori_dd_40,1,C178))+INDEX(in_ori_loading_egp,1,C178)/I178))</f>
        <v>555.278125165799</v>
      </c>
      <c r="AQ178" s="88" t="n">
        <f aca="false">(INDEX(in_ori_clearance,1,C178)+INDEX(in_ori_coo,1,C178))/I178+INDEX(in_ori_bl_fee,1,C178)+INDEX(in_ori_fwd_fee,1,C178)+INDEX(in_ori_qc,1,C178)+INDEX(in_ori_wires,1,C178)*INDEX(in_ori_wire_fee,1,C178)</f>
        <v>817.639062582899</v>
      </c>
      <c r="AR178" s="88" t="n">
        <f aca="false">AP178+AQ178</f>
        <v>1372.9171877487</v>
      </c>
      <c r="AS178" s="85" t="n">
        <f aca="false">INDEX(tbl_port_diff,H178,C178)</f>
        <v>0</v>
      </c>
      <c r="AT178" s="88" t="n">
        <f aca="false">IF(F178=4,MAX(AF178*INDEX(in_oce_lcl_factor,1,C178),AG178/1000,1)*INDEX(in_oce_lcl_rate,1,C178)*M178,G178*(INDEX(tbl_ocean_rate,MIN(F178,3),C178)+AS178)*M178)</f>
        <v>4000</v>
      </c>
      <c r="AU178" s="88" t="n">
        <f aca="false">AT178+INDEX(in_oce_ams,1,C178)</f>
        <v>4035</v>
      </c>
      <c r="AV178" s="88" t="n">
        <f aca="false">AI178*(1+IF(K178=3,INDEX(in_sup_vat_rate,1,C178),0))+AO178*Y178/AB178</f>
        <v>4089.39493849337</v>
      </c>
      <c r="AW178" s="88" t="n">
        <f aca="false">AJ178*(1+IF(K178=3,INDEX(in_sup_vat_rate,1,C178),0))+AO178*Z178/AB178</f>
        <v>3862.07053366379</v>
      </c>
      <c r="AX178" s="88" t="n">
        <f aca="false">AK178*(1+IF(K178=3,INDEX(in_sup_vat_rate,1,C178),0))+AO178*AA178/AB178</f>
        <v>3373.20084585825</v>
      </c>
      <c r="AY178" s="88" t="n">
        <f aca="false">AV178+AW178+AX178</f>
        <v>11324.6663180154</v>
      </c>
      <c r="AZ178" s="88" t="n">
        <f aca="false">MAX(INDEX(in_oce_ins_min,1,C178),INDEX(in_oce_ins_rate,1,C178)*(1+INDEX(in_oce_ins_uplift,1,C178))*(AL178+AO178+AR178+AU178))*(1-INDEX(in_oce_ins_in_other,1,C178))</f>
        <v>75</v>
      </c>
      <c r="BA178" s="87" t="n">
        <f aca="false">INDEX(in_cus_mfn,1,C178)+L178</f>
        <v>0.125</v>
      </c>
      <c r="BB178" s="88" t="n">
        <f aca="false">AY178*BA178</f>
        <v>1415.58328975193</v>
      </c>
      <c r="BC178" s="88" t="n">
        <f aca="false">MIN(MAX(AY178*INDEX(in_cus_mpf_rate,1,C178),INDEX(in_cus_mpf_min,1,C178)),INDEX(in_cus_mpf_max,1,C178))</f>
        <v>39.2286441256054</v>
      </c>
      <c r="BD178" s="88" t="n">
        <f aca="false">AY178*INDEX(in_cus_hmf,1,C178)</f>
        <v>14.1558328975193</v>
      </c>
      <c r="BE178" s="88" t="n">
        <f aca="false">MAX(INDEX(in_cus_stb_min,1,C178),INDEX(in_cus_stb_rate,1,C178)/1000*(AY178+BB178+BC178+BD178))</f>
        <v>76.7618045087428</v>
      </c>
      <c r="BF178" s="88" t="n">
        <f aca="false">INDEX(in_cus_broker,1,C178)+INDEX(in_cus_isf,1,C178)+INDEX(in_cus_do_fee,1,C178)+BE178+INDEX(in_cus_isf_bond,1,C178)</f>
        <v>511.761804508743</v>
      </c>
      <c r="BG178" s="88" t="n">
        <f aca="false">IF(H178=1,INDEX(in_cus_cfc,1,C178)*INDEX(ct_teu,F178)*G178*(1-INDEX(in_cus_cfc_in_freight,1,C178)),0)</f>
        <v>29.6</v>
      </c>
      <c r="BH178" s="88" t="n">
        <f aca="false">IF(F178=4,1,G178)*(INDEX(in_cus_exam,1,C178)+INDEX(in_cus_exam_dray,1,C178))</f>
        <v>0</v>
      </c>
      <c r="BI178" s="88" t="n">
        <f aca="false">IF(F178=4,1,G178)*INDEX(in_cus_dem_days,1,C178)*INDEX(in_cus_dem_rate,1,C178)</f>
        <v>0</v>
      </c>
      <c r="BJ178" s="88" t="n">
        <f aca="false">BG178+BH178+BI178</f>
        <v>29.6</v>
      </c>
      <c r="BK178" s="88" t="n">
        <f aca="false">IF(F178=4,(INDEX(in_dra_lcl_cfs_d,1,C178)+INDEX(in_dra_lcl_deliv,1,C178))*P178,G178*(INDEX(tbl_dest_line,E178,C178)*P178*(1+INDEX(in_dra_fsc,1,C178))+INDEX(tbl_dest_tolls,E178,C178)+INDEX(in_dra_chassis_days,1,C178)*INDEX(tbl_dest_chassis,E178,C178)*(1-INDEX(in_dra_chassis_in_dray,1,C178))+INDEX(in_dra_wait_hours,1,C178)*INDEX(in_dra_wait_rate,1,C178)+INDEX(in_dra_split,1,C178)+INDEX(in_dra_prepull,1,C178)+INDEX(in_dra_dryrun,1,C178)))</f>
        <v>1060</v>
      </c>
      <c r="BL178" s="88" t="n">
        <f aca="false">IF(F178=4,0,G178*IF(F178=1,INDEX(in_dra_unload_20,1,C178),INDEX(in_dra_unload_40,1,C178))*Q178*(1-INDEX(in_dra_unload_in_dray,1,C178)))</f>
        <v>450</v>
      </c>
      <c r="BM178" s="88" t="n">
        <f aca="false">AL178+AN178+AO178+AR178+AU178+AZ178+BB178+BC178+BD178+BF178+BJ178+BK178+BL178</f>
        <v>20327.9130770479</v>
      </c>
      <c r="BN178" s="88" t="n">
        <f aca="false">AP178+AU178+BJ178+BK178+BL178</f>
        <v>6129.8781251658</v>
      </c>
      <c r="BO178" s="88" t="n">
        <f aca="false">AQ178+BF178</f>
        <v>1329.40086709164</v>
      </c>
      <c r="BP178" s="88" t="n">
        <f aca="false">AI178*(1+IF(K178=3,INDEX(in_sup_vat_rate,1,C178),0))+AO178*Y178/AB178+AV178*BA178+(BC178+BD178)*AV178/AY178+AZ178*AI178/AL178+BN178*AC178/AF178+BO178*Y178/AB178</f>
        <v>7118.15127339316</v>
      </c>
      <c r="BQ178" s="88" t="n">
        <f aca="false">AJ178*(1+IF(K178=3,INDEX(in_sup_vat_rate,1,C178),0))+AO178*Z178/AB178+AW178*BA178+(BC178+BD178)*AW178/AY178+AZ178*AJ178/AL178+BN178*AD178/AF178+BO178*Z178/AB178</f>
        <v>7312.78086621743</v>
      </c>
      <c r="BR178" s="88" t="n">
        <f aca="false">AK178*(1+IF(K178=3,INDEX(in_sup_vat_rate,1,C178),0))+AO178*AA178/AB178+AX178*BA178+(BC178+BD178)*AX178/AY178+AZ178*AK178/AL178+BN178*AE178/AF178+BO178*AA178/AB178</f>
        <v>5896.98093743733</v>
      </c>
      <c r="BS178" s="89" t="n">
        <f aca="false">BP178+BQ178+BR178-BM178</f>
        <v>0</v>
      </c>
      <c r="BT178" s="85" t="n">
        <f aca="false">Y178*(1-R178)</f>
        <v>25413</v>
      </c>
      <c r="BU178" s="85" t="n">
        <f aca="false">Z178*(1-R178)</f>
        <v>25413</v>
      </c>
      <c r="BV178" s="85" t="n">
        <f aca="false">AA178*(1-R178)</f>
        <v>25413</v>
      </c>
      <c r="BW178" s="85" t="n">
        <f aca="false">BT178+BU178+BV178</f>
        <v>76239</v>
      </c>
      <c r="BX178" s="90" t="n">
        <f aca="false">IF(BT178&gt;0,BP178/BT178,0)</f>
        <v>0.280098818454852</v>
      </c>
      <c r="BY178" s="90" t="n">
        <f aca="false">IF(BU178&gt;0,BQ178/BU178,0)</f>
        <v>0.28775748106156</v>
      </c>
      <c r="BZ178" s="90" t="n">
        <f aca="false">IF(BV178&gt;0,BR178/BV178,0)</f>
        <v>0.232045840217106</v>
      </c>
      <c r="CA178" s="90" t="n">
        <f aca="false">INDEX(in_mkt_listing_3464,1,C178)*(1-IF(sku_flute_3464="B",T178,0))*(1-S178)*N178</f>
        <v>0.219375</v>
      </c>
      <c r="CB178" s="90" t="n">
        <f aca="false">INDEX(in_mkt_listing_3463,1,C178)*(1-IF(sku_flute_3463="B",T178,0))*(1-S178)*N178</f>
        <v>0.253125</v>
      </c>
      <c r="CC178" s="90" t="n">
        <f aca="false">INDEX(in_mkt_listing_3460,1,C178)*(1-IF(sku_flute_3460="B",T178,0))*(1-S178)*N178</f>
        <v>0.225</v>
      </c>
      <c r="CD178" s="88" t="n">
        <f aca="false">BT178*CA178+BU178*CB178+BV178*CC178</f>
        <v>17725.5675</v>
      </c>
      <c r="CE178" s="88" t="n">
        <f aca="false">CD178-BM178</f>
        <v>-2602.34557704791</v>
      </c>
      <c r="CF178" s="87" t="n">
        <f aca="false">IF(CD178&gt;0,CE178/CD178,0)</f>
        <v>-0.1468131035606</v>
      </c>
      <c r="CG178" s="87" t="n">
        <f aca="false">W178+INDEX(in_sel_processing,1,C178)+INDEX(in_sel_bad_debt,1,C178)</f>
        <v>0.058</v>
      </c>
      <c r="CH178" s="88" t="n">
        <f aca="false">CD178*CG178</f>
        <v>1028.082915</v>
      </c>
      <c r="CI178" s="88" t="n">
        <f aca="false">INDEX(in_sel_testing,1,C178)*X178+INDEX(in_sel_admin,1,C178)</f>
        <v>3000</v>
      </c>
      <c r="CJ178" s="79" t="n">
        <f aca="false">INDEX(in_sup_lead_days,1,C178)</f>
        <v>21</v>
      </c>
      <c r="CK178" s="79" t="n">
        <f aca="false">CJ178+INDEX(in_oce_transit,1,C178)+IF(F178=4,INDEX(in_oce_lcl_extra_days,1,C178),0)</f>
        <v>51</v>
      </c>
      <c r="CL178" s="79" t="n">
        <f aca="false">CK178+2+INDEX(in_cus_dem_days,1,C178)</f>
        <v>53</v>
      </c>
      <c r="CM178" s="79" t="n">
        <f aca="false">CL178+U178</f>
        <v>98</v>
      </c>
      <c r="CN178" s="79" t="n">
        <f aca="false">CJ178+INDEX(in_sup_vat_lag,1,C178)</f>
        <v>81</v>
      </c>
      <c r="CO178" s="91" t="n">
        <f aca="false">INDEX(in_sup_advance,1,C178)</f>
        <v>0.5</v>
      </c>
      <c r="CP178" s="88" t="n">
        <f aca="false">CO178*(AL178+AM178)+AO178+INDEX(in_sel_testing,1,C178)*X178</f>
        <v>8955.05980126879</v>
      </c>
      <c r="CQ178" s="88" t="n">
        <f aca="false">(1-CO178)*(AL178+AM178)+AR178+AU178+AZ178</f>
        <v>11937.9769890175</v>
      </c>
      <c r="CR178" s="88" t="n">
        <f aca="false">BB178+BC178+BD178+BF178+BJ178</f>
        <v>2010.32957128379</v>
      </c>
      <c r="CS178" s="88" t="n">
        <f aca="false">BK178+BL178</f>
        <v>1510</v>
      </c>
      <c r="CT178" s="88" t="n">
        <f aca="false">IF(K178=2,AM178,0)</f>
        <v>1585.45328452216</v>
      </c>
      <c r="CU178" s="85" t="n">
        <f aca="false">IF(K178=2,CO178*AM178*(CN178-0)+(1-CO178)*AM178*(CN178-CJ178),0)</f>
        <v>111774.456558812</v>
      </c>
      <c r="CV178" s="85" t="n">
        <f aca="false">(CP178-CO178*CT178)*(CM178-0)+(CQ178-(1-CO178)*CT178)*(CM178-CJ178)+CR178*(CM178-CK178)+CS178*(CM178-CL178)</f>
        <v>1820528.41613334</v>
      </c>
      <c r="CW178" s="88" t="n">
        <f aca="false">INDEX(in_sel_fin_rate,1,C178)/365*(CU178+CV178)</f>
        <v>529.398047312918</v>
      </c>
      <c r="CX178" s="85" t="n">
        <f aca="false">CP178-IF(CN178&lt;=0,CT178,0)</f>
        <v>8955.05980126879</v>
      </c>
      <c r="CY178" s="85" t="n">
        <f aca="false">CP178+CQ178-IF(CN178&lt;=CJ178,CT178,0)</f>
        <v>20893.0367902863</v>
      </c>
      <c r="CZ178" s="85" t="n">
        <f aca="false">CP178+CQ178+CR178-IF(CN178&lt;=CK178,CT178,0)</f>
        <v>22903.3663615701</v>
      </c>
      <c r="DA178" s="85" t="n">
        <f aca="false">CP178+CQ178+CR178+CS178-IF(CN178&lt;=CL178,CT178,0)</f>
        <v>24413.3663615701</v>
      </c>
      <c r="DB178" s="88" t="n">
        <f aca="false">MAX(CX178,CY178,CZ178,DA178)</f>
        <v>24413.3663615701</v>
      </c>
      <c r="DC178" s="88" t="n">
        <f aca="false">CP178+CQ178+CR178+CS178</f>
        <v>24413.3663615701</v>
      </c>
      <c r="DD178" s="88" t="n">
        <f aca="false">CE178-CH178-CI178-CW178</f>
        <v>-7159.82653936083</v>
      </c>
      <c r="DE178" s="87" t="n">
        <f aca="false">IF(CD178&gt;0,DD178/CD178,0)</f>
        <v>-0.403926505561011</v>
      </c>
      <c r="DF178" s="86" t="n">
        <f aca="false">IF(CD178&gt;0,(BM178+CI178+CW178)/(CD178*(1-CG178)),0)</f>
        <v>1.42879671503292</v>
      </c>
      <c r="DG178" s="90" t="n">
        <f aca="false">IF(BW178&gt;0,BM178/BW178,0)</f>
        <v>0.26663404657784</v>
      </c>
      <c r="DH178" s="90" t="n">
        <f aca="false">IF(BW178&gt;0,CD178/BW178,0)</f>
        <v>0.2325</v>
      </c>
      <c r="DI178" s="90" t="n">
        <f aca="false">IF(AI178&gt;0,(AI178*IF(K178=3,INDEX(in_sup_vat_rate,1,C178),0)+AV178*BA178+(BC178+BD178)*AV178/AY178+AZ178*AI178/AL178)/AI178,0)</f>
        <v>0.136336711689146</v>
      </c>
      <c r="DJ178" s="90" t="n">
        <f aca="false">IF(AJ178&gt;0,(AJ178*IF(K178=3,INDEX(in_sup_vat_rate,1,C178),0)+AW178*BA178+(BC178+BD178)*AW178/AY178+AZ178*AJ178/AL178)/AJ178,0)</f>
        <v>0.136336711689146</v>
      </c>
      <c r="DK178" s="90" t="n">
        <f aca="false">IF(AK178&gt;0,(AK178*IF(K178=3,INDEX(in_sup_vat_rate,1,C178),0)+AX178*BA178+(BC178+BD178)*AX178/AY178+AZ178*AK178/AL178)/AK178,0)</f>
        <v>0.136336711689146</v>
      </c>
      <c r="DL178" s="90" t="n">
        <f aca="false">IF(Y178&gt;0,(BP178-AI178*(1+DI178))/Y178,0)</f>
        <v>0.0957837858987348</v>
      </c>
      <c r="DM178" s="90" t="n">
        <f aca="false">IF(Z178&gt;0,(BQ178-AJ178*(1+DJ178))/Z178,0)</f>
        <v>0.113339857972185</v>
      </c>
      <c r="DN178" s="90" t="n">
        <f aca="false">IF(AA178&gt;0,(BR178-AK178*(1+DK178))/AA178,0)</f>
        <v>0.0799956969142526</v>
      </c>
      <c r="DO178" s="86" t="n">
        <f aca="false">IF(Y178&gt;0,(CA178*(1-thr_gm_go)*(1-R178)-DL178)/(1+DI178)*I178/((1+AH178)*J178),"")</f>
        <v>3.07821359222338</v>
      </c>
      <c r="DP178" s="86" t="n">
        <f aca="false">IF(Z178&gt;0,(CB178*(1-thr_gm_go)*(1-R178)-DM178)/(1+DJ178)*I178/((1+AH178)*J178),"")</f>
        <v>3.42081099021151</v>
      </c>
      <c r="DQ178" s="86" t="n">
        <f aca="false">IF(AA178&gt;0,(CC178*(1-thr_gm_go)*(1-R178)-DN178)/(1+DK178)*I178/((1+AH178)*J178),"")</f>
        <v>4.00445073645962</v>
      </c>
      <c r="DR178" s="92" t="n">
        <f aca="false">IF(AND(AY178*INDEX(in_cus_mpf_rate,1,C178)&gt;INDEX(in_cus_mpf_min,1,C178),AY178*INDEX(in_cus_mpf_rate,1,C178)&lt;INDEX(in_cus_mpf_max,1,C178)),INDEX(in_cus_mpf_rate,1,C178),0)</f>
        <v>0.003464</v>
      </c>
      <c r="DS178" s="88" t="n">
        <f aca="false">IF(AZ178&gt;INDEX(in_oce_ins_min,1,C178),INDEX(in_oce_ins_rate,1,C178)*(1+INDEX(in_oce_ins_uplift,1,C178))*AL178,0)</f>
        <v>0</v>
      </c>
      <c r="DT178" s="88" t="n">
        <f aca="false">(AL178+AN178)*(1+BA178+INDEX(in_cus_hmf,1,C178)+DR178)+DS178</f>
        <v>12793.6340847905</v>
      </c>
      <c r="DU178" s="86" t="n">
        <f aca="false">IF(DT178&gt;0,(CD178*(1-thr_gm_go)-(BM178-DT178))/DT178,0)</f>
        <v>0.450215833481601</v>
      </c>
      <c r="DV178" s="86" t="n">
        <f aca="false">IF(DT178&gt;0,(CD178-(BM178-DT178))/DT178,0)</f>
        <v>0.796590588741187</v>
      </c>
      <c r="DW178" s="87" t="n">
        <f aca="false">(1+AH178)*J178*DU178-1</f>
        <v>-0.549784166518399</v>
      </c>
      <c r="DX178" s="87" t="n">
        <f aca="false">(1+AH178)*J178*DV178-1</f>
        <v>-0.203409411258813</v>
      </c>
      <c r="DY178" s="85" t="n">
        <f aca="false">IF(G178&gt;0,(CD178*(1-thr_gm_go)-(BM178-AT178))/G178,"")</f>
        <v>-3033.73745204791</v>
      </c>
      <c r="DZ178" s="90" t="n">
        <f aca="false">IF(AB178&gt;0,(AL178+AN178+BB178+BC178+BD178)/AB178,0)</f>
        <v>0.165292430036053</v>
      </c>
      <c r="EA178" s="88" t="n">
        <f aca="false">BM178-DZ178*AB178</f>
        <v>7534.27899225744</v>
      </c>
      <c r="EB178" s="90" t="n">
        <f aca="false">IF(AB178&gt;0,CD178/AB178,0)</f>
        <v>0.2290125</v>
      </c>
      <c r="EC178" s="85" t="n">
        <f aca="false">IF(EB178*(1-thr_gm_go)-DZ178&gt;0,EA178/(EB178*(1-thr_gm_go)-DZ178),"n/a")</f>
        <v>1165044.55106086</v>
      </c>
      <c r="ED178" s="85" t="n">
        <f aca="false">IF(EB178-DZ178&gt;0,EA178/(EB178-DZ178),"n/a")</f>
        <v>118240.281225685</v>
      </c>
      <c r="EE178" s="93" t="b">
        <f aca="false">INDEX(cfg_fits,D178,C178)</f>
        <v>1</v>
      </c>
      <c r="EF178" s="87" t="n">
        <f aca="false">IF(F178=4,"",INDEX(cfg_lenutil,D178,C178))</f>
        <v>0.999580888516345</v>
      </c>
      <c r="EG178" s="31" t="str">
        <f aca="false">IF(O178&gt;1,"Check fit (units scaled up)","")</f>
        <v/>
      </c>
    </row>
    <row r="179" customFormat="false" ht="15" hidden="false" customHeight="false" outlineLevel="0" collapsed="false">
      <c r="A179" s="78" t="n">
        <v>900025</v>
      </c>
      <c r="B179" s="9" t="s">
        <v>3327</v>
      </c>
      <c r="C179" s="10" t="n">
        <f aca="false">sel_scen</f>
        <v>2</v>
      </c>
      <c r="D179" s="10" t="n">
        <f aca="false">sel_cfg</f>
        <v>4</v>
      </c>
      <c r="E179" s="10" t="n">
        <f aca="false">sel_dest</f>
        <v>1</v>
      </c>
      <c r="F179" s="79" t="n">
        <f aca="false">INDEX(cfg_ct,D179)</f>
        <v>3</v>
      </c>
      <c r="G179" s="79" t="n">
        <f aca="false">INDEX(cfg_n,D179)</f>
        <v>1</v>
      </c>
      <c r="H179" s="79" t="n">
        <f aca="false">INDEX(dest_port,E179)</f>
        <v>1</v>
      </c>
      <c r="I179" s="80" t="n">
        <f aca="false">INDEX(in_fx_cbe,1,C179)*(1-INDEX(in_fx_spread,1,C179))</f>
        <v>52.7748</v>
      </c>
      <c r="J179" s="81" t="n">
        <f aca="false">1</f>
        <v>1</v>
      </c>
      <c r="K179" s="82" t="n">
        <f aca="false">INDEX(in_sup_vat_mode,1,C179)</f>
        <v>2</v>
      </c>
      <c r="L179" s="83" t="n">
        <f aca="false">INDEX(in_cus_s301,1,C179)</f>
        <v>0.125</v>
      </c>
      <c r="M179" s="84" t="n">
        <f aca="false">1</f>
        <v>1</v>
      </c>
      <c r="N179" s="81" t="n">
        <f aca="false">1</f>
        <v>1</v>
      </c>
      <c r="O179" s="81" t="n">
        <f aca="false">1</f>
        <v>1</v>
      </c>
      <c r="P179" s="81" t="n">
        <f aca="false">1</f>
        <v>1</v>
      </c>
      <c r="Q179" s="81" t="n">
        <f aca="false">1</f>
        <v>1</v>
      </c>
      <c r="R179" s="83" t="n">
        <f aca="false">INDEX(in_sel_damage,1,C179)</f>
        <v>0.015</v>
      </c>
      <c r="S179" s="83" t="n">
        <f aca="false">INDEX(in_mkt_dist_margin,1,C179)</f>
        <v>0.25</v>
      </c>
      <c r="T179" s="83" t="n">
        <f aca="false">INDEX(in_mkt_eflute_disc,1,C179)</f>
        <v>0.2</v>
      </c>
      <c r="U179" s="6" t="n">
        <v>30</v>
      </c>
      <c r="V179" s="81" t="n">
        <f aca="false">1</f>
        <v>1</v>
      </c>
      <c r="W179" s="83" t="n">
        <f aca="false">INDEX(in_sel_commission,1,C179)</f>
        <v>0.05</v>
      </c>
      <c r="X179" s="82" t="n">
        <f aca="false">1</f>
        <v>1</v>
      </c>
      <c r="Y179" s="85" t="n">
        <f aca="false">INDEX(cfg_u_3464,D179,C179)*O179</f>
        <v>25800</v>
      </c>
      <c r="Z179" s="85" t="n">
        <f aca="false">INDEX(cfg_u_3463,D179,C179)*O179</f>
        <v>25800</v>
      </c>
      <c r="AA179" s="85" t="n">
        <f aca="false">INDEX(cfg_u_3460,D179,C179)*O179</f>
        <v>25800</v>
      </c>
      <c r="AB179" s="85" t="n">
        <f aca="false">Y179+Z179+AA179</f>
        <v>77400</v>
      </c>
      <c r="AC179" s="86" t="n">
        <f aca="false">Y179*INDEX(lg_vpu_3464,C179)</f>
        <v>18.3539136</v>
      </c>
      <c r="AD179" s="86" t="n">
        <f aca="false">Z179*INDEX(lg_vpu_3463,C179)</f>
        <v>22.4530176</v>
      </c>
      <c r="AE179" s="86" t="n">
        <f aca="false">AA179*INDEX(lg_vpu_3460,C179)</f>
        <v>14.6676096</v>
      </c>
      <c r="AF179" s="86" t="n">
        <f aca="false">AC179+AD179+AE179</f>
        <v>55.4745408</v>
      </c>
      <c r="AG179" s="85" t="n">
        <f aca="false">Y179*INDEX(lg_kpu_3464,C179)+Z179*INDEX(lg_kpu_3463,C179)+AA179*INDEX(lg_kpu_3460,C179)</f>
        <v>13341.3537888</v>
      </c>
      <c r="AH179" s="87" t="n">
        <f aca="false">INDEX(in_sup_requote,1,C179)</f>
        <v>0</v>
      </c>
      <c r="AI179" s="88" t="n">
        <f aca="false">Y179*q_price_3464*(1+AH179)*J179/I179</f>
        <v>4089.39493849337</v>
      </c>
      <c r="AJ179" s="88" t="n">
        <f aca="false">Z179*q_price_3463*(1+AH179)*J179/I179</f>
        <v>3862.07053366379</v>
      </c>
      <c r="AK179" s="88" t="n">
        <f aca="false">AA179*q_price_3460*(1+AH179)*J179/I179</f>
        <v>3373.20084585825</v>
      </c>
      <c r="AL179" s="88" t="n">
        <f aca="false">AI179+AJ179+AK179</f>
        <v>11324.6663180154</v>
      </c>
      <c r="AM179" s="88" t="n">
        <f aca="false">IF(OR(K179=2,K179=3),AL179*INDEX(in_sup_vat_rate,1,C179),0)</f>
        <v>1585.45328452216</v>
      </c>
      <c r="AN179" s="88" t="n">
        <f aca="false">IF(K179=3,AM179,0)</f>
        <v>0</v>
      </c>
      <c r="AO179" s="88" t="n">
        <f aca="false">INDEX(in_sup_tooling_egp,1,C179)/I179</f>
        <v>0</v>
      </c>
      <c r="AP179" s="88" t="n">
        <f aca="false">IF(F179=4,INDEX(in_ori_lcl_truck,1,C179)*V179/I179+INDEX(in_ori_lcl_cfs_o,1,C179),G179*(IF(F179=1,INDEX(in_ori_truck_20,1,C179),INDEX(in_ori_truck_40,1,C179))*V179/I179+INDEX(in_ori_terminal,1,C179)+IF(F179=1,INDEX(in_ori_othc_20,1,C179),INDEX(in_ori_othc_40,1,C179))*(1-INDEX(in_ori_othc_in_freight,1,C179))+INDEX(in_ori_seal,1,C179)+INDEX(in_ori_inspection,1,C179)+INDEX(in_ori_dd_days,1,C179)*IF(F179=1,INDEX(in_ori_dd_20,1,C179),INDEX(in_ori_dd_40,1,C179))+INDEX(in_ori_loading_egp,1,C179)/I179))</f>
        <v>555.278125165799</v>
      </c>
      <c r="AQ179" s="88" t="n">
        <f aca="false">(INDEX(in_ori_clearance,1,C179)+INDEX(in_ori_coo,1,C179))/I179+INDEX(in_ori_bl_fee,1,C179)+INDEX(in_ori_fwd_fee,1,C179)+INDEX(in_ori_qc,1,C179)+INDEX(in_ori_wires,1,C179)*INDEX(in_ori_wire_fee,1,C179)</f>
        <v>817.639062582899</v>
      </c>
      <c r="AR179" s="88" t="n">
        <f aca="false">AP179+AQ179</f>
        <v>1372.9171877487</v>
      </c>
      <c r="AS179" s="85" t="n">
        <f aca="false">INDEX(tbl_port_diff,H179,C179)</f>
        <v>0</v>
      </c>
      <c r="AT179" s="88" t="n">
        <f aca="false">IF(F179=4,MAX(AF179*INDEX(in_oce_lcl_factor,1,C179),AG179/1000,1)*INDEX(in_oce_lcl_rate,1,C179)*M179,G179*(INDEX(tbl_ocean_rate,MIN(F179,3),C179)+AS179)*M179)</f>
        <v>4000</v>
      </c>
      <c r="AU179" s="88" t="n">
        <f aca="false">AT179+INDEX(in_oce_ams,1,C179)</f>
        <v>4035</v>
      </c>
      <c r="AV179" s="88" t="n">
        <f aca="false">AI179*(1+IF(K179=3,INDEX(in_sup_vat_rate,1,C179),0))+AO179*Y179/AB179</f>
        <v>4089.39493849337</v>
      </c>
      <c r="AW179" s="88" t="n">
        <f aca="false">AJ179*(1+IF(K179=3,INDEX(in_sup_vat_rate,1,C179),0))+AO179*Z179/AB179</f>
        <v>3862.07053366379</v>
      </c>
      <c r="AX179" s="88" t="n">
        <f aca="false">AK179*(1+IF(K179=3,INDEX(in_sup_vat_rate,1,C179),0))+AO179*AA179/AB179</f>
        <v>3373.20084585825</v>
      </c>
      <c r="AY179" s="88" t="n">
        <f aca="false">AV179+AW179+AX179</f>
        <v>11324.6663180154</v>
      </c>
      <c r="AZ179" s="88" t="n">
        <f aca="false">MAX(INDEX(in_oce_ins_min,1,C179),INDEX(in_oce_ins_rate,1,C179)*(1+INDEX(in_oce_ins_uplift,1,C179))*(AL179+AO179+AR179+AU179))*(1-INDEX(in_oce_ins_in_other,1,C179))</f>
        <v>75</v>
      </c>
      <c r="BA179" s="87" t="n">
        <f aca="false">INDEX(in_cus_mfn,1,C179)+L179</f>
        <v>0.125</v>
      </c>
      <c r="BB179" s="88" t="n">
        <f aca="false">AY179*BA179</f>
        <v>1415.58328975193</v>
      </c>
      <c r="BC179" s="88" t="n">
        <f aca="false">MIN(MAX(AY179*INDEX(in_cus_mpf_rate,1,C179),INDEX(in_cus_mpf_min,1,C179)),INDEX(in_cus_mpf_max,1,C179))</f>
        <v>39.2286441256054</v>
      </c>
      <c r="BD179" s="88" t="n">
        <f aca="false">AY179*INDEX(in_cus_hmf,1,C179)</f>
        <v>14.1558328975193</v>
      </c>
      <c r="BE179" s="88" t="n">
        <f aca="false">MAX(INDEX(in_cus_stb_min,1,C179),INDEX(in_cus_stb_rate,1,C179)/1000*(AY179+BB179+BC179+BD179))</f>
        <v>76.7618045087428</v>
      </c>
      <c r="BF179" s="88" t="n">
        <f aca="false">INDEX(in_cus_broker,1,C179)+INDEX(in_cus_isf,1,C179)+INDEX(in_cus_do_fee,1,C179)+BE179+INDEX(in_cus_isf_bond,1,C179)</f>
        <v>511.761804508743</v>
      </c>
      <c r="BG179" s="88" t="n">
        <f aca="false">IF(H179=1,INDEX(in_cus_cfc,1,C179)*INDEX(ct_teu,F179)*G179*(1-INDEX(in_cus_cfc_in_freight,1,C179)),0)</f>
        <v>29.6</v>
      </c>
      <c r="BH179" s="88" t="n">
        <f aca="false">IF(F179=4,1,G179)*(INDEX(in_cus_exam,1,C179)+INDEX(in_cus_exam_dray,1,C179))</f>
        <v>0</v>
      </c>
      <c r="BI179" s="88" t="n">
        <f aca="false">IF(F179=4,1,G179)*INDEX(in_cus_dem_days,1,C179)*INDEX(in_cus_dem_rate,1,C179)</f>
        <v>0</v>
      </c>
      <c r="BJ179" s="88" t="n">
        <f aca="false">BG179+BH179+BI179</f>
        <v>29.6</v>
      </c>
      <c r="BK179" s="88" t="n">
        <f aca="false">IF(F179=4,(INDEX(in_dra_lcl_cfs_d,1,C179)+INDEX(in_dra_lcl_deliv,1,C179))*P179,G179*(INDEX(tbl_dest_line,E179,C179)*P179*(1+INDEX(in_dra_fsc,1,C179))+INDEX(tbl_dest_tolls,E179,C179)+INDEX(in_dra_chassis_days,1,C179)*INDEX(tbl_dest_chassis,E179,C179)*(1-INDEX(in_dra_chassis_in_dray,1,C179))+INDEX(in_dra_wait_hours,1,C179)*INDEX(in_dra_wait_rate,1,C179)+INDEX(in_dra_split,1,C179)+INDEX(in_dra_prepull,1,C179)+INDEX(in_dra_dryrun,1,C179)))</f>
        <v>1060</v>
      </c>
      <c r="BL179" s="88" t="n">
        <f aca="false">IF(F179=4,0,G179*IF(F179=1,INDEX(in_dra_unload_20,1,C179),INDEX(in_dra_unload_40,1,C179))*Q179*(1-INDEX(in_dra_unload_in_dray,1,C179)))</f>
        <v>450</v>
      </c>
      <c r="BM179" s="88" t="n">
        <f aca="false">AL179+AN179+AO179+AR179+AU179+AZ179+BB179+BC179+BD179+BF179+BJ179+BK179+BL179</f>
        <v>20327.9130770479</v>
      </c>
      <c r="BN179" s="88" t="n">
        <f aca="false">AP179+AU179+BJ179+BK179+BL179</f>
        <v>6129.8781251658</v>
      </c>
      <c r="BO179" s="88" t="n">
        <f aca="false">AQ179+BF179</f>
        <v>1329.40086709164</v>
      </c>
      <c r="BP179" s="88" t="n">
        <f aca="false">AI179*(1+IF(K179=3,INDEX(in_sup_vat_rate,1,C179),0))+AO179*Y179/AB179+AV179*BA179+(BC179+BD179)*AV179/AY179+AZ179*AI179/AL179+BN179*AC179/AF179+BO179*Y179/AB179</f>
        <v>7118.15127339316</v>
      </c>
      <c r="BQ179" s="88" t="n">
        <f aca="false">AJ179*(1+IF(K179=3,INDEX(in_sup_vat_rate,1,C179),0))+AO179*Z179/AB179+AW179*BA179+(BC179+BD179)*AW179/AY179+AZ179*AJ179/AL179+BN179*AD179/AF179+BO179*Z179/AB179</f>
        <v>7312.78086621743</v>
      </c>
      <c r="BR179" s="88" t="n">
        <f aca="false">AK179*(1+IF(K179=3,INDEX(in_sup_vat_rate,1,C179),0))+AO179*AA179/AB179+AX179*BA179+(BC179+BD179)*AX179/AY179+AZ179*AK179/AL179+BN179*AE179/AF179+BO179*AA179/AB179</f>
        <v>5896.98093743733</v>
      </c>
      <c r="BS179" s="89" t="n">
        <f aca="false">BP179+BQ179+BR179-BM179</f>
        <v>0</v>
      </c>
      <c r="BT179" s="85" t="n">
        <f aca="false">Y179*(1-R179)</f>
        <v>25413</v>
      </c>
      <c r="BU179" s="85" t="n">
        <f aca="false">Z179*(1-R179)</f>
        <v>25413</v>
      </c>
      <c r="BV179" s="85" t="n">
        <f aca="false">AA179*(1-R179)</f>
        <v>25413</v>
      </c>
      <c r="BW179" s="85" t="n">
        <f aca="false">BT179+BU179+BV179</f>
        <v>76239</v>
      </c>
      <c r="BX179" s="90" t="n">
        <f aca="false">IF(BT179&gt;0,BP179/BT179,0)</f>
        <v>0.280098818454852</v>
      </c>
      <c r="BY179" s="90" t="n">
        <f aca="false">IF(BU179&gt;0,BQ179/BU179,0)</f>
        <v>0.28775748106156</v>
      </c>
      <c r="BZ179" s="90" t="n">
        <f aca="false">IF(BV179&gt;0,BR179/BV179,0)</f>
        <v>0.232045840217106</v>
      </c>
      <c r="CA179" s="90" t="n">
        <f aca="false">INDEX(in_mkt_listing_3464,1,C179)*(1-IF(sku_flute_3464="B",T179,0))*(1-S179)*N179</f>
        <v>0.234</v>
      </c>
      <c r="CB179" s="90" t="n">
        <f aca="false">INDEX(in_mkt_listing_3463,1,C179)*(1-IF(sku_flute_3463="B",T179,0))*(1-S179)*N179</f>
        <v>0.27</v>
      </c>
      <c r="CC179" s="90" t="n">
        <f aca="false">INDEX(in_mkt_listing_3460,1,C179)*(1-IF(sku_flute_3460="B",T179,0))*(1-S179)*N179</f>
        <v>0.225</v>
      </c>
      <c r="CD179" s="88" t="n">
        <f aca="false">BT179*CA179+BU179*CB179+BV179*CC179</f>
        <v>18526.077</v>
      </c>
      <c r="CE179" s="88" t="n">
        <f aca="false">CD179-BM179</f>
        <v>-1801.83607704791</v>
      </c>
      <c r="CF179" s="87" t="n">
        <f aca="false">IF(CD179&gt;0,CE179/CD179,0)</f>
        <v>-0.0972594509376113</v>
      </c>
      <c r="CG179" s="87" t="n">
        <f aca="false">W179+INDEX(in_sel_processing,1,C179)+INDEX(in_sel_bad_debt,1,C179)</f>
        <v>0.058</v>
      </c>
      <c r="CH179" s="88" t="n">
        <f aca="false">CD179*CG179</f>
        <v>1074.512466</v>
      </c>
      <c r="CI179" s="88" t="n">
        <f aca="false">INDEX(in_sel_testing,1,C179)*X179+INDEX(in_sel_admin,1,C179)</f>
        <v>3000</v>
      </c>
      <c r="CJ179" s="79" t="n">
        <f aca="false">INDEX(in_sup_lead_days,1,C179)</f>
        <v>21</v>
      </c>
      <c r="CK179" s="79" t="n">
        <f aca="false">CJ179+INDEX(in_oce_transit,1,C179)+IF(F179=4,INDEX(in_oce_lcl_extra_days,1,C179),0)</f>
        <v>51</v>
      </c>
      <c r="CL179" s="79" t="n">
        <f aca="false">CK179+2+INDEX(in_cus_dem_days,1,C179)</f>
        <v>53</v>
      </c>
      <c r="CM179" s="79" t="n">
        <f aca="false">CL179+U179</f>
        <v>83</v>
      </c>
      <c r="CN179" s="79" t="n">
        <f aca="false">CJ179+INDEX(in_sup_vat_lag,1,C179)</f>
        <v>81</v>
      </c>
      <c r="CO179" s="91" t="n">
        <f aca="false">INDEX(in_sup_advance,1,C179)</f>
        <v>0.5</v>
      </c>
      <c r="CP179" s="88" t="n">
        <f aca="false">CO179*(AL179+AM179)+AO179+INDEX(in_sel_testing,1,C179)*X179</f>
        <v>8955.05980126879</v>
      </c>
      <c r="CQ179" s="88" t="n">
        <f aca="false">(1-CO179)*(AL179+AM179)+AR179+AU179+AZ179</f>
        <v>11937.9769890175</v>
      </c>
      <c r="CR179" s="88" t="n">
        <f aca="false">BB179+BC179+BD179+BF179+BJ179</f>
        <v>2010.32957128379</v>
      </c>
      <c r="CS179" s="88" t="n">
        <f aca="false">BK179+BL179</f>
        <v>1510</v>
      </c>
      <c r="CT179" s="88" t="n">
        <f aca="false">IF(K179=2,AM179,0)</f>
        <v>1585.45328452216</v>
      </c>
      <c r="CU179" s="85" t="n">
        <f aca="false">IF(K179=2,CO179*AM179*(CN179-0)+(1-CO179)*AM179*(CN179-CJ179),0)</f>
        <v>111774.456558812</v>
      </c>
      <c r="CV179" s="85" t="n">
        <f aca="false">(CP179-CO179*CT179)*(CM179-0)+(CQ179-(1-CO179)*CT179)*(CM179-CJ179)+CR179*(CM179-CK179)+CS179*(CM179-CL179)</f>
        <v>1478109.71997762</v>
      </c>
      <c r="CW179" s="88" t="n">
        <f aca="false">INDEX(in_sel_fin_rate,1,C179)/365*(CU179+CV179)</f>
        <v>435.584705900392</v>
      </c>
      <c r="CX179" s="85" t="n">
        <f aca="false">CP179-IF(CN179&lt;=0,CT179,0)</f>
        <v>8955.05980126879</v>
      </c>
      <c r="CY179" s="85" t="n">
        <f aca="false">CP179+CQ179-IF(CN179&lt;=CJ179,CT179,0)</f>
        <v>20893.0367902863</v>
      </c>
      <c r="CZ179" s="85" t="n">
        <f aca="false">CP179+CQ179+CR179-IF(CN179&lt;=CK179,CT179,0)</f>
        <v>22903.3663615701</v>
      </c>
      <c r="DA179" s="85" t="n">
        <f aca="false">CP179+CQ179+CR179+CS179-IF(CN179&lt;=CL179,CT179,0)</f>
        <v>24413.3663615701</v>
      </c>
      <c r="DB179" s="88" t="n">
        <f aca="false">MAX(CX179,CY179,CZ179,DA179)</f>
        <v>24413.3663615701</v>
      </c>
      <c r="DC179" s="88" t="n">
        <f aca="false">CP179+CQ179+CR179+CS179</f>
        <v>24413.3663615701</v>
      </c>
      <c r="DD179" s="88" t="n">
        <f aca="false">CE179-CH179-CI179-CW179</f>
        <v>-6311.9332489483</v>
      </c>
      <c r="DE179" s="87" t="n">
        <f aca="false">IF(CD179&gt;0,DD179/CD179,0)</f>
        <v>-0.340705333835561</v>
      </c>
      <c r="DF179" s="86" t="n">
        <f aca="false">IF(CD179&gt;0,(BM179+CI179+CW179)/(CD179*(1-CG179)),0)</f>
        <v>1.36168294462374</v>
      </c>
      <c r="DG179" s="90" t="n">
        <f aca="false">IF(BW179&gt;0,BM179/BW179,0)</f>
        <v>0.26663404657784</v>
      </c>
      <c r="DH179" s="90" t="n">
        <f aca="false">IF(BW179&gt;0,CD179/BW179,0)</f>
        <v>0.243</v>
      </c>
      <c r="DI179" s="90" t="n">
        <f aca="false">IF(AI179&gt;0,(AI179*IF(K179=3,INDEX(in_sup_vat_rate,1,C179),0)+AV179*BA179+(BC179+BD179)*AV179/AY179+AZ179*AI179/AL179)/AI179,0)</f>
        <v>0.136336711689146</v>
      </c>
      <c r="DJ179" s="90" t="n">
        <f aca="false">IF(AJ179&gt;0,(AJ179*IF(K179=3,INDEX(in_sup_vat_rate,1,C179),0)+AW179*BA179+(BC179+BD179)*AW179/AY179+AZ179*AJ179/AL179)/AJ179,0)</f>
        <v>0.136336711689146</v>
      </c>
      <c r="DK179" s="90" t="n">
        <f aca="false">IF(AK179&gt;0,(AK179*IF(K179=3,INDEX(in_sup_vat_rate,1,C179),0)+AX179*BA179+(BC179+BD179)*AX179/AY179+AZ179*AK179/AL179)/AK179,0)</f>
        <v>0.136336711689146</v>
      </c>
      <c r="DL179" s="90" t="n">
        <f aca="false">IF(Y179&gt;0,(BP179-AI179*(1+DI179))/Y179,0)</f>
        <v>0.0957837858987348</v>
      </c>
      <c r="DM179" s="90" t="n">
        <f aca="false">IF(Z179&gt;0,(BQ179-AJ179*(1+DJ179))/Z179,0)</f>
        <v>0.113339857972185</v>
      </c>
      <c r="DN179" s="90" t="n">
        <f aca="false">IF(AA179&gt;0,(BR179-AK179*(1+DK179))/AA179,0)</f>
        <v>0.0799956969142526</v>
      </c>
      <c r="DO179" s="86" t="n">
        <f aca="false">IF(Y179&gt;0,(CA179*(1-thr_gm_go)*(1-R179)-DL179)/(1+DI179)*I179/((1+AH179)*J179),"")</f>
        <v>3.57999310688847</v>
      </c>
      <c r="DP179" s="86" t="n">
        <f aca="false">IF(Z179&gt;0,(CB179*(1-thr_gm_go)*(1-R179)-DM179)/(1+DJ179)*I179/((1+AH179)*J179),"")</f>
        <v>3.99978735328661</v>
      </c>
      <c r="DQ179" s="86" t="n">
        <f aca="false">IF(AA179&gt;0,(CC179*(1-thr_gm_go)*(1-R179)-DN179)/(1+DK179)*I179/((1+AH179)*J179),"")</f>
        <v>4.00445073645962</v>
      </c>
      <c r="DR179" s="92" t="n">
        <f aca="false">IF(AND(AY179*INDEX(in_cus_mpf_rate,1,C179)&gt;INDEX(in_cus_mpf_min,1,C179),AY179*INDEX(in_cus_mpf_rate,1,C179)&lt;INDEX(in_cus_mpf_max,1,C179)),INDEX(in_cus_mpf_rate,1,C179),0)</f>
        <v>0.003464</v>
      </c>
      <c r="DS179" s="88" t="n">
        <f aca="false">IF(AZ179&gt;INDEX(in_oce_ins_min,1,C179),INDEX(in_oce_ins_rate,1,C179)*(1+INDEX(in_oce_ins_uplift,1,C179))*AL179,0)</f>
        <v>0</v>
      </c>
      <c r="DT179" s="88" t="n">
        <f aca="false">(AL179+AN179)*(1+BA179+INDEX(in_cus_hmf,1,C179)+DR179)+DS179</f>
        <v>12793.6340847905</v>
      </c>
      <c r="DU179" s="86" t="n">
        <f aca="false">IF(DT179&gt;0,(CD179*(1-thr_gm_go)-(BM179-DT179))/DT179,0)</f>
        <v>0.497144026129674</v>
      </c>
      <c r="DV179" s="86" t="n">
        <f aca="false">IF(DT179&gt;0,(CD179-(BM179-DT179))/DT179,0)</f>
        <v>0.859161512271951</v>
      </c>
      <c r="DW179" s="87" t="n">
        <f aca="false">(1+AH179)*J179*DU179-1</f>
        <v>-0.502855973870326</v>
      </c>
      <c r="DX179" s="87" t="n">
        <f aca="false">(1+AH179)*J179*DV179-1</f>
        <v>-0.140838487728049</v>
      </c>
      <c r="DY179" s="85" t="n">
        <f aca="false">IF(G179&gt;0,(CD179*(1-thr_gm_go)-(BM179-AT179))/G179,"")</f>
        <v>-2433.35532704791</v>
      </c>
      <c r="DZ179" s="90" t="n">
        <f aca="false">IF(AB179&gt;0,(AL179+AN179+BB179+BC179+BD179)/AB179,0)</f>
        <v>0.165292430036053</v>
      </c>
      <c r="EA179" s="88" t="n">
        <f aca="false">BM179-DZ179*AB179</f>
        <v>7534.27899225744</v>
      </c>
      <c r="EB179" s="90" t="n">
        <f aca="false">IF(AB179&gt;0,CD179/AB179,0)</f>
        <v>0.239355</v>
      </c>
      <c r="EC179" s="85" t="n">
        <f aca="false">IF(EB179*(1-thr_gm_go)-DZ179&gt;0,EA179/(EB179*(1-thr_gm_go)-DZ179),"n/a")</f>
        <v>529694.485121035</v>
      </c>
      <c r="ED179" s="85" t="n">
        <f aca="false">IF(EB179-DZ179&gt;0,EA179/(EB179-DZ179),"n/a")</f>
        <v>101728.565399837</v>
      </c>
      <c r="EE179" s="93" t="b">
        <f aca="false">INDEX(cfg_fits,D179,C179)</f>
        <v>1</v>
      </c>
      <c r="EF179" s="87" t="n">
        <f aca="false">IF(F179=4,"",INDEX(cfg_lenutil,D179,C179))</f>
        <v>0.999580888516345</v>
      </c>
      <c r="EG179" s="31" t="str">
        <f aca="false">IF(O179&gt;1,"Check fit (units scaled up)","")</f>
        <v/>
      </c>
    </row>
    <row r="180" customFormat="false" ht="15" hidden="false" customHeight="false" outlineLevel="0" collapsed="false">
      <c r="A180" s="78" t="n">
        <v>900026</v>
      </c>
      <c r="B180" s="9" t="s">
        <v>3328</v>
      </c>
      <c r="C180" s="10" t="n">
        <f aca="false">sel_scen</f>
        <v>2</v>
      </c>
      <c r="D180" s="10" t="n">
        <f aca="false">sel_cfg</f>
        <v>4</v>
      </c>
      <c r="E180" s="10" t="n">
        <f aca="false">sel_dest</f>
        <v>1</v>
      </c>
      <c r="F180" s="79" t="n">
        <f aca="false">INDEX(cfg_ct,D180)</f>
        <v>3</v>
      </c>
      <c r="G180" s="79" t="n">
        <f aca="false">INDEX(cfg_n,D180)</f>
        <v>1</v>
      </c>
      <c r="H180" s="79" t="n">
        <f aca="false">INDEX(dest_port,E180)</f>
        <v>1</v>
      </c>
      <c r="I180" s="80" t="n">
        <f aca="false">INDEX(in_fx_cbe,1,C180)*(1-INDEX(in_fx_spread,1,C180))</f>
        <v>52.7748</v>
      </c>
      <c r="J180" s="81" t="n">
        <f aca="false">1</f>
        <v>1</v>
      </c>
      <c r="K180" s="82" t="n">
        <f aca="false">INDEX(in_sup_vat_mode,1,C180)</f>
        <v>2</v>
      </c>
      <c r="L180" s="83" t="n">
        <f aca="false">INDEX(in_cus_s301,1,C180)</f>
        <v>0.125</v>
      </c>
      <c r="M180" s="84" t="n">
        <f aca="false">1</f>
        <v>1</v>
      </c>
      <c r="N180" s="81" t="n">
        <f aca="false">1</f>
        <v>1</v>
      </c>
      <c r="O180" s="81" t="n">
        <f aca="false">1</f>
        <v>1</v>
      </c>
      <c r="P180" s="81" t="n">
        <f aca="false">1</f>
        <v>1</v>
      </c>
      <c r="Q180" s="81" t="n">
        <f aca="false">1</f>
        <v>1</v>
      </c>
      <c r="R180" s="83" t="n">
        <f aca="false">INDEX(in_sel_damage,1,C180)</f>
        <v>0.015</v>
      </c>
      <c r="S180" s="83" t="n">
        <f aca="false">INDEX(in_mkt_dist_margin,1,C180)</f>
        <v>0.25</v>
      </c>
      <c r="T180" s="83" t="n">
        <f aca="false">INDEX(in_mkt_eflute_disc,1,C180)</f>
        <v>0.2</v>
      </c>
      <c r="U180" s="6" t="n">
        <v>90</v>
      </c>
      <c r="V180" s="81" t="n">
        <f aca="false">1</f>
        <v>1</v>
      </c>
      <c r="W180" s="83" t="n">
        <f aca="false">INDEX(in_sel_commission,1,C180)</f>
        <v>0.05</v>
      </c>
      <c r="X180" s="82" t="n">
        <f aca="false">1</f>
        <v>1</v>
      </c>
      <c r="Y180" s="85" t="n">
        <f aca="false">INDEX(cfg_u_3464,D180,C180)*O180</f>
        <v>25800</v>
      </c>
      <c r="Z180" s="85" t="n">
        <f aca="false">INDEX(cfg_u_3463,D180,C180)*O180</f>
        <v>25800</v>
      </c>
      <c r="AA180" s="85" t="n">
        <f aca="false">INDEX(cfg_u_3460,D180,C180)*O180</f>
        <v>25800</v>
      </c>
      <c r="AB180" s="85" t="n">
        <f aca="false">Y180+Z180+AA180</f>
        <v>77400</v>
      </c>
      <c r="AC180" s="86" t="n">
        <f aca="false">Y180*INDEX(lg_vpu_3464,C180)</f>
        <v>18.3539136</v>
      </c>
      <c r="AD180" s="86" t="n">
        <f aca="false">Z180*INDEX(lg_vpu_3463,C180)</f>
        <v>22.4530176</v>
      </c>
      <c r="AE180" s="86" t="n">
        <f aca="false">AA180*INDEX(lg_vpu_3460,C180)</f>
        <v>14.6676096</v>
      </c>
      <c r="AF180" s="86" t="n">
        <f aca="false">AC180+AD180+AE180</f>
        <v>55.4745408</v>
      </c>
      <c r="AG180" s="85" t="n">
        <f aca="false">Y180*INDEX(lg_kpu_3464,C180)+Z180*INDEX(lg_kpu_3463,C180)+AA180*INDEX(lg_kpu_3460,C180)</f>
        <v>13341.3537888</v>
      </c>
      <c r="AH180" s="87" t="n">
        <f aca="false">INDEX(in_sup_requote,1,C180)</f>
        <v>0</v>
      </c>
      <c r="AI180" s="88" t="n">
        <f aca="false">Y180*q_price_3464*(1+AH180)*J180/I180</f>
        <v>4089.39493849337</v>
      </c>
      <c r="AJ180" s="88" t="n">
        <f aca="false">Z180*q_price_3463*(1+AH180)*J180/I180</f>
        <v>3862.07053366379</v>
      </c>
      <c r="AK180" s="88" t="n">
        <f aca="false">AA180*q_price_3460*(1+AH180)*J180/I180</f>
        <v>3373.20084585825</v>
      </c>
      <c r="AL180" s="88" t="n">
        <f aca="false">AI180+AJ180+AK180</f>
        <v>11324.6663180154</v>
      </c>
      <c r="AM180" s="88" t="n">
        <f aca="false">IF(OR(K180=2,K180=3),AL180*INDEX(in_sup_vat_rate,1,C180),0)</f>
        <v>1585.45328452216</v>
      </c>
      <c r="AN180" s="88" t="n">
        <f aca="false">IF(K180=3,AM180,0)</f>
        <v>0</v>
      </c>
      <c r="AO180" s="88" t="n">
        <f aca="false">INDEX(in_sup_tooling_egp,1,C180)/I180</f>
        <v>0</v>
      </c>
      <c r="AP180" s="88" t="n">
        <f aca="false">IF(F180=4,INDEX(in_ori_lcl_truck,1,C180)*V180/I180+INDEX(in_ori_lcl_cfs_o,1,C180),G180*(IF(F180=1,INDEX(in_ori_truck_20,1,C180),INDEX(in_ori_truck_40,1,C180))*V180/I180+INDEX(in_ori_terminal,1,C180)+IF(F180=1,INDEX(in_ori_othc_20,1,C180),INDEX(in_ori_othc_40,1,C180))*(1-INDEX(in_ori_othc_in_freight,1,C180))+INDEX(in_ori_seal,1,C180)+INDEX(in_ori_inspection,1,C180)+INDEX(in_ori_dd_days,1,C180)*IF(F180=1,INDEX(in_ori_dd_20,1,C180),INDEX(in_ori_dd_40,1,C180))+INDEX(in_ori_loading_egp,1,C180)/I180))</f>
        <v>555.278125165799</v>
      </c>
      <c r="AQ180" s="88" t="n">
        <f aca="false">(INDEX(in_ori_clearance,1,C180)+INDEX(in_ori_coo,1,C180))/I180+INDEX(in_ori_bl_fee,1,C180)+INDEX(in_ori_fwd_fee,1,C180)+INDEX(in_ori_qc,1,C180)+INDEX(in_ori_wires,1,C180)*INDEX(in_ori_wire_fee,1,C180)</f>
        <v>817.639062582899</v>
      </c>
      <c r="AR180" s="88" t="n">
        <f aca="false">AP180+AQ180</f>
        <v>1372.9171877487</v>
      </c>
      <c r="AS180" s="85" t="n">
        <f aca="false">INDEX(tbl_port_diff,H180,C180)</f>
        <v>0</v>
      </c>
      <c r="AT180" s="88" t="n">
        <f aca="false">IF(F180=4,MAX(AF180*INDEX(in_oce_lcl_factor,1,C180),AG180/1000,1)*INDEX(in_oce_lcl_rate,1,C180)*M180,G180*(INDEX(tbl_ocean_rate,MIN(F180,3),C180)+AS180)*M180)</f>
        <v>4000</v>
      </c>
      <c r="AU180" s="88" t="n">
        <f aca="false">AT180+INDEX(in_oce_ams,1,C180)</f>
        <v>4035</v>
      </c>
      <c r="AV180" s="88" t="n">
        <f aca="false">AI180*(1+IF(K180=3,INDEX(in_sup_vat_rate,1,C180),0))+AO180*Y180/AB180</f>
        <v>4089.39493849337</v>
      </c>
      <c r="AW180" s="88" t="n">
        <f aca="false">AJ180*(1+IF(K180=3,INDEX(in_sup_vat_rate,1,C180),0))+AO180*Z180/AB180</f>
        <v>3862.07053366379</v>
      </c>
      <c r="AX180" s="88" t="n">
        <f aca="false">AK180*(1+IF(K180=3,INDEX(in_sup_vat_rate,1,C180),0))+AO180*AA180/AB180</f>
        <v>3373.20084585825</v>
      </c>
      <c r="AY180" s="88" t="n">
        <f aca="false">AV180+AW180+AX180</f>
        <v>11324.6663180154</v>
      </c>
      <c r="AZ180" s="88" t="n">
        <f aca="false">MAX(INDEX(in_oce_ins_min,1,C180),INDEX(in_oce_ins_rate,1,C180)*(1+INDEX(in_oce_ins_uplift,1,C180))*(AL180+AO180+AR180+AU180))*(1-INDEX(in_oce_ins_in_other,1,C180))</f>
        <v>75</v>
      </c>
      <c r="BA180" s="87" t="n">
        <f aca="false">INDEX(in_cus_mfn,1,C180)+L180</f>
        <v>0.125</v>
      </c>
      <c r="BB180" s="88" t="n">
        <f aca="false">AY180*BA180</f>
        <v>1415.58328975193</v>
      </c>
      <c r="BC180" s="88" t="n">
        <f aca="false">MIN(MAX(AY180*INDEX(in_cus_mpf_rate,1,C180),INDEX(in_cus_mpf_min,1,C180)),INDEX(in_cus_mpf_max,1,C180))</f>
        <v>39.2286441256054</v>
      </c>
      <c r="BD180" s="88" t="n">
        <f aca="false">AY180*INDEX(in_cus_hmf,1,C180)</f>
        <v>14.1558328975193</v>
      </c>
      <c r="BE180" s="88" t="n">
        <f aca="false">MAX(INDEX(in_cus_stb_min,1,C180),INDEX(in_cus_stb_rate,1,C180)/1000*(AY180+BB180+BC180+BD180))</f>
        <v>76.7618045087428</v>
      </c>
      <c r="BF180" s="88" t="n">
        <f aca="false">INDEX(in_cus_broker,1,C180)+INDEX(in_cus_isf,1,C180)+INDEX(in_cus_do_fee,1,C180)+BE180+INDEX(in_cus_isf_bond,1,C180)</f>
        <v>511.761804508743</v>
      </c>
      <c r="BG180" s="88" t="n">
        <f aca="false">IF(H180=1,INDEX(in_cus_cfc,1,C180)*INDEX(ct_teu,F180)*G180*(1-INDEX(in_cus_cfc_in_freight,1,C180)),0)</f>
        <v>29.6</v>
      </c>
      <c r="BH180" s="88" t="n">
        <f aca="false">IF(F180=4,1,G180)*(INDEX(in_cus_exam,1,C180)+INDEX(in_cus_exam_dray,1,C180))</f>
        <v>0</v>
      </c>
      <c r="BI180" s="88" t="n">
        <f aca="false">IF(F180=4,1,G180)*INDEX(in_cus_dem_days,1,C180)*INDEX(in_cus_dem_rate,1,C180)</f>
        <v>0</v>
      </c>
      <c r="BJ180" s="88" t="n">
        <f aca="false">BG180+BH180+BI180</f>
        <v>29.6</v>
      </c>
      <c r="BK180" s="88" t="n">
        <f aca="false">IF(F180=4,(INDEX(in_dra_lcl_cfs_d,1,C180)+INDEX(in_dra_lcl_deliv,1,C180))*P180,G180*(INDEX(tbl_dest_line,E180,C180)*P180*(1+INDEX(in_dra_fsc,1,C180))+INDEX(tbl_dest_tolls,E180,C180)+INDEX(in_dra_chassis_days,1,C180)*INDEX(tbl_dest_chassis,E180,C180)*(1-INDEX(in_dra_chassis_in_dray,1,C180))+INDEX(in_dra_wait_hours,1,C180)*INDEX(in_dra_wait_rate,1,C180)+INDEX(in_dra_split,1,C180)+INDEX(in_dra_prepull,1,C180)+INDEX(in_dra_dryrun,1,C180)))</f>
        <v>1060</v>
      </c>
      <c r="BL180" s="88" t="n">
        <f aca="false">IF(F180=4,0,G180*IF(F180=1,INDEX(in_dra_unload_20,1,C180),INDEX(in_dra_unload_40,1,C180))*Q180*(1-INDEX(in_dra_unload_in_dray,1,C180)))</f>
        <v>450</v>
      </c>
      <c r="BM180" s="88" t="n">
        <f aca="false">AL180+AN180+AO180+AR180+AU180+AZ180+BB180+BC180+BD180+BF180+BJ180+BK180+BL180</f>
        <v>20327.9130770479</v>
      </c>
      <c r="BN180" s="88" t="n">
        <f aca="false">AP180+AU180+BJ180+BK180+BL180</f>
        <v>6129.8781251658</v>
      </c>
      <c r="BO180" s="88" t="n">
        <f aca="false">AQ180+BF180</f>
        <v>1329.40086709164</v>
      </c>
      <c r="BP180" s="88" t="n">
        <f aca="false">AI180*(1+IF(K180=3,INDEX(in_sup_vat_rate,1,C180),0))+AO180*Y180/AB180+AV180*BA180+(BC180+BD180)*AV180/AY180+AZ180*AI180/AL180+BN180*AC180/AF180+BO180*Y180/AB180</f>
        <v>7118.15127339316</v>
      </c>
      <c r="BQ180" s="88" t="n">
        <f aca="false">AJ180*(1+IF(K180=3,INDEX(in_sup_vat_rate,1,C180),0))+AO180*Z180/AB180+AW180*BA180+(BC180+BD180)*AW180/AY180+AZ180*AJ180/AL180+BN180*AD180/AF180+BO180*Z180/AB180</f>
        <v>7312.78086621743</v>
      </c>
      <c r="BR180" s="88" t="n">
        <f aca="false">AK180*(1+IF(K180=3,INDEX(in_sup_vat_rate,1,C180),0))+AO180*AA180/AB180+AX180*BA180+(BC180+BD180)*AX180/AY180+AZ180*AK180/AL180+BN180*AE180/AF180+BO180*AA180/AB180</f>
        <v>5896.98093743733</v>
      </c>
      <c r="BS180" s="89" t="n">
        <f aca="false">BP180+BQ180+BR180-BM180</f>
        <v>0</v>
      </c>
      <c r="BT180" s="85" t="n">
        <f aca="false">Y180*(1-R180)</f>
        <v>25413</v>
      </c>
      <c r="BU180" s="85" t="n">
        <f aca="false">Z180*(1-R180)</f>
        <v>25413</v>
      </c>
      <c r="BV180" s="85" t="n">
        <f aca="false">AA180*(1-R180)</f>
        <v>25413</v>
      </c>
      <c r="BW180" s="85" t="n">
        <f aca="false">BT180+BU180+BV180</f>
        <v>76239</v>
      </c>
      <c r="BX180" s="90" t="n">
        <f aca="false">IF(BT180&gt;0,BP180/BT180,0)</f>
        <v>0.280098818454852</v>
      </c>
      <c r="BY180" s="90" t="n">
        <f aca="false">IF(BU180&gt;0,BQ180/BU180,0)</f>
        <v>0.28775748106156</v>
      </c>
      <c r="BZ180" s="90" t="n">
        <f aca="false">IF(BV180&gt;0,BR180/BV180,0)</f>
        <v>0.232045840217106</v>
      </c>
      <c r="CA180" s="90" t="n">
        <f aca="false">INDEX(in_mkt_listing_3464,1,C180)*(1-IF(sku_flute_3464="B",T180,0))*(1-S180)*N180</f>
        <v>0.234</v>
      </c>
      <c r="CB180" s="90" t="n">
        <f aca="false">INDEX(in_mkt_listing_3463,1,C180)*(1-IF(sku_flute_3463="B",T180,0))*(1-S180)*N180</f>
        <v>0.27</v>
      </c>
      <c r="CC180" s="90" t="n">
        <f aca="false">INDEX(in_mkt_listing_3460,1,C180)*(1-IF(sku_flute_3460="B",T180,0))*(1-S180)*N180</f>
        <v>0.225</v>
      </c>
      <c r="CD180" s="88" t="n">
        <f aca="false">BT180*CA180+BU180*CB180+BV180*CC180</f>
        <v>18526.077</v>
      </c>
      <c r="CE180" s="88" t="n">
        <f aca="false">CD180-BM180</f>
        <v>-1801.83607704791</v>
      </c>
      <c r="CF180" s="87" t="n">
        <f aca="false">IF(CD180&gt;0,CE180/CD180,0)</f>
        <v>-0.0972594509376113</v>
      </c>
      <c r="CG180" s="87" t="n">
        <f aca="false">W180+INDEX(in_sel_processing,1,C180)+INDEX(in_sel_bad_debt,1,C180)</f>
        <v>0.058</v>
      </c>
      <c r="CH180" s="88" t="n">
        <f aca="false">CD180*CG180</f>
        <v>1074.512466</v>
      </c>
      <c r="CI180" s="88" t="n">
        <f aca="false">INDEX(in_sel_testing,1,C180)*X180+INDEX(in_sel_admin,1,C180)</f>
        <v>3000</v>
      </c>
      <c r="CJ180" s="79" t="n">
        <f aca="false">INDEX(in_sup_lead_days,1,C180)</f>
        <v>21</v>
      </c>
      <c r="CK180" s="79" t="n">
        <f aca="false">CJ180+INDEX(in_oce_transit,1,C180)+IF(F180=4,INDEX(in_oce_lcl_extra_days,1,C180),0)</f>
        <v>51</v>
      </c>
      <c r="CL180" s="79" t="n">
        <f aca="false">CK180+2+INDEX(in_cus_dem_days,1,C180)</f>
        <v>53</v>
      </c>
      <c r="CM180" s="79" t="n">
        <f aca="false">CL180+U180</f>
        <v>143</v>
      </c>
      <c r="CN180" s="79" t="n">
        <f aca="false">CJ180+INDEX(in_sup_vat_lag,1,C180)</f>
        <v>81</v>
      </c>
      <c r="CO180" s="91" t="n">
        <f aca="false">INDEX(in_sup_advance,1,C180)</f>
        <v>0.5</v>
      </c>
      <c r="CP180" s="88" t="n">
        <f aca="false">CO180*(AL180+AM180)+AO180+INDEX(in_sel_testing,1,C180)*X180</f>
        <v>8955.05980126879</v>
      </c>
      <c r="CQ180" s="88" t="n">
        <f aca="false">(1-CO180)*(AL180+AM180)+AR180+AU180+AZ180</f>
        <v>11937.9769890175</v>
      </c>
      <c r="CR180" s="88" t="n">
        <f aca="false">BB180+BC180+BD180+BF180+BJ180</f>
        <v>2010.32957128379</v>
      </c>
      <c r="CS180" s="88" t="n">
        <f aca="false">BK180+BL180</f>
        <v>1510</v>
      </c>
      <c r="CT180" s="88" t="n">
        <f aca="false">IF(K180=2,AM180,0)</f>
        <v>1585.45328452216</v>
      </c>
      <c r="CU180" s="85" t="n">
        <f aca="false">IF(K180=2,CO180*AM180*(CN180-0)+(1-CO180)*AM180*(CN180-CJ180),0)</f>
        <v>111774.456558812</v>
      </c>
      <c r="CV180" s="85" t="n">
        <f aca="false">(CP180-CO180*CT180)*(CM180-0)+(CQ180-(1-CO180)*CT180)*(CM180-CJ180)+CR180*(CM180-CK180)+CS180*(CM180-CL180)</f>
        <v>2847784.50460049</v>
      </c>
      <c r="CW180" s="88" t="n">
        <f aca="false">INDEX(in_sel_fin_rate,1,C180)/365*(CU180+CV180)</f>
        <v>810.838071550495</v>
      </c>
      <c r="CX180" s="85" t="n">
        <f aca="false">CP180-IF(CN180&lt;=0,CT180,0)</f>
        <v>8955.05980126879</v>
      </c>
      <c r="CY180" s="85" t="n">
        <f aca="false">CP180+CQ180-IF(CN180&lt;=CJ180,CT180,0)</f>
        <v>20893.0367902863</v>
      </c>
      <c r="CZ180" s="85" t="n">
        <f aca="false">CP180+CQ180+CR180-IF(CN180&lt;=CK180,CT180,0)</f>
        <v>22903.3663615701</v>
      </c>
      <c r="DA180" s="85" t="n">
        <f aca="false">CP180+CQ180+CR180+CS180-IF(CN180&lt;=CL180,CT180,0)</f>
        <v>24413.3663615701</v>
      </c>
      <c r="DB180" s="88" t="n">
        <f aca="false">MAX(CX180,CY180,CZ180,DA180)</f>
        <v>24413.3663615701</v>
      </c>
      <c r="DC180" s="88" t="n">
        <f aca="false">CP180+CQ180+CR180+CS180</f>
        <v>24413.3663615701</v>
      </c>
      <c r="DD180" s="88" t="n">
        <f aca="false">CE180-CH180-CI180-CW180</f>
        <v>-6687.1866145984</v>
      </c>
      <c r="DE180" s="87" t="n">
        <f aca="false">IF(CD180&gt;0,DD180/CD180,0)</f>
        <v>-0.360960748171262</v>
      </c>
      <c r="DF180" s="86" t="n">
        <f aca="false">IF(CD180&gt;0,(BM180+CI180+CW180)/(CD180*(1-CG180)),0)</f>
        <v>1.3831855076128</v>
      </c>
      <c r="DG180" s="90" t="n">
        <f aca="false">IF(BW180&gt;0,BM180/BW180,0)</f>
        <v>0.26663404657784</v>
      </c>
      <c r="DH180" s="90" t="n">
        <f aca="false">IF(BW180&gt;0,CD180/BW180,0)</f>
        <v>0.243</v>
      </c>
      <c r="DI180" s="90" t="n">
        <f aca="false">IF(AI180&gt;0,(AI180*IF(K180=3,INDEX(in_sup_vat_rate,1,C180),0)+AV180*BA180+(BC180+BD180)*AV180/AY180+AZ180*AI180/AL180)/AI180,0)</f>
        <v>0.136336711689146</v>
      </c>
      <c r="DJ180" s="90" t="n">
        <f aca="false">IF(AJ180&gt;0,(AJ180*IF(K180=3,INDEX(in_sup_vat_rate,1,C180),0)+AW180*BA180+(BC180+BD180)*AW180/AY180+AZ180*AJ180/AL180)/AJ180,0)</f>
        <v>0.136336711689146</v>
      </c>
      <c r="DK180" s="90" t="n">
        <f aca="false">IF(AK180&gt;0,(AK180*IF(K180=3,INDEX(in_sup_vat_rate,1,C180),0)+AX180*BA180+(BC180+BD180)*AX180/AY180+AZ180*AK180/AL180)/AK180,0)</f>
        <v>0.136336711689146</v>
      </c>
      <c r="DL180" s="90" t="n">
        <f aca="false">IF(Y180&gt;0,(BP180-AI180*(1+DI180))/Y180,0)</f>
        <v>0.0957837858987348</v>
      </c>
      <c r="DM180" s="90" t="n">
        <f aca="false">IF(Z180&gt;0,(BQ180-AJ180*(1+DJ180))/Z180,0)</f>
        <v>0.113339857972185</v>
      </c>
      <c r="DN180" s="90" t="n">
        <f aca="false">IF(AA180&gt;0,(BR180-AK180*(1+DK180))/AA180,0)</f>
        <v>0.0799956969142526</v>
      </c>
      <c r="DO180" s="86" t="n">
        <f aca="false">IF(Y180&gt;0,(CA180*(1-thr_gm_go)*(1-R180)-DL180)/(1+DI180)*I180/((1+AH180)*J180),"")</f>
        <v>3.57999310688847</v>
      </c>
      <c r="DP180" s="86" t="n">
        <f aca="false">IF(Z180&gt;0,(CB180*(1-thr_gm_go)*(1-R180)-DM180)/(1+DJ180)*I180/((1+AH180)*J180),"")</f>
        <v>3.99978735328661</v>
      </c>
      <c r="DQ180" s="86" t="n">
        <f aca="false">IF(AA180&gt;0,(CC180*(1-thr_gm_go)*(1-R180)-DN180)/(1+DK180)*I180/((1+AH180)*J180),"")</f>
        <v>4.00445073645962</v>
      </c>
      <c r="DR180" s="92" t="n">
        <f aca="false">IF(AND(AY180*INDEX(in_cus_mpf_rate,1,C180)&gt;INDEX(in_cus_mpf_min,1,C180),AY180*INDEX(in_cus_mpf_rate,1,C180)&lt;INDEX(in_cus_mpf_max,1,C180)),INDEX(in_cus_mpf_rate,1,C180),0)</f>
        <v>0.003464</v>
      </c>
      <c r="DS180" s="88" t="n">
        <f aca="false">IF(AZ180&gt;INDEX(in_oce_ins_min,1,C180),INDEX(in_oce_ins_rate,1,C180)*(1+INDEX(in_oce_ins_uplift,1,C180))*AL180,0)</f>
        <v>0</v>
      </c>
      <c r="DT180" s="88" t="n">
        <f aca="false">(AL180+AN180)*(1+BA180+INDEX(in_cus_hmf,1,C180)+DR180)+DS180</f>
        <v>12793.6340847905</v>
      </c>
      <c r="DU180" s="86" t="n">
        <f aca="false">IF(DT180&gt;0,(CD180*(1-thr_gm_go)-(BM180-DT180))/DT180,0)</f>
        <v>0.497144026129674</v>
      </c>
      <c r="DV180" s="86" t="n">
        <f aca="false">IF(DT180&gt;0,(CD180-(BM180-DT180))/DT180,0)</f>
        <v>0.859161512271951</v>
      </c>
      <c r="DW180" s="87" t="n">
        <f aca="false">(1+AH180)*J180*DU180-1</f>
        <v>-0.502855973870326</v>
      </c>
      <c r="DX180" s="87" t="n">
        <f aca="false">(1+AH180)*J180*DV180-1</f>
        <v>-0.140838487728049</v>
      </c>
      <c r="DY180" s="85" t="n">
        <f aca="false">IF(G180&gt;0,(CD180*(1-thr_gm_go)-(BM180-AT180))/G180,"")</f>
        <v>-2433.35532704791</v>
      </c>
      <c r="DZ180" s="90" t="n">
        <f aca="false">IF(AB180&gt;0,(AL180+AN180+BB180+BC180+BD180)/AB180,0)</f>
        <v>0.165292430036053</v>
      </c>
      <c r="EA180" s="88" t="n">
        <f aca="false">BM180-DZ180*AB180</f>
        <v>7534.27899225744</v>
      </c>
      <c r="EB180" s="90" t="n">
        <f aca="false">IF(AB180&gt;0,CD180/AB180,0)</f>
        <v>0.239355</v>
      </c>
      <c r="EC180" s="85" t="n">
        <f aca="false">IF(EB180*(1-thr_gm_go)-DZ180&gt;0,EA180/(EB180*(1-thr_gm_go)-DZ180),"n/a")</f>
        <v>529694.485121035</v>
      </c>
      <c r="ED180" s="85" t="n">
        <f aca="false">IF(EB180-DZ180&gt;0,EA180/(EB180-DZ180),"n/a")</f>
        <v>101728.565399837</v>
      </c>
      <c r="EE180" s="93" t="b">
        <f aca="false">INDEX(cfg_fits,D180,C180)</f>
        <v>1</v>
      </c>
      <c r="EF180" s="87" t="n">
        <f aca="false">IF(F180=4,"",INDEX(cfg_lenutil,D180,C180))</f>
        <v>0.999580888516345</v>
      </c>
      <c r="EG180" s="31" t="str">
        <f aca="false">IF(O180&gt;1,"Check fit (units scaled up)","")</f>
        <v/>
      </c>
    </row>
    <row r="181" customFormat="false" ht="15" hidden="false" customHeight="false" outlineLevel="0" collapsed="false">
      <c r="A181" s="78" t="n">
        <v>900027</v>
      </c>
      <c r="B181" s="9" t="s">
        <v>3329</v>
      </c>
      <c r="C181" s="10" t="n">
        <f aca="false">sel_scen</f>
        <v>2</v>
      </c>
      <c r="D181" s="10" t="n">
        <f aca="false">sel_cfg</f>
        <v>4</v>
      </c>
      <c r="E181" s="10" t="n">
        <f aca="false">sel_dest</f>
        <v>1</v>
      </c>
      <c r="F181" s="79" t="n">
        <f aca="false">INDEX(cfg_ct,D181)</f>
        <v>3</v>
      </c>
      <c r="G181" s="79" t="n">
        <f aca="false">INDEX(cfg_n,D181)</f>
        <v>1</v>
      </c>
      <c r="H181" s="79" t="n">
        <f aca="false">INDEX(dest_port,E181)</f>
        <v>1</v>
      </c>
      <c r="I181" s="80" t="n">
        <f aca="false">INDEX(in_fx_cbe,1,C181)*(1-INDEX(in_fx_spread,1,C181))</f>
        <v>52.7748</v>
      </c>
      <c r="J181" s="81" t="n">
        <f aca="false">1</f>
        <v>1</v>
      </c>
      <c r="K181" s="82" t="n">
        <f aca="false">INDEX(in_sup_vat_mode,1,C181)</f>
        <v>2</v>
      </c>
      <c r="L181" s="83" t="n">
        <f aca="false">INDEX(in_cus_s301,1,C181)</f>
        <v>0.125</v>
      </c>
      <c r="M181" s="84" t="n">
        <f aca="false">1</f>
        <v>1</v>
      </c>
      <c r="N181" s="81" t="n">
        <f aca="false">1</f>
        <v>1</v>
      </c>
      <c r="O181" s="81" t="n">
        <f aca="false">1</f>
        <v>1</v>
      </c>
      <c r="P181" s="81" t="n">
        <f aca="false">1</f>
        <v>1</v>
      </c>
      <c r="Q181" s="81" t="n">
        <f aca="false">1</f>
        <v>1</v>
      </c>
      <c r="R181" s="83" t="n">
        <f aca="false">INDEX(in_sel_damage,1,C181)</f>
        <v>0.015</v>
      </c>
      <c r="S181" s="83" t="n">
        <f aca="false">INDEX(in_mkt_dist_margin,1,C181)</f>
        <v>0.25</v>
      </c>
      <c r="T181" s="83" t="n">
        <f aca="false">INDEX(in_mkt_eflute_disc,1,C181)</f>
        <v>0.2</v>
      </c>
      <c r="U181" s="82" t="n">
        <f aca="false">INDEX(in_sel_credit_days,1,C181)</f>
        <v>45</v>
      </c>
      <c r="V181" s="95" t="n">
        <v>0.8</v>
      </c>
      <c r="W181" s="83" t="n">
        <f aca="false">INDEX(in_sel_commission,1,C181)</f>
        <v>0.05</v>
      </c>
      <c r="X181" s="82" t="n">
        <f aca="false">1</f>
        <v>1</v>
      </c>
      <c r="Y181" s="85" t="n">
        <f aca="false">INDEX(cfg_u_3464,D181,C181)*O181</f>
        <v>25800</v>
      </c>
      <c r="Z181" s="85" t="n">
        <f aca="false">INDEX(cfg_u_3463,D181,C181)*O181</f>
        <v>25800</v>
      </c>
      <c r="AA181" s="85" t="n">
        <f aca="false">INDEX(cfg_u_3460,D181,C181)*O181</f>
        <v>25800</v>
      </c>
      <c r="AB181" s="85" t="n">
        <f aca="false">Y181+Z181+AA181</f>
        <v>77400</v>
      </c>
      <c r="AC181" s="86" t="n">
        <f aca="false">Y181*INDEX(lg_vpu_3464,C181)</f>
        <v>18.3539136</v>
      </c>
      <c r="AD181" s="86" t="n">
        <f aca="false">Z181*INDEX(lg_vpu_3463,C181)</f>
        <v>22.4530176</v>
      </c>
      <c r="AE181" s="86" t="n">
        <f aca="false">AA181*INDEX(lg_vpu_3460,C181)</f>
        <v>14.6676096</v>
      </c>
      <c r="AF181" s="86" t="n">
        <f aca="false">AC181+AD181+AE181</f>
        <v>55.4745408</v>
      </c>
      <c r="AG181" s="85" t="n">
        <f aca="false">Y181*INDEX(lg_kpu_3464,C181)+Z181*INDEX(lg_kpu_3463,C181)+AA181*INDEX(lg_kpu_3460,C181)</f>
        <v>13341.3537888</v>
      </c>
      <c r="AH181" s="87" t="n">
        <f aca="false">INDEX(in_sup_requote,1,C181)</f>
        <v>0</v>
      </c>
      <c r="AI181" s="88" t="n">
        <f aca="false">Y181*q_price_3464*(1+AH181)*J181/I181</f>
        <v>4089.39493849337</v>
      </c>
      <c r="AJ181" s="88" t="n">
        <f aca="false">Z181*q_price_3463*(1+AH181)*J181/I181</f>
        <v>3862.07053366379</v>
      </c>
      <c r="AK181" s="88" t="n">
        <f aca="false">AA181*q_price_3460*(1+AH181)*J181/I181</f>
        <v>3373.20084585825</v>
      </c>
      <c r="AL181" s="88" t="n">
        <f aca="false">AI181+AJ181+AK181</f>
        <v>11324.6663180154</v>
      </c>
      <c r="AM181" s="88" t="n">
        <f aca="false">IF(OR(K181=2,K181=3),AL181*INDEX(in_sup_vat_rate,1,C181),0)</f>
        <v>1585.45328452216</v>
      </c>
      <c r="AN181" s="88" t="n">
        <f aca="false">IF(K181=3,AM181,0)</f>
        <v>0</v>
      </c>
      <c r="AO181" s="88" t="n">
        <f aca="false">INDEX(in_sup_tooling_egp,1,C181)/I181</f>
        <v>0</v>
      </c>
      <c r="AP181" s="88" t="n">
        <f aca="false">IF(F181=4,INDEX(in_ori_lcl_truck,1,C181)*V181/I181+INDEX(in_ori_lcl_cfs_o,1,C181),G181*(IF(F181=1,INDEX(in_ori_truck_20,1,C181),INDEX(in_ori_truck_40,1,C181))*V181/I181+INDEX(in_ori_terminal,1,C181)+IF(F181=1,INDEX(in_ori_othc_20,1,C181),INDEX(in_ori_othc_40,1,C181))*(1-INDEX(in_ori_othc_in_freight,1,C181))+INDEX(in_ori_seal,1,C181)+INDEX(in_ori_inspection,1,C181)+INDEX(in_ori_dd_days,1,C181)*IF(F181=1,INDEX(in_ori_dd_20,1,C181),INDEX(in_ori_dd_40,1,C181))+INDEX(in_ori_loading_egp,1,C181)/I181))</f>
        <v>502.222500132639</v>
      </c>
      <c r="AQ181" s="88" t="n">
        <f aca="false">(INDEX(in_ori_clearance,1,C181)+INDEX(in_ori_coo,1,C181))/I181+INDEX(in_ori_bl_fee,1,C181)+INDEX(in_ori_fwd_fee,1,C181)+INDEX(in_ori_qc,1,C181)+INDEX(in_ori_wires,1,C181)*INDEX(in_ori_wire_fee,1,C181)</f>
        <v>817.639062582899</v>
      </c>
      <c r="AR181" s="88" t="n">
        <f aca="false">AP181+AQ181</f>
        <v>1319.86156271554</v>
      </c>
      <c r="AS181" s="85" t="n">
        <f aca="false">INDEX(tbl_port_diff,H181,C181)</f>
        <v>0</v>
      </c>
      <c r="AT181" s="88" t="n">
        <f aca="false">IF(F181=4,MAX(AF181*INDEX(in_oce_lcl_factor,1,C181),AG181/1000,1)*INDEX(in_oce_lcl_rate,1,C181)*M181,G181*(INDEX(tbl_ocean_rate,MIN(F181,3),C181)+AS181)*M181)</f>
        <v>4000</v>
      </c>
      <c r="AU181" s="88" t="n">
        <f aca="false">AT181+INDEX(in_oce_ams,1,C181)</f>
        <v>4035</v>
      </c>
      <c r="AV181" s="88" t="n">
        <f aca="false">AI181*(1+IF(K181=3,INDEX(in_sup_vat_rate,1,C181),0))+AO181*Y181/AB181</f>
        <v>4089.39493849337</v>
      </c>
      <c r="AW181" s="88" t="n">
        <f aca="false">AJ181*(1+IF(K181=3,INDEX(in_sup_vat_rate,1,C181),0))+AO181*Z181/AB181</f>
        <v>3862.07053366379</v>
      </c>
      <c r="AX181" s="88" t="n">
        <f aca="false">AK181*(1+IF(K181=3,INDEX(in_sup_vat_rate,1,C181),0))+AO181*AA181/AB181</f>
        <v>3373.20084585825</v>
      </c>
      <c r="AY181" s="88" t="n">
        <f aca="false">AV181+AW181+AX181</f>
        <v>11324.6663180154</v>
      </c>
      <c r="AZ181" s="88" t="n">
        <f aca="false">MAX(INDEX(in_oce_ins_min,1,C181),INDEX(in_oce_ins_rate,1,C181)*(1+INDEX(in_oce_ins_uplift,1,C181))*(AL181+AO181+AR181+AU181))*(1-INDEX(in_oce_ins_in_other,1,C181))</f>
        <v>75</v>
      </c>
      <c r="BA181" s="87" t="n">
        <f aca="false">INDEX(in_cus_mfn,1,C181)+L181</f>
        <v>0.125</v>
      </c>
      <c r="BB181" s="88" t="n">
        <f aca="false">AY181*BA181</f>
        <v>1415.58328975193</v>
      </c>
      <c r="BC181" s="88" t="n">
        <f aca="false">MIN(MAX(AY181*INDEX(in_cus_mpf_rate,1,C181),INDEX(in_cus_mpf_min,1,C181)),INDEX(in_cus_mpf_max,1,C181))</f>
        <v>39.2286441256054</v>
      </c>
      <c r="BD181" s="88" t="n">
        <f aca="false">AY181*INDEX(in_cus_hmf,1,C181)</f>
        <v>14.1558328975193</v>
      </c>
      <c r="BE181" s="88" t="n">
        <f aca="false">MAX(INDEX(in_cus_stb_min,1,C181),INDEX(in_cus_stb_rate,1,C181)/1000*(AY181+BB181+BC181+BD181))</f>
        <v>76.7618045087428</v>
      </c>
      <c r="BF181" s="88" t="n">
        <f aca="false">INDEX(in_cus_broker,1,C181)+INDEX(in_cus_isf,1,C181)+INDEX(in_cus_do_fee,1,C181)+BE181+INDEX(in_cus_isf_bond,1,C181)</f>
        <v>511.761804508743</v>
      </c>
      <c r="BG181" s="88" t="n">
        <f aca="false">IF(H181=1,INDEX(in_cus_cfc,1,C181)*INDEX(ct_teu,F181)*G181*(1-INDEX(in_cus_cfc_in_freight,1,C181)),0)</f>
        <v>29.6</v>
      </c>
      <c r="BH181" s="88" t="n">
        <f aca="false">IF(F181=4,1,G181)*(INDEX(in_cus_exam,1,C181)+INDEX(in_cus_exam_dray,1,C181))</f>
        <v>0</v>
      </c>
      <c r="BI181" s="88" t="n">
        <f aca="false">IF(F181=4,1,G181)*INDEX(in_cus_dem_days,1,C181)*INDEX(in_cus_dem_rate,1,C181)</f>
        <v>0</v>
      </c>
      <c r="BJ181" s="88" t="n">
        <f aca="false">BG181+BH181+BI181</f>
        <v>29.6</v>
      </c>
      <c r="BK181" s="88" t="n">
        <f aca="false">IF(F181=4,(INDEX(in_dra_lcl_cfs_d,1,C181)+INDEX(in_dra_lcl_deliv,1,C181))*P181,G181*(INDEX(tbl_dest_line,E181,C181)*P181*(1+INDEX(in_dra_fsc,1,C181))+INDEX(tbl_dest_tolls,E181,C181)+INDEX(in_dra_chassis_days,1,C181)*INDEX(tbl_dest_chassis,E181,C181)*(1-INDEX(in_dra_chassis_in_dray,1,C181))+INDEX(in_dra_wait_hours,1,C181)*INDEX(in_dra_wait_rate,1,C181)+INDEX(in_dra_split,1,C181)+INDEX(in_dra_prepull,1,C181)+INDEX(in_dra_dryrun,1,C181)))</f>
        <v>1060</v>
      </c>
      <c r="BL181" s="88" t="n">
        <f aca="false">IF(F181=4,0,G181*IF(F181=1,INDEX(in_dra_unload_20,1,C181),INDEX(in_dra_unload_40,1,C181))*Q181*(1-INDEX(in_dra_unload_in_dray,1,C181)))</f>
        <v>450</v>
      </c>
      <c r="BM181" s="88" t="n">
        <f aca="false">AL181+AN181+AO181+AR181+AU181+AZ181+BB181+BC181+BD181+BF181+BJ181+BK181+BL181</f>
        <v>20274.8574520148</v>
      </c>
      <c r="BN181" s="88" t="n">
        <f aca="false">AP181+AU181+BJ181+BK181+BL181</f>
        <v>6076.82250013264</v>
      </c>
      <c r="BO181" s="88" t="n">
        <f aca="false">AQ181+BF181</f>
        <v>1329.40086709164</v>
      </c>
      <c r="BP181" s="88" t="n">
        <f aca="false">AI181*(1+IF(K181=3,INDEX(in_sup_vat_rate,1,C181),0))+AO181*Y181/AB181+AV181*BA181+(BC181+BD181)*AV181/AY181+AZ181*AI181/AL181+BN181*AC181/AF181+BO181*Y181/AB181</f>
        <v>7100.59766512872</v>
      </c>
      <c r="BQ181" s="88" t="n">
        <f aca="false">AJ181*(1+IF(K181=3,INDEX(in_sup_vat_rate,1,C181),0))+AO181*Z181/AB181+AW181*BA181+(BC181+BD181)*AW181/AY181+AZ181*AJ181/AL181+BN181*AD181/AF181+BO181*Z181/AB181</f>
        <v>7291.30689157123</v>
      </c>
      <c r="BR181" s="88" t="n">
        <f aca="false">AK181*(1+IF(K181=3,INDEX(in_sup_vat_rate,1,C181),0))+AO181*AA181/AB181+AX181*BA181+(BC181+BD181)*AX181/AY181+AZ181*AK181/AL181+BN181*AE181/AF181+BO181*AA181/AB181</f>
        <v>5882.9528953148</v>
      </c>
      <c r="BS181" s="89" t="n">
        <f aca="false">BP181+BQ181+BR181-BM181</f>
        <v>0</v>
      </c>
      <c r="BT181" s="85" t="n">
        <f aca="false">Y181*(1-R181)</f>
        <v>25413</v>
      </c>
      <c r="BU181" s="85" t="n">
        <f aca="false">Z181*(1-R181)</f>
        <v>25413</v>
      </c>
      <c r="BV181" s="85" t="n">
        <f aca="false">AA181*(1-R181)</f>
        <v>25413</v>
      </c>
      <c r="BW181" s="85" t="n">
        <f aca="false">BT181+BU181+BV181</f>
        <v>76239</v>
      </c>
      <c r="BX181" s="90" t="n">
        <f aca="false">IF(BT181&gt;0,BP181/BT181,0)</f>
        <v>0.279408085040283</v>
      </c>
      <c r="BY181" s="90" t="n">
        <f aca="false">IF(BU181&gt;0,BQ181/BU181,0)</f>
        <v>0.286912481468982</v>
      </c>
      <c r="BZ181" s="90" t="n">
        <f aca="false">IF(BV181&gt;0,BR181/BV181,0)</f>
        <v>0.231493837615189</v>
      </c>
      <c r="CA181" s="90" t="n">
        <f aca="false">INDEX(in_mkt_listing_3464,1,C181)*(1-IF(sku_flute_3464="B",T181,0))*(1-S181)*N181</f>
        <v>0.234</v>
      </c>
      <c r="CB181" s="90" t="n">
        <f aca="false">INDEX(in_mkt_listing_3463,1,C181)*(1-IF(sku_flute_3463="B",T181,0))*(1-S181)*N181</f>
        <v>0.27</v>
      </c>
      <c r="CC181" s="90" t="n">
        <f aca="false">INDEX(in_mkt_listing_3460,1,C181)*(1-IF(sku_flute_3460="B",T181,0))*(1-S181)*N181</f>
        <v>0.225</v>
      </c>
      <c r="CD181" s="88" t="n">
        <f aca="false">BT181*CA181+BU181*CB181+BV181*CC181</f>
        <v>18526.077</v>
      </c>
      <c r="CE181" s="88" t="n">
        <f aca="false">CD181-BM181</f>
        <v>-1748.78045201475</v>
      </c>
      <c r="CF181" s="87" t="n">
        <f aca="false">IF(CD181&gt;0,CE181/CD181,0)</f>
        <v>-0.0943956160829272</v>
      </c>
      <c r="CG181" s="87" t="n">
        <f aca="false">W181+INDEX(in_sel_processing,1,C181)+INDEX(in_sel_bad_debt,1,C181)</f>
        <v>0.058</v>
      </c>
      <c r="CH181" s="88" t="n">
        <f aca="false">CD181*CG181</f>
        <v>1074.512466</v>
      </c>
      <c r="CI181" s="88" t="n">
        <f aca="false">INDEX(in_sel_testing,1,C181)*X181+INDEX(in_sel_admin,1,C181)</f>
        <v>3000</v>
      </c>
      <c r="CJ181" s="79" t="n">
        <f aca="false">INDEX(in_sup_lead_days,1,C181)</f>
        <v>21</v>
      </c>
      <c r="CK181" s="79" t="n">
        <f aca="false">CJ181+INDEX(in_oce_transit,1,C181)+IF(F181=4,INDEX(in_oce_lcl_extra_days,1,C181),0)</f>
        <v>51</v>
      </c>
      <c r="CL181" s="79" t="n">
        <f aca="false">CK181+2+INDEX(in_cus_dem_days,1,C181)</f>
        <v>53</v>
      </c>
      <c r="CM181" s="79" t="n">
        <f aca="false">CL181+U181</f>
        <v>98</v>
      </c>
      <c r="CN181" s="79" t="n">
        <f aca="false">CJ181+INDEX(in_sup_vat_lag,1,C181)</f>
        <v>81</v>
      </c>
      <c r="CO181" s="91" t="n">
        <f aca="false">INDEX(in_sup_advance,1,C181)</f>
        <v>0.5</v>
      </c>
      <c r="CP181" s="88" t="n">
        <f aca="false">CO181*(AL181+AM181)+AO181+INDEX(in_sel_testing,1,C181)*X181</f>
        <v>8955.05980126879</v>
      </c>
      <c r="CQ181" s="88" t="n">
        <f aca="false">(1-CO181)*(AL181+AM181)+AR181+AU181+AZ181</f>
        <v>11884.9213639843</v>
      </c>
      <c r="CR181" s="88" t="n">
        <f aca="false">BB181+BC181+BD181+BF181+BJ181</f>
        <v>2010.32957128379</v>
      </c>
      <c r="CS181" s="88" t="n">
        <f aca="false">BK181+BL181</f>
        <v>1510</v>
      </c>
      <c r="CT181" s="88" t="n">
        <f aca="false">IF(K181=2,AM181,0)</f>
        <v>1585.45328452216</v>
      </c>
      <c r="CU181" s="85" t="n">
        <f aca="false">IF(K181=2,CO181*AM181*(CN181-0)+(1-CO181)*AM181*(CN181-CJ181),0)</f>
        <v>111774.456558812</v>
      </c>
      <c r="CV181" s="85" t="n">
        <f aca="false">(CP181-CO181*CT181)*(CM181-0)+(CQ181-(1-CO181)*CT181)*(CM181-CJ181)+CR181*(CM181-CK181)+CS181*(CM181-CL181)</f>
        <v>1816443.13300578</v>
      </c>
      <c r="CW181" s="88" t="n">
        <f aca="false">INDEX(in_sel_fin_rate,1,C181)/365*(CU181+CV181)</f>
        <v>528.278791661533</v>
      </c>
      <c r="CX181" s="85" t="n">
        <f aca="false">CP181-IF(CN181&lt;=0,CT181,0)</f>
        <v>8955.05980126879</v>
      </c>
      <c r="CY181" s="85" t="n">
        <f aca="false">CP181+CQ181-IF(CN181&lt;=CJ181,CT181,0)</f>
        <v>20839.9811652531</v>
      </c>
      <c r="CZ181" s="85" t="n">
        <f aca="false">CP181+CQ181+CR181-IF(CN181&lt;=CK181,CT181,0)</f>
        <v>22850.3107365369</v>
      </c>
      <c r="DA181" s="85" t="n">
        <f aca="false">CP181+CQ181+CR181+CS181-IF(CN181&lt;=CL181,CT181,0)</f>
        <v>24360.3107365369</v>
      </c>
      <c r="DB181" s="88" t="n">
        <f aca="false">MAX(CX181,CY181,CZ181,DA181)</f>
        <v>24360.3107365369</v>
      </c>
      <c r="DC181" s="88" t="n">
        <f aca="false">CP181+CQ181+CR181+CS181</f>
        <v>24360.3107365369</v>
      </c>
      <c r="DD181" s="88" t="n">
        <f aca="false">CE181-CH181-CI181-CW181</f>
        <v>-6351.57170967628</v>
      </c>
      <c r="DE181" s="87" t="n">
        <f aca="false">IF(CD181&gt;0,DD181/CD181,0)</f>
        <v>-0.342844937418552</v>
      </c>
      <c r="DF181" s="86" t="n">
        <f aca="false">IF(CD181&gt;0,(BM181+CI181+CW181)/(CD181*(1-CG181)),0)</f>
        <v>1.36395428600696</v>
      </c>
      <c r="DG181" s="90" t="n">
        <f aca="false">IF(BW181&gt;0,BM181/BW181,0)</f>
        <v>0.265938134708151</v>
      </c>
      <c r="DH181" s="90" t="n">
        <f aca="false">IF(BW181&gt;0,CD181/BW181,0)</f>
        <v>0.243</v>
      </c>
      <c r="DI181" s="90" t="n">
        <f aca="false">IF(AI181&gt;0,(AI181*IF(K181=3,INDEX(in_sup_vat_rate,1,C181),0)+AV181*BA181+(BC181+BD181)*AV181/AY181+AZ181*AI181/AL181)/AI181,0)</f>
        <v>0.136336711689146</v>
      </c>
      <c r="DJ181" s="90" t="n">
        <f aca="false">IF(AJ181&gt;0,(AJ181*IF(K181=3,INDEX(in_sup_vat_rate,1,C181),0)+AW181*BA181+(BC181+BD181)*AW181/AY181+AZ181*AJ181/AL181)/AJ181,0)</f>
        <v>0.136336711689146</v>
      </c>
      <c r="DK181" s="90" t="n">
        <f aca="false">IF(AK181&gt;0,(AK181*IF(K181=3,INDEX(in_sup_vat_rate,1,C181),0)+AX181*BA181+(BC181+BD181)*AX181/AY181+AZ181*AK181/AL181)/AK181,0)</f>
        <v>0.136336711689146</v>
      </c>
      <c r="DL181" s="90" t="n">
        <f aca="false">IF(Y181&gt;0,(BP181-AI181*(1+DI181))/Y181,0)</f>
        <v>0.0951034134853847</v>
      </c>
      <c r="DM181" s="90" t="n">
        <f aca="false">IF(Z181&gt;0,(BQ181-AJ181*(1+DJ181))/Z181,0)</f>
        <v>0.112507533373495</v>
      </c>
      <c r="DN181" s="90" t="n">
        <f aca="false">IF(AA181&gt;0,(BR181-AK181*(1+DK181))/AA181,0)</f>
        <v>0.0794519743513639</v>
      </c>
      <c r="DO181" s="86" t="n">
        <f aca="false">IF(Y181&gt;0,(CA181*(1-thr_gm_go)*(1-R181)-DL181)/(1+DI181)*I181/((1+AH181)*J181),"")</f>
        <v>3.61159159144917</v>
      </c>
      <c r="DP181" s="86" t="n">
        <f aca="false">IF(Z181&gt;0,(CB181*(1-thr_gm_go)*(1-R181)-DM181)/(1+DJ181)*I181/((1+AH181)*J181),"")</f>
        <v>4.03844294170427</v>
      </c>
      <c r="DQ181" s="86" t="n">
        <f aca="false">IF(AA181&gt;0,(CC181*(1-thr_gm_go)*(1-R181)-DN181)/(1+DK181)*I181/((1+AH181)*J181),"")</f>
        <v>4.02970280234534</v>
      </c>
      <c r="DR181" s="92" t="n">
        <f aca="false">IF(AND(AY181*INDEX(in_cus_mpf_rate,1,C181)&gt;INDEX(in_cus_mpf_min,1,C181),AY181*INDEX(in_cus_mpf_rate,1,C181)&lt;INDEX(in_cus_mpf_max,1,C181)),INDEX(in_cus_mpf_rate,1,C181),0)</f>
        <v>0.003464</v>
      </c>
      <c r="DS181" s="88" t="n">
        <f aca="false">IF(AZ181&gt;INDEX(in_oce_ins_min,1,C181),INDEX(in_oce_ins_rate,1,C181)*(1+INDEX(in_oce_ins_uplift,1,C181))*AL181,0)</f>
        <v>0</v>
      </c>
      <c r="DT181" s="88" t="n">
        <f aca="false">(AL181+AN181)*(1+BA181+INDEX(in_cus_hmf,1,C181)+DR181)+DS181</f>
        <v>12793.6340847905</v>
      </c>
      <c r="DU181" s="86" t="n">
        <f aca="false">IF(DT181&gt;0,(CD181*(1-thr_gm_go)-(BM181-DT181))/DT181,0)</f>
        <v>0.501291059308951</v>
      </c>
      <c r="DV181" s="86" t="n">
        <f aca="false">IF(DT181&gt;0,(CD181-(BM181-DT181))/DT181,0)</f>
        <v>0.863308545451229</v>
      </c>
      <c r="DW181" s="87" t="n">
        <f aca="false">(1+AH181)*J181*DU181-1</f>
        <v>-0.498708940691049</v>
      </c>
      <c r="DX181" s="87" t="n">
        <f aca="false">(1+AH181)*J181*DV181-1</f>
        <v>-0.136691454548771</v>
      </c>
      <c r="DY181" s="85" t="n">
        <f aca="false">IF(G181&gt;0,(CD181*(1-thr_gm_go)-(BM181-AT181))/G181,"")</f>
        <v>-2380.29970201475</v>
      </c>
      <c r="DZ181" s="90" t="n">
        <f aca="false">IF(AB181&gt;0,(AL181+AN181+BB181+BC181+BD181)/AB181,0)</f>
        <v>0.165292430036053</v>
      </c>
      <c r="EA181" s="88" t="n">
        <f aca="false">BM181-DZ181*AB181</f>
        <v>7481.22336722428</v>
      </c>
      <c r="EB181" s="90" t="n">
        <f aca="false">IF(AB181&gt;0,CD181/AB181,0)</f>
        <v>0.239355</v>
      </c>
      <c r="EC181" s="85" t="n">
        <f aca="false">IF(EB181*(1-thr_gm_go)-DZ181&gt;0,EA181/(EB181*(1-thr_gm_go)-DZ181),"n/a")</f>
        <v>525964.430524756</v>
      </c>
      <c r="ED181" s="85" t="n">
        <f aca="false">IF(EB181-DZ181&gt;0,EA181/(EB181-DZ181),"n/a")</f>
        <v>101012.20320691</v>
      </c>
      <c r="EE181" s="93" t="b">
        <f aca="false">INDEX(cfg_fits,D181,C181)</f>
        <v>1</v>
      </c>
      <c r="EF181" s="87" t="n">
        <f aca="false">IF(F181=4,"",INDEX(cfg_lenutil,D181,C181))</f>
        <v>0.999580888516345</v>
      </c>
      <c r="EG181" s="31" t="str">
        <f aca="false">IF(O181&gt;1,"Check fit (units scaled up)","")</f>
        <v/>
      </c>
    </row>
    <row r="182" customFormat="false" ht="15" hidden="false" customHeight="false" outlineLevel="0" collapsed="false">
      <c r="A182" s="78" t="n">
        <v>900028</v>
      </c>
      <c r="B182" s="9" t="s">
        <v>3330</v>
      </c>
      <c r="C182" s="10" t="n">
        <f aca="false">sel_scen</f>
        <v>2</v>
      </c>
      <c r="D182" s="10" t="n">
        <f aca="false">sel_cfg</f>
        <v>4</v>
      </c>
      <c r="E182" s="10" t="n">
        <f aca="false">sel_dest</f>
        <v>1</v>
      </c>
      <c r="F182" s="79" t="n">
        <f aca="false">INDEX(cfg_ct,D182)</f>
        <v>3</v>
      </c>
      <c r="G182" s="79" t="n">
        <f aca="false">INDEX(cfg_n,D182)</f>
        <v>1</v>
      </c>
      <c r="H182" s="79" t="n">
        <f aca="false">INDEX(dest_port,E182)</f>
        <v>1</v>
      </c>
      <c r="I182" s="80" t="n">
        <f aca="false">INDEX(in_fx_cbe,1,C182)*(1-INDEX(in_fx_spread,1,C182))</f>
        <v>52.7748</v>
      </c>
      <c r="J182" s="81" t="n">
        <f aca="false">1</f>
        <v>1</v>
      </c>
      <c r="K182" s="82" t="n">
        <f aca="false">INDEX(in_sup_vat_mode,1,C182)</f>
        <v>2</v>
      </c>
      <c r="L182" s="83" t="n">
        <f aca="false">INDEX(in_cus_s301,1,C182)</f>
        <v>0.125</v>
      </c>
      <c r="M182" s="84" t="n">
        <f aca="false">1</f>
        <v>1</v>
      </c>
      <c r="N182" s="81" t="n">
        <f aca="false">1</f>
        <v>1</v>
      </c>
      <c r="O182" s="81" t="n">
        <f aca="false">1</f>
        <v>1</v>
      </c>
      <c r="P182" s="81" t="n">
        <f aca="false">1</f>
        <v>1</v>
      </c>
      <c r="Q182" s="81" t="n">
        <f aca="false">1</f>
        <v>1</v>
      </c>
      <c r="R182" s="83" t="n">
        <f aca="false">INDEX(in_sel_damage,1,C182)</f>
        <v>0.015</v>
      </c>
      <c r="S182" s="83" t="n">
        <f aca="false">INDEX(in_mkt_dist_margin,1,C182)</f>
        <v>0.25</v>
      </c>
      <c r="T182" s="83" t="n">
        <f aca="false">INDEX(in_mkt_eflute_disc,1,C182)</f>
        <v>0.2</v>
      </c>
      <c r="U182" s="82" t="n">
        <f aca="false">INDEX(in_sel_credit_days,1,C182)</f>
        <v>45</v>
      </c>
      <c r="V182" s="95" t="n">
        <v>1.3</v>
      </c>
      <c r="W182" s="83" t="n">
        <f aca="false">INDEX(in_sel_commission,1,C182)</f>
        <v>0.05</v>
      </c>
      <c r="X182" s="82" t="n">
        <f aca="false">1</f>
        <v>1</v>
      </c>
      <c r="Y182" s="85" t="n">
        <f aca="false">INDEX(cfg_u_3464,D182,C182)*O182</f>
        <v>25800</v>
      </c>
      <c r="Z182" s="85" t="n">
        <f aca="false">INDEX(cfg_u_3463,D182,C182)*O182</f>
        <v>25800</v>
      </c>
      <c r="AA182" s="85" t="n">
        <f aca="false">INDEX(cfg_u_3460,D182,C182)*O182</f>
        <v>25800</v>
      </c>
      <c r="AB182" s="85" t="n">
        <f aca="false">Y182+Z182+AA182</f>
        <v>77400</v>
      </c>
      <c r="AC182" s="86" t="n">
        <f aca="false">Y182*INDEX(lg_vpu_3464,C182)</f>
        <v>18.3539136</v>
      </c>
      <c r="AD182" s="86" t="n">
        <f aca="false">Z182*INDEX(lg_vpu_3463,C182)</f>
        <v>22.4530176</v>
      </c>
      <c r="AE182" s="86" t="n">
        <f aca="false">AA182*INDEX(lg_vpu_3460,C182)</f>
        <v>14.6676096</v>
      </c>
      <c r="AF182" s="86" t="n">
        <f aca="false">AC182+AD182+AE182</f>
        <v>55.4745408</v>
      </c>
      <c r="AG182" s="85" t="n">
        <f aca="false">Y182*INDEX(lg_kpu_3464,C182)+Z182*INDEX(lg_kpu_3463,C182)+AA182*INDEX(lg_kpu_3460,C182)</f>
        <v>13341.3537888</v>
      </c>
      <c r="AH182" s="87" t="n">
        <f aca="false">INDEX(in_sup_requote,1,C182)</f>
        <v>0</v>
      </c>
      <c r="AI182" s="88" t="n">
        <f aca="false">Y182*q_price_3464*(1+AH182)*J182/I182</f>
        <v>4089.39493849337</v>
      </c>
      <c r="AJ182" s="88" t="n">
        <f aca="false">Z182*q_price_3463*(1+AH182)*J182/I182</f>
        <v>3862.07053366379</v>
      </c>
      <c r="AK182" s="88" t="n">
        <f aca="false">AA182*q_price_3460*(1+AH182)*J182/I182</f>
        <v>3373.20084585825</v>
      </c>
      <c r="AL182" s="88" t="n">
        <f aca="false">AI182+AJ182+AK182</f>
        <v>11324.6663180154</v>
      </c>
      <c r="AM182" s="88" t="n">
        <f aca="false">IF(OR(K182=2,K182=3),AL182*INDEX(in_sup_vat_rate,1,C182),0)</f>
        <v>1585.45328452216</v>
      </c>
      <c r="AN182" s="88" t="n">
        <f aca="false">IF(K182=3,AM182,0)</f>
        <v>0</v>
      </c>
      <c r="AO182" s="88" t="n">
        <f aca="false">INDEX(in_sup_tooling_egp,1,C182)/I182</f>
        <v>0</v>
      </c>
      <c r="AP182" s="88" t="n">
        <f aca="false">IF(F182=4,INDEX(in_ori_lcl_truck,1,C182)*V182/I182+INDEX(in_ori_lcl_cfs_o,1,C182),G182*(IF(F182=1,INDEX(in_ori_truck_20,1,C182),INDEX(in_ori_truck_40,1,C182))*V182/I182+INDEX(in_ori_terminal,1,C182)+IF(F182=1,INDEX(in_ori_othc_20,1,C182),INDEX(in_ori_othc_40,1,C182))*(1-INDEX(in_ori_othc_in_freight,1,C182))+INDEX(in_ori_seal,1,C182)+INDEX(in_ori_inspection,1,C182)+INDEX(in_ori_dd_days,1,C182)*IF(F182=1,INDEX(in_ori_dd_20,1,C182),INDEX(in_ori_dd_40,1,C182))+INDEX(in_ori_loading_egp,1,C182)/I182))</f>
        <v>634.861562715538</v>
      </c>
      <c r="AQ182" s="88" t="n">
        <f aca="false">(INDEX(in_ori_clearance,1,C182)+INDEX(in_ori_coo,1,C182))/I182+INDEX(in_ori_bl_fee,1,C182)+INDEX(in_ori_fwd_fee,1,C182)+INDEX(in_ori_qc,1,C182)+INDEX(in_ori_wires,1,C182)*INDEX(in_ori_wire_fee,1,C182)</f>
        <v>817.639062582899</v>
      </c>
      <c r="AR182" s="88" t="n">
        <f aca="false">AP182+AQ182</f>
        <v>1452.50062529844</v>
      </c>
      <c r="AS182" s="85" t="n">
        <f aca="false">INDEX(tbl_port_diff,H182,C182)</f>
        <v>0</v>
      </c>
      <c r="AT182" s="88" t="n">
        <f aca="false">IF(F182=4,MAX(AF182*INDEX(in_oce_lcl_factor,1,C182),AG182/1000,1)*INDEX(in_oce_lcl_rate,1,C182)*M182,G182*(INDEX(tbl_ocean_rate,MIN(F182,3),C182)+AS182)*M182)</f>
        <v>4000</v>
      </c>
      <c r="AU182" s="88" t="n">
        <f aca="false">AT182+INDEX(in_oce_ams,1,C182)</f>
        <v>4035</v>
      </c>
      <c r="AV182" s="88" t="n">
        <f aca="false">AI182*(1+IF(K182=3,INDEX(in_sup_vat_rate,1,C182),0))+AO182*Y182/AB182</f>
        <v>4089.39493849337</v>
      </c>
      <c r="AW182" s="88" t="n">
        <f aca="false">AJ182*(1+IF(K182=3,INDEX(in_sup_vat_rate,1,C182),0))+AO182*Z182/AB182</f>
        <v>3862.07053366379</v>
      </c>
      <c r="AX182" s="88" t="n">
        <f aca="false">AK182*(1+IF(K182=3,INDEX(in_sup_vat_rate,1,C182),0))+AO182*AA182/AB182</f>
        <v>3373.20084585825</v>
      </c>
      <c r="AY182" s="88" t="n">
        <f aca="false">AV182+AW182+AX182</f>
        <v>11324.6663180154</v>
      </c>
      <c r="AZ182" s="88" t="n">
        <f aca="false">MAX(INDEX(in_oce_ins_min,1,C182),INDEX(in_oce_ins_rate,1,C182)*(1+INDEX(in_oce_ins_uplift,1,C182))*(AL182+AO182+AR182+AU182))*(1-INDEX(in_oce_ins_in_other,1,C182))</f>
        <v>75</v>
      </c>
      <c r="BA182" s="87" t="n">
        <f aca="false">INDEX(in_cus_mfn,1,C182)+L182</f>
        <v>0.125</v>
      </c>
      <c r="BB182" s="88" t="n">
        <f aca="false">AY182*BA182</f>
        <v>1415.58328975193</v>
      </c>
      <c r="BC182" s="88" t="n">
        <f aca="false">MIN(MAX(AY182*INDEX(in_cus_mpf_rate,1,C182),INDEX(in_cus_mpf_min,1,C182)),INDEX(in_cus_mpf_max,1,C182))</f>
        <v>39.2286441256054</v>
      </c>
      <c r="BD182" s="88" t="n">
        <f aca="false">AY182*INDEX(in_cus_hmf,1,C182)</f>
        <v>14.1558328975193</v>
      </c>
      <c r="BE182" s="88" t="n">
        <f aca="false">MAX(INDEX(in_cus_stb_min,1,C182),INDEX(in_cus_stb_rate,1,C182)/1000*(AY182+BB182+BC182+BD182))</f>
        <v>76.7618045087428</v>
      </c>
      <c r="BF182" s="88" t="n">
        <f aca="false">INDEX(in_cus_broker,1,C182)+INDEX(in_cus_isf,1,C182)+INDEX(in_cus_do_fee,1,C182)+BE182+INDEX(in_cus_isf_bond,1,C182)</f>
        <v>511.761804508743</v>
      </c>
      <c r="BG182" s="88" t="n">
        <f aca="false">IF(H182=1,INDEX(in_cus_cfc,1,C182)*INDEX(ct_teu,F182)*G182*(1-INDEX(in_cus_cfc_in_freight,1,C182)),0)</f>
        <v>29.6</v>
      </c>
      <c r="BH182" s="88" t="n">
        <f aca="false">IF(F182=4,1,G182)*(INDEX(in_cus_exam,1,C182)+INDEX(in_cus_exam_dray,1,C182))</f>
        <v>0</v>
      </c>
      <c r="BI182" s="88" t="n">
        <f aca="false">IF(F182=4,1,G182)*INDEX(in_cus_dem_days,1,C182)*INDEX(in_cus_dem_rate,1,C182)</f>
        <v>0</v>
      </c>
      <c r="BJ182" s="88" t="n">
        <f aca="false">BG182+BH182+BI182</f>
        <v>29.6</v>
      </c>
      <c r="BK182" s="88" t="n">
        <f aca="false">IF(F182=4,(INDEX(in_dra_lcl_cfs_d,1,C182)+INDEX(in_dra_lcl_deliv,1,C182))*P182,G182*(INDEX(tbl_dest_line,E182,C182)*P182*(1+INDEX(in_dra_fsc,1,C182))+INDEX(tbl_dest_tolls,E182,C182)+INDEX(in_dra_chassis_days,1,C182)*INDEX(tbl_dest_chassis,E182,C182)*(1-INDEX(in_dra_chassis_in_dray,1,C182))+INDEX(in_dra_wait_hours,1,C182)*INDEX(in_dra_wait_rate,1,C182)+INDEX(in_dra_split,1,C182)+INDEX(in_dra_prepull,1,C182)+INDEX(in_dra_dryrun,1,C182)))</f>
        <v>1060</v>
      </c>
      <c r="BL182" s="88" t="n">
        <f aca="false">IF(F182=4,0,G182*IF(F182=1,INDEX(in_dra_unload_20,1,C182),INDEX(in_dra_unload_40,1,C182))*Q182*(1-INDEX(in_dra_unload_in_dray,1,C182)))</f>
        <v>450</v>
      </c>
      <c r="BM182" s="88" t="n">
        <f aca="false">AL182+AN182+AO182+AR182+AU182+AZ182+BB182+BC182+BD182+BF182+BJ182+BK182+BL182</f>
        <v>20407.4965145977</v>
      </c>
      <c r="BN182" s="88" t="n">
        <f aca="false">AP182+AU182+BJ182+BK182+BL182</f>
        <v>6209.46156271554</v>
      </c>
      <c r="BO182" s="88" t="n">
        <f aca="false">AQ182+BF182</f>
        <v>1329.40086709164</v>
      </c>
      <c r="BP182" s="88" t="n">
        <f aca="false">AI182*(1+IF(K182=3,INDEX(in_sup_vat_rate,1,C182),0))+AO182*Y182/AB182+AV182*BA182+(BC182+BD182)*AV182/AY182+AZ182*AI182/AL182+BN182*AC182/AF182+BO182*Y182/AB182</f>
        <v>7144.48168578981</v>
      </c>
      <c r="BQ182" s="88" t="n">
        <f aca="false">AJ182*(1+IF(K182=3,INDEX(in_sup_vat_rate,1,C182),0))+AO182*Z182/AB182+AW182*BA182+(BC182+BD182)*AW182/AY182+AZ182*AJ182/AL182+BN182*AD182/AF182+BO182*Z182/AB182</f>
        <v>7344.99182818672</v>
      </c>
      <c r="BR182" s="88" t="n">
        <f aca="false">AK182*(1+IF(K182=3,INDEX(in_sup_vat_rate,1,C182),0))+AO182*AA182/AB182+AX182*BA182+(BC182+BD182)*AX182/AY182+AZ182*AK182/AL182+BN182*AE182/AF182+BO182*AA182/AB182</f>
        <v>5918.02300062112</v>
      </c>
      <c r="BS182" s="89" t="n">
        <f aca="false">BP182+BQ182+BR182-BM182</f>
        <v>0</v>
      </c>
      <c r="BT182" s="85" t="n">
        <f aca="false">Y182*(1-R182)</f>
        <v>25413</v>
      </c>
      <c r="BU182" s="85" t="n">
        <f aca="false">Z182*(1-R182)</f>
        <v>25413</v>
      </c>
      <c r="BV182" s="85" t="n">
        <f aca="false">AA182*(1-R182)</f>
        <v>25413</v>
      </c>
      <c r="BW182" s="85" t="n">
        <f aca="false">BT182+BU182+BV182</f>
        <v>76239</v>
      </c>
      <c r="BX182" s="90" t="n">
        <f aca="false">IF(BT182&gt;0,BP182/BT182,0)</f>
        <v>0.281134918576705</v>
      </c>
      <c r="BY182" s="90" t="n">
        <f aca="false">IF(BU182&gt;0,BQ182/BU182,0)</f>
        <v>0.289024980450428</v>
      </c>
      <c r="BZ182" s="90" t="n">
        <f aca="false">IF(BV182&gt;0,BR182/BV182,0)</f>
        <v>0.232873844119983</v>
      </c>
      <c r="CA182" s="90" t="n">
        <f aca="false">INDEX(in_mkt_listing_3464,1,C182)*(1-IF(sku_flute_3464="B",T182,0))*(1-S182)*N182</f>
        <v>0.234</v>
      </c>
      <c r="CB182" s="90" t="n">
        <f aca="false">INDEX(in_mkt_listing_3463,1,C182)*(1-IF(sku_flute_3463="B",T182,0))*(1-S182)*N182</f>
        <v>0.27</v>
      </c>
      <c r="CC182" s="90" t="n">
        <f aca="false">INDEX(in_mkt_listing_3460,1,C182)*(1-IF(sku_flute_3460="B",T182,0))*(1-S182)*N182</f>
        <v>0.225</v>
      </c>
      <c r="CD182" s="88" t="n">
        <f aca="false">BT182*CA182+BU182*CB182+BV182*CC182</f>
        <v>18526.077</v>
      </c>
      <c r="CE182" s="88" t="n">
        <f aca="false">CD182-BM182</f>
        <v>-1881.41951459765</v>
      </c>
      <c r="CF182" s="87" t="n">
        <f aca="false">IF(CD182&gt;0,CE182/CD182,0)</f>
        <v>-0.101555203219637</v>
      </c>
      <c r="CG182" s="87" t="n">
        <f aca="false">W182+INDEX(in_sel_processing,1,C182)+INDEX(in_sel_bad_debt,1,C182)</f>
        <v>0.058</v>
      </c>
      <c r="CH182" s="88" t="n">
        <f aca="false">CD182*CG182</f>
        <v>1074.512466</v>
      </c>
      <c r="CI182" s="88" t="n">
        <f aca="false">INDEX(in_sel_testing,1,C182)*X182+INDEX(in_sel_admin,1,C182)</f>
        <v>3000</v>
      </c>
      <c r="CJ182" s="79" t="n">
        <f aca="false">INDEX(in_sup_lead_days,1,C182)</f>
        <v>21</v>
      </c>
      <c r="CK182" s="79" t="n">
        <f aca="false">CJ182+INDEX(in_oce_transit,1,C182)+IF(F182=4,INDEX(in_oce_lcl_extra_days,1,C182),0)</f>
        <v>51</v>
      </c>
      <c r="CL182" s="79" t="n">
        <f aca="false">CK182+2+INDEX(in_cus_dem_days,1,C182)</f>
        <v>53</v>
      </c>
      <c r="CM182" s="79" t="n">
        <f aca="false">CL182+U182</f>
        <v>98</v>
      </c>
      <c r="CN182" s="79" t="n">
        <f aca="false">CJ182+INDEX(in_sup_vat_lag,1,C182)</f>
        <v>81</v>
      </c>
      <c r="CO182" s="91" t="n">
        <f aca="false">INDEX(in_sup_advance,1,C182)</f>
        <v>0.5</v>
      </c>
      <c r="CP182" s="88" t="n">
        <f aca="false">CO182*(AL182+AM182)+AO182+INDEX(in_sel_testing,1,C182)*X182</f>
        <v>8955.05980126879</v>
      </c>
      <c r="CQ182" s="88" t="n">
        <f aca="false">(1-CO182)*(AL182+AM182)+AR182+AU182+AZ182</f>
        <v>12017.5604265672</v>
      </c>
      <c r="CR182" s="88" t="n">
        <f aca="false">BB182+BC182+BD182+BF182+BJ182</f>
        <v>2010.32957128379</v>
      </c>
      <c r="CS182" s="88" t="n">
        <f aca="false">BK182+BL182</f>
        <v>1510</v>
      </c>
      <c r="CT182" s="88" t="n">
        <f aca="false">IF(K182=2,AM182,0)</f>
        <v>1585.45328452216</v>
      </c>
      <c r="CU182" s="85" t="n">
        <f aca="false">IF(K182=2,CO182*AM182*(CN182-0)+(1-CO182)*AM182*(CN182-CJ182),0)</f>
        <v>111774.456558812</v>
      </c>
      <c r="CV182" s="85" t="n">
        <f aca="false">(CP182-CO182*CT182)*(CM182-0)+(CQ182-(1-CO182)*CT182)*(CM182-CJ182)+CR182*(CM182-CK182)+CS182*(CM182-CL182)</f>
        <v>1826656.34082467</v>
      </c>
      <c r="CW182" s="88" t="n">
        <f aca="false">INDEX(in_sel_fin_rate,1,C182)/365*(CU182+CV182)</f>
        <v>531.076930789994</v>
      </c>
      <c r="CX182" s="85" t="n">
        <f aca="false">CP182-IF(CN182&lt;=0,CT182,0)</f>
        <v>8955.05980126879</v>
      </c>
      <c r="CY182" s="85" t="n">
        <f aca="false">CP182+CQ182-IF(CN182&lt;=CJ182,CT182,0)</f>
        <v>20972.620227836</v>
      </c>
      <c r="CZ182" s="85" t="n">
        <f aca="false">CP182+CQ182+CR182-IF(CN182&lt;=CK182,CT182,0)</f>
        <v>22982.9497991198</v>
      </c>
      <c r="DA182" s="85" t="n">
        <f aca="false">CP182+CQ182+CR182+CS182-IF(CN182&lt;=CL182,CT182,0)</f>
        <v>24492.9497991198</v>
      </c>
      <c r="DB182" s="88" t="n">
        <f aca="false">MAX(CX182,CY182,CZ182,DA182)</f>
        <v>24492.9497991198</v>
      </c>
      <c r="DC182" s="88" t="n">
        <f aca="false">CP182+CQ182+CR182+CS182</f>
        <v>24492.9497991198</v>
      </c>
      <c r="DD182" s="88" t="n">
        <f aca="false">CE182-CH182-CI182-CW182</f>
        <v>-6487.00891138764</v>
      </c>
      <c r="DE182" s="87" t="n">
        <f aca="false">IF(CD182&gt;0,DD182/CD182,0)</f>
        <v>-0.350155562420886</v>
      </c>
      <c r="DF182" s="86" t="n">
        <f aca="false">IF(CD182&gt;0,(BM182+CI182+CW182)/(CD182*(1-CG182)),0)</f>
        <v>1.37171503441708</v>
      </c>
      <c r="DG182" s="90" t="n">
        <f aca="false">IF(BW182&gt;0,BM182/BW182,0)</f>
        <v>0.267677914382372</v>
      </c>
      <c r="DH182" s="90" t="n">
        <f aca="false">IF(BW182&gt;0,CD182/BW182,0)</f>
        <v>0.243</v>
      </c>
      <c r="DI182" s="90" t="n">
        <f aca="false">IF(AI182&gt;0,(AI182*IF(K182=3,INDEX(in_sup_vat_rate,1,C182),0)+AV182*BA182+(BC182+BD182)*AV182/AY182+AZ182*AI182/AL182)/AI182,0)</f>
        <v>0.136336711689146</v>
      </c>
      <c r="DJ182" s="90" t="n">
        <f aca="false">IF(AJ182&gt;0,(AJ182*IF(K182=3,INDEX(in_sup_vat_rate,1,C182),0)+AW182*BA182+(BC182+BD182)*AW182/AY182+AZ182*AJ182/AL182)/AJ182,0)</f>
        <v>0.136336711689146</v>
      </c>
      <c r="DK182" s="90" t="n">
        <f aca="false">IF(AK182&gt;0,(AK182*IF(K182=3,INDEX(in_sup_vat_rate,1,C182),0)+AX182*BA182+(BC182+BD182)*AX182/AY182+AZ182*AK182/AL182)/AK182,0)</f>
        <v>0.136336711689146</v>
      </c>
      <c r="DL182" s="90" t="n">
        <f aca="false">IF(Y182&gt;0,(BP182-AI182*(1+DI182))/Y182,0)</f>
        <v>0.0968043445187601</v>
      </c>
      <c r="DM182" s="90" t="n">
        <f aca="false">IF(Z182&gt;0,(BQ182-AJ182*(1+DJ182))/Z182,0)</f>
        <v>0.114588344870219</v>
      </c>
      <c r="DN182" s="90" t="n">
        <f aca="false">IF(AA182&gt;0,(BR182-AK182*(1+DK182))/AA182,0)</f>
        <v>0.0808112807585857</v>
      </c>
      <c r="DO182" s="86" t="n">
        <f aca="false">IF(Y182&gt;0,(CA182*(1-thr_gm_go)*(1-R182)-DL182)/(1+DI182)*I182/((1+AH182)*J182),"")</f>
        <v>3.53259538004741</v>
      </c>
      <c r="DP182" s="86" t="n">
        <f aca="false">IF(Z182&gt;0,(CB182*(1-thr_gm_go)*(1-R182)-DM182)/(1+DJ182)*I182/((1+AH182)*J182),"")</f>
        <v>3.94180397066012</v>
      </c>
      <c r="DQ182" s="86" t="n">
        <f aca="false">IF(AA182&gt;0,(CC182*(1-thr_gm_go)*(1-R182)-DN182)/(1+DK182)*I182/((1+AH182)*J182),"")</f>
        <v>3.96657263763103</v>
      </c>
      <c r="DR182" s="92" t="n">
        <f aca="false">IF(AND(AY182*INDEX(in_cus_mpf_rate,1,C182)&gt;INDEX(in_cus_mpf_min,1,C182),AY182*INDEX(in_cus_mpf_rate,1,C182)&lt;INDEX(in_cus_mpf_max,1,C182)),INDEX(in_cus_mpf_rate,1,C182),0)</f>
        <v>0.003464</v>
      </c>
      <c r="DS182" s="88" t="n">
        <f aca="false">IF(AZ182&gt;INDEX(in_oce_ins_min,1,C182),INDEX(in_oce_ins_rate,1,C182)*(1+INDEX(in_oce_ins_uplift,1,C182))*AL182,0)</f>
        <v>0</v>
      </c>
      <c r="DT182" s="88" t="n">
        <f aca="false">(AL182+AN182)*(1+BA182+INDEX(in_cus_hmf,1,C182)+DR182)+DS182</f>
        <v>12793.6340847905</v>
      </c>
      <c r="DU182" s="86" t="n">
        <f aca="false">IF(DT182&gt;0,(CD182*(1-thr_gm_go)-(BM182-DT182))/DT182,0)</f>
        <v>0.490923476360758</v>
      </c>
      <c r="DV182" s="86" t="n">
        <f aca="false">IF(DT182&gt;0,(CD182-(BM182-DT182))/DT182,0)</f>
        <v>0.852940962503035</v>
      </c>
      <c r="DW182" s="87" t="n">
        <f aca="false">(1+AH182)*J182*DU182-1</f>
        <v>-0.509076523639242</v>
      </c>
      <c r="DX182" s="87" t="n">
        <f aca="false">(1+AH182)*J182*DV182-1</f>
        <v>-0.147059037496965</v>
      </c>
      <c r="DY182" s="85" t="n">
        <f aca="false">IF(G182&gt;0,(CD182*(1-thr_gm_go)-(BM182-AT182))/G182,"")</f>
        <v>-2512.93876459765</v>
      </c>
      <c r="DZ182" s="90" t="n">
        <f aca="false">IF(AB182&gt;0,(AL182+AN182+BB182+BC182+BD182)/AB182,0)</f>
        <v>0.165292430036053</v>
      </c>
      <c r="EA182" s="88" t="n">
        <f aca="false">BM182-DZ182*AB182</f>
        <v>7613.86242980718</v>
      </c>
      <c r="EB182" s="90" t="n">
        <f aca="false">IF(AB182&gt;0,CD182/AB182,0)</f>
        <v>0.239355</v>
      </c>
      <c r="EC182" s="85" t="n">
        <f aca="false">IF(EB182*(1-thr_gm_go)-DZ182&gt;0,EA182/(EB182*(1-thr_gm_go)-DZ182),"n/a")</f>
        <v>535289.567015453</v>
      </c>
      <c r="ED182" s="85" t="n">
        <f aca="false">IF(EB182-DZ182&gt;0,EA182/(EB182-DZ182),"n/a")</f>
        <v>102803.108689227</v>
      </c>
      <c r="EE182" s="93" t="b">
        <f aca="false">INDEX(cfg_fits,D182,C182)</f>
        <v>1</v>
      </c>
      <c r="EF182" s="87" t="n">
        <f aca="false">IF(F182=4,"",INDEX(cfg_lenutil,D182,C182))</f>
        <v>0.999580888516345</v>
      </c>
      <c r="EG182" s="31" t="str">
        <f aca="false">IF(O182&gt;1,"Check fit (units scaled up)","")</f>
        <v/>
      </c>
    </row>
    <row r="183" customFormat="false" ht="15" hidden="false" customHeight="false" outlineLevel="0" collapsed="false">
      <c r="A183" s="78" t="n">
        <v>900029</v>
      </c>
      <c r="B183" s="9" t="s">
        <v>3331</v>
      </c>
      <c r="C183" s="10" t="n">
        <f aca="false">sel_scen</f>
        <v>2</v>
      </c>
      <c r="D183" s="10" t="n">
        <f aca="false">sel_cfg</f>
        <v>4</v>
      </c>
      <c r="E183" s="10" t="n">
        <f aca="false">sel_dest</f>
        <v>1</v>
      </c>
      <c r="F183" s="79" t="n">
        <f aca="false">INDEX(cfg_ct,D183)</f>
        <v>3</v>
      </c>
      <c r="G183" s="79" t="n">
        <f aca="false">INDEX(cfg_n,D183)</f>
        <v>1</v>
      </c>
      <c r="H183" s="79" t="n">
        <f aca="false">INDEX(dest_port,E183)</f>
        <v>1</v>
      </c>
      <c r="I183" s="80" t="n">
        <f aca="false">INDEX(in_fx_cbe,1,C183)*(1-INDEX(in_fx_spread,1,C183))</f>
        <v>52.7748</v>
      </c>
      <c r="J183" s="81" t="n">
        <f aca="false">1</f>
        <v>1</v>
      </c>
      <c r="K183" s="82" t="n">
        <f aca="false">INDEX(in_sup_vat_mode,1,C183)</f>
        <v>2</v>
      </c>
      <c r="L183" s="83" t="n">
        <f aca="false">INDEX(in_cus_s301,1,C183)</f>
        <v>0.125</v>
      </c>
      <c r="M183" s="84" t="n">
        <f aca="false">1</f>
        <v>1</v>
      </c>
      <c r="N183" s="81" t="n">
        <f aca="false">1</f>
        <v>1</v>
      </c>
      <c r="O183" s="81" t="n">
        <f aca="false">1</f>
        <v>1</v>
      </c>
      <c r="P183" s="81" t="n">
        <f aca="false">1</f>
        <v>1</v>
      </c>
      <c r="Q183" s="81" t="n">
        <f aca="false">1</f>
        <v>1</v>
      </c>
      <c r="R183" s="83" t="n">
        <f aca="false">INDEX(in_sel_damage,1,C183)</f>
        <v>0.015</v>
      </c>
      <c r="S183" s="83" t="n">
        <f aca="false">INDEX(in_mkt_dist_margin,1,C183)</f>
        <v>0.25</v>
      </c>
      <c r="T183" s="83" t="n">
        <f aca="false">INDEX(in_mkt_eflute_disc,1,C183)</f>
        <v>0.2</v>
      </c>
      <c r="U183" s="82" t="n">
        <f aca="false">INDEX(in_sel_credit_days,1,C183)</f>
        <v>45</v>
      </c>
      <c r="V183" s="81" t="n">
        <f aca="false">1</f>
        <v>1</v>
      </c>
      <c r="W183" s="28" t="n">
        <v>0.03</v>
      </c>
      <c r="X183" s="82" t="n">
        <f aca="false">1</f>
        <v>1</v>
      </c>
      <c r="Y183" s="85" t="n">
        <f aca="false">INDEX(cfg_u_3464,D183,C183)*O183</f>
        <v>25800</v>
      </c>
      <c r="Z183" s="85" t="n">
        <f aca="false">INDEX(cfg_u_3463,D183,C183)*O183</f>
        <v>25800</v>
      </c>
      <c r="AA183" s="85" t="n">
        <f aca="false">INDEX(cfg_u_3460,D183,C183)*O183</f>
        <v>25800</v>
      </c>
      <c r="AB183" s="85" t="n">
        <f aca="false">Y183+Z183+AA183</f>
        <v>77400</v>
      </c>
      <c r="AC183" s="86" t="n">
        <f aca="false">Y183*INDEX(lg_vpu_3464,C183)</f>
        <v>18.3539136</v>
      </c>
      <c r="AD183" s="86" t="n">
        <f aca="false">Z183*INDEX(lg_vpu_3463,C183)</f>
        <v>22.4530176</v>
      </c>
      <c r="AE183" s="86" t="n">
        <f aca="false">AA183*INDEX(lg_vpu_3460,C183)</f>
        <v>14.6676096</v>
      </c>
      <c r="AF183" s="86" t="n">
        <f aca="false">AC183+AD183+AE183</f>
        <v>55.4745408</v>
      </c>
      <c r="AG183" s="85" t="n">
        <f aca="false">Y183*INDEX(lg_kpu_3464,C183)+Z183*INDEX(lg_kpu_3463,C183)+AA183*INDEX(lg_kpu_3460,C183)</f>
        <v>13341.3537888</v>
      </c>
      <c r="AH183" s="87" t="n">
        <f aca="false">INDEX(in_sup_requote,1,C183)</f>
        <v>0</v>
      </c>
      <c r="AI183" s="88" t="n">
        <f aca="false">Y183*q_price_3464*(1+AH183)*J183/I183</f>
        <v>4089.39493849337</v>
      </c>
      <c r="AJ183" s="88" t="n">
        <f aca="false">Z183*q_price_3463*(1+AH183)*J183/I183</f>
        <v>3862.07053366379</v>
      </c>
      <c r="AK183" s="88" t="n">
        <f aca="false">AA183*q_price_3460*(1+AH183)*J183/I183</f>
        <v>3373.20084585825</v>
      </c>
      <c r="AL183" s="88" t="n">
        <f aca="false">AI183+AJ183+AK183</f>
        <v>11324.6663180154</v>
      </c>
      <c r="AM183" s="88" t="n">
        <f aca="false">IF(OR(K183=2,K183=3),AL183*INDEX(in_sup_vat_rate,1,C183),0)</f>
        <v>1585.45328452216</v>
      </c>
      <c r="AN183" s="88" t="n">
        <f aca="false">IF(K183=3,AM183,0)</f>
        <v>0</v>
      </c>
      <c r="AO183" s="88" t="n">
        <f aca="false">INDEX(in_sup_tooling_egp,1,C183)/I183</f>
        <v>0</v>
      </c>
      <c r="AP183" s="88" t="n">
        <f aca="false">IF(F183=4,INDEX(in_ori_lcl_truck,1,C183)*V183/I183+INDEX(in_ori_lcl_cfs_o,1,C183),G183*(IF(F183=1,INDEX(in_ori_truck_20,1,C183),INDEX(in_ori_truck_40,1,C183))*V183/I183+INDEX(in_ori_terminal,1,C183)+IF(F183=1,INDEX(in_ori_othc_20,1,C183),INDEX(in_ori_othc_40,1,C183))*(1-INDEX(in_ori_othc_in_freight,1,C183))+INDEX(in_ori_seal,1,C183)+INDEX(in_ori_inspection,1,C183)+INDEX(in_ori_dd_days,1,C183)*IF(F183=1,INDEX(in_ori_dd_20,1,C183),INDEX(in_ori_dd_40,1,C183))+INDEX(in_ori_loading_egp,1,C183)/I183))</f>
        <v>555.278125165799</v>
      </c>
      <c r="AQ183" s="88" t="n">
        <f aca="false">(INDEX(in_ori_clearance,1,C183)+INDEX(in_ori_coo,1,C183))/I183+INDEX(in_ori_bl_fee,1,C183)+INDEX(in_ori_fwd_fee,1,C183)+INDEX(in_ori_qc,1,C183)+INDEX(in_ori_wires,1,C183)*INDEX(in_ori_wire_fee,1,C183)</f>
        <v>817.639062582899</v>
      </c>
      <c r="AR183" s="88" t="n">
        <f aca="false">AP183+AQ183</f>
        <v>1372.9171877487</v>
      </c>
      <c r="AS183" s="85" t="n">
        <f aca="false">INDEX(tbl_port_diff,H183,C183)</f>
        <v>0</v>
      </c>
      <c r="AT183" s="88" t="n">
        <f aca="false">IF(F183=4,MAX(AF183*INDEX(in_oce_lcl_factor,1,C183),AG183/1000,1)*INDEX(in_oce_lcl_rate,1,C183)*M183,G183*(INDEX(tbl_ocean_rate,MIN(F183,3),C183)+AS183)*M183)</f>
        <v>4000</v>
      </c>
      <c r="AU183" s="88" t="n">
        <f aca="false">AT183+INDEX(in_oce_ams,1,C183)</f>
        <v>4035</v>
      </c>
      <c r="AV183" s="88" t="n">
        <f aca="false">AI183*(1+IF(K183=3,INDEX(in_sup_vat_rate,1,C183),0))+AO183*Y183/AB183</f>
        <v>4089.39493849337</v>
      </c>
      <c r="AW183" s="88" t="n">
        <f aca="false">AJ183*(1+IF(K183=3,INDEX(in_sup_vat_rate,1,C183),0))+AO183*Z183/AB183</f>
        <v>3862.07053366379</v>
      </c>
      <c r="AX183" s="88" t="n">
        <f aca="false">AK183*(1+IF(K183=3,INDEX(in_sup_vat_rate,1,C183),0))+AO183*AA183/AB183</f>
        <v>3373.20084585825</v>
      </c>
      <c r="AY183" s="88" t="n">
        <f aca="false">AV183+AW183+AX183</f>
        <v>11324.6663180154</v>
      </c>
      <c r="AZ183" s="88" t="n">
        <f aca="false">MAX(INDEX(in_oce_ins_min,1,C183),INDEX(in_oce_ins_rate,1,C183)*(1+INDEX(in_oce_ins_uplift,1,C183))*(AL183+AO183+AR183+AU183))*(1-INDEX(in_oce_ins_in_other,1,C183))</f>
        <v>75</v>
      </c>
      <c r="BA183" s="87" t="n">
        <f aca="false">INDEX(in_cus_mfn,1,C183)+L183</f>
        <v>0.125</v>
      </c>
      <c r="BB183" s="88" t="n">
        <f aca="false">AY183*BA183</f>
        <v>1415.58328975193</v>
      </c>
      <c r="BC183" s="88" t="n">
        <f aca="false">MIN(MAX(AY183*INDEX(in_cus_mpf_rate,1,C183),INDEX(in_cus_mpf_min,1,C183)),INDEX(in_cus_mpf_max,1,C183))</f>
        <v>39.2286441256054</v>
      </c>
      <c r="BD183" s="88" t="n">
        <f aca="false">AY183*INDEX(in_cus_hmf,1,C183)</f>
        <v>14.1558328975193</v>
      </c>
      <c r="BE183" s="88" t="n">
        <f aca="false">MAX(INDEX(in_cus_stb_min,1,C183),INDEX(in_cus_stb_rate,1,C183)/1000*(AY183+BB183+BC183+BD183))</f>
        <v>76.7618045087428</v>
      </c>
      <c r="BF183" s="88" t="n">
        <f aca="false">INDEX(in_cus_broker,1,C183)+INDEX(in_cus_isf,1,C183)+INDEX(in_cus_do_fee,1,C183)+BE183+INDEX(in_cus_isf_bond,1,C183)</f>
        <v>511.761804508743</v>
      </c>
      <c r="BG183" s="88" t="n">
        <f aca="false">IF(H183=1,INDEX(in_cus_cfc,1,C183)*INDEX(ct_teu,F183)*G183*(1-INDEX(in_cus_cfc_in_freight,1,C183)),0)</f>
        <v>29.6</v>
      </c>
      <c r="BH183" s="88" t="n">
        <f aca="false">IF(F183=4,1,G183)*(INDEX(in_cus_exam,1,C183)+INDEX(in_cus_exam_dray,1,C183))</f>
        <v>0</v>
      </c>
      <c r="BI183" s="88" t="n">
        <f aca="false">IF(F183=4,1,G183)*INDEX(in_cus_dem_days,1,C183)*INDEX(in_cus_dem_rate,1,C183)</f>
        <v>0</v>
      </c>
      <c r="BJ183" s="88" t="n">
        <f aca="false">BG183+BH183+BI183</f>
        <v>29.6</v>
      </c>
      <c r="BK183" s="88" t="n">
        <f aca="false">IF(F183=4,(INDEX(in_dra_lcl_cfs_d,1,C183)+INDEX(in_dra_lcl_deliv,1,C183))*P183,G183*(INDEX(tbl_dest_line,E183,C183)*P183*(1+INDEX(in_dra_fsc,1,C183))+INDEX(tbl_dest_tolls,E183,C183)+INDEX(in_dra_chassis_days,1,C183)*INDEX(tbl_dest_chassis,E183,C183)*(1-INDEX(in_dra_chassis_in_dray,1,C183))+INDEX(in_dra_wait_hours,1,C183)*INDEX(in_dra_wait_rate,1,C183)+INDEX(in_dra_split,1,C183)+INDEX(in_dra_prepull,1,C183)+INDEX(in_dra_dryrun,1,C183)))</f>
        <v>1060</v>
      </c>
      <c r="BL183" s="88" t="n">
        <f aca="false">IF(F183=4,0,G183*IF(F183=1,INDEX(in_dra_unload_20,1,C183),INDEX(in_dra_unload_40,1,C183))*Q183*(1-INDEX(in_dra_unload_in_dray,1,C183)))</f>
        <v>450</v>
      </c>
      <c r="BM183" s="88" t="n">
        <f aca="false">AL183+AN183+AO183+AR183+AU183+AZ183+BB183+BC183+BD183+BF183+BJ183+BK183+BL183</f>
        <v>20327.9130770479</v>
      </c>
      <c r="BN183" s="88" t="n">
        <f aca="false">AP183+AU183+BJ183+BK183+BL183</f>
        <v>6129.8781251658</v>
      </c>
      <c r="BO183" s="88" t="n">
        <f aca="false">AQ183+BF183</f>
        <v>1329.40086709164</v>
      </c>
      <c r="BP183" s="88" t="n">
        <f aca="false">AI183*(1+IF(K183=3,INDEX(in_sup_vat_rate,1,C183),0))+AO183*Y183/AB183+AV183*BA183+(BC183+BD183)*AV183/AY183+AZ183*AI183/AL183+BN183*AC183/AF183+BO183*Y183/AB183</f>
        <v>7118.15127339316</v>
      </c>
      <c r="BQ183" s="88" t="n">
        <f aca="false">AJ183*(1+IF(K183=3,INDEX(in_sup_vat_rate,1,C183),0))+AO183*Z183/AB183+AW183*BA183+(BC183+BD183)*AW183/AY183+AZ183*AJ183/AL183+BN183*AD183/AF183+BO183*Z183/AB183</f>
        <v>7312.78086621743</v>
      </c>
      <c r="BR183" s="88" t="n">
        <f aca="false">AK183*(1+IF(K183=3,INDEX(in_sup_vat_rate,1,C183),0))+AO183*AA183/AB183+AX183*BA183+(BC183+BD183)*AX183/AY183+AZ183*AK183/AL183+BN183*AE183/AF183+BO183*AA183/AB183</f>
        <v>5896.98093743733</v>
      </c>
      <c r="BS183" s="89" t="n">
        <f aca="false">BP183+BQ183+BR183-BM183</f>
        <v>0</v>
      </c>
      <c r="BT183" s="85" t="n">
        <f aca="false">Y183*(1-R183)</f>
        <v>25413</v>
      </c>
      <c r="BU183" s="85" t="n">
        <f aca="false">Z183*(1-R183)</f>
        <v>25413</v>
      </c>
      <c r="BV183" s="85" t="n">
        <f aca="false">AA183*(1-R183)</f>
        <v>25413</v>
      </c>
      <c r="BW183" s="85" t="n">
        <f aca="false">BT183+BU183+BV183</f>
        <v>76239</v>
      </c>
      <c r="BX183" s="90" t="n">
        <f aca="false">IF(BT183&gt;0,BP183/BT183,0)</f>
        <v>0.280098818454852</v>
      </c>
      <c r="BY183" s="90" t="n">
        <f aca="false">IF(BU183&gt;0,BQ183/BU183,0)</f>
        <v>0.28775748106156</v>
      </c>
      <c r="BZ183" s="90" t="n">
        <f aca="false">IF(BV183&gt;0,BR183/BV183,0)</f>
        <v>0.232045840217106</v>
      </c>
      <c r="CA183" s="90" t="n">
        <f aca="false">INDEX(in_mkt_listing_3464,1,C183)*(1-IF(sku_flute_3464="B",T183,0))*(1-S183)*N183</f>
        <v>0.234</v>
      </c>
      <c r="CB183" s="90" t="n">
        <f aca="false">INDEX(in_mkt_listing_3463,1,C183)*(1-IF(sku_flute_3463="B",T183,0))*(1-S183)*N183</f>
        <v>0.27</v>
      </c>
      <c r="CC183" s="90" t="n">
        <f aca="false">INDEX(in_mkt_listing_3460,1,C183)*(1-IF(sku_flute_3460="B",T183,0))*(1-S183)*N183</f>
        <v>0.225</v>
      </c>
      <c r="CD183" s="88" t="n">
        <f aca="false">BT183*CA183+BU183*CB183+BV183*CC183</f>
        <v>18526.077</v>
      </c>
      <c r="CE183" s="88" t="n">
        <f aca="false">CD183-BM183</f>
        <v>-1801.83607704791</v>
      </c>
      <c r="CF183" s="87" t="n">
        <f aca="false">IF(CD183&gt;0,CE183/CD183,0)</f>
        <v>-0.0972594509376113</v>
      </c>
      <c r="CG183" s="87" t="n">
        <f aca="false">W183+INDEX(in_sel_processing,1,C183)+INDEX(in_sel_bad_debt,1,C183)</f>
        <v>0.038</v>
      </c>
      <c r="CH183" s="88" t="n">
        <f aca="false">CD183*CG183</f>
        <v>703.990926</v>
      </c>
      <c r="CI183" s="88" t="n">
        <f aca="false">INDEX(in_sel_testing,1,C183)*X183+INDEX(in_sel_admin,1,C183)</f>
        <v>3000</v>
      </c>
      <c r="CJ183" s="79" t="n">
        <f aca="false">INDEX(in_sup_lead_days,1,C183)</f>
        <v>21</v>
      </c>
      <c r="CK183" s="79" t="n">
        <f aca="false">CJ183+INDEX(in_oce_transit,1,C183)+IF(F183=4,INDEX(in_oce_lcl_extra_days,1,C183),0)</f>
        <v>51</v>
      </c>
      <c r="CL183" s="79" t="n">
        <f aca="false">CK183+2+INDEX(in_cus_dem_days,1,C183)</f>
        <v>53</v>
      </c>
      <c r="CM183" s="79" t="n">
        <f aca="false">CL183+U183</f>
        <v>98</v>
      </c>
      <c r="CN183" s="79" t="n">
        <f aca="false">CJ183+INDEX(in_sup_vat_lag,1,C183)</f>
        <v>81</v>
      </c>
      <c r="CO183" s="91" t="n">
        <f aca="false">INDEX(in_sup_advance,1,C183)</f>
        <v>0.5</v>
      </c>
      <c r="CP183" s="88" t="n">
        <f aca="false">CO183*(AL183+AM183)+AO183+INDEX(in_sel_testing,1,C183)*X183</f>
        <v>8955.05980126879</v>
      </c>
      <c r="CQ183" s="88" t="n">
        <f aca="false">(1-CO183)*(AL183+AM183)+AR183+AU183+AZ183</f>
        <v>11937.9769890175</v>
      </c>
      <c r="CR183" s="88" t="n">
        <f aca="false">BB183+BC183+BD183+BF183+BJ183</f>
        <v>2010.32957128379</v>
      </c>
      <c r="CS183" s="88" t="n">
        <f aca="false">BK183+BL183</f>
        <v>1510</v>
      </c>
      <c r="CT183" s="88" t="n">
        <f aca="false">IF(K183=2,AM183,0)</f>
        <v>1585.45328452216</v>
      </c>
      <c r="CU183" s="85" t="n">
        <f aca="false">IF(K183=2,CO183*AM183*(CN183-0)+(1-CO183)*AM183*(CN183-CJ183),0)</f>
        <v>111774.456558812</v>
      </c>
      <c r="CV183" s="85" t="n">
        <f aca="false">(CP183-CO183*CT183)*(CM183-0)+(CQ183-(1-CO183)*CT183)*(CM183-CJ183)+CR183*(CM183-CK183)+CS183*(CM183-CL183)</f>
        <v>1820528.41613334</v>
      </c>
      <c r="CW183" s="88" t="n">
        <f aca="false">INDEX(in_sel_fin_rate,1,C183)/365*(CU183+CV183)</f>
        <v>529.398047312918</v>
      </c>
      <c r="CX183" s="85" t="n">
        <f aca="false">CP183-IF(CN183&lt;=0,CT183,0)</f>
        <v>8955.05980126879</v>
      </c>
      <c r="CY183" s="85" t="n">
        <f aca="false">CP183+CQ183-IF(CN183&lt;=CJ183,CT183,0)</f>
        <v>20893.0367902863</v>
      </c>
      <c r="CZ183" s="85" t="n">
        <f aca="false">CP183+CQ183+CR183-IF(CN183&lt;=CK183,CT183,0)</f>
        <v>22903.3663615701</v>
      </c>
      <c r="DA183" s="85" t="n">
        <f aca="false">CP183+CQ183+CR183+CS183-IF(CN183&lt;=CL183,CT183,0)</f>
        <v>24413.3663615701</v>
      </c>
      <c r="DB183" s="88" t="n">
        <f aca="false">MAX(CX183,CY183,CZ183,DA183)</f>
        <v>24413.3663615701</v>
      </c>
      <c r="DC183" s="88" t="n">
        <f aca="false">CP183+CQ183+CR183+CS183</f>
        <v>24413.3663615701</v>
      </c>
      <c r="DD183" s="88" t="n">
        <f aca="false">CE183-CH183-CI183-CW183</f>
        <v>-6035.22505036083</v>
      </c>
      <c r="DE183" s="87" t="n">
        <f aca="false">IF(CD183&gt;0,DD183/CD183,0)</f>
        <v>-0.325769187419486</v>
      </c>
      <c r="DF183" s="86" t="n">
        <f aca="false">IF(CD183&gt;0,(BM183+CI183+CW183)/(CD183*(1-CG183)),0)</f>
        <v>1.33863740895996</v>
      </c>
      <c r="DG183" s="90" t="n">
        <f aca="false">IF(BW183&gt;0,BM183/BW183,0)</f>
        <v>0.26663404657784</v>
      </c>
      <c r="DH183" s="90" t="n">
        <f aca="false">IF(BW183&gt;0,CD183/BW183,0)</f>
        <v>0.243</v>
      </c>
      <c r="DI183" s="90" t="n">
        <f aca="false">IF(AI183&gt;0,(AI183*IF(K183=3,INDEX(in_sup_vat_rate,1,C183),0)+AV183*BA183+(BC183+BD183)*AV183/AY183+AZ183*AI183/AL183)/AI183,0)</f>
        <v>0.136336711689146</v>
      </c>
      <c r="DJ183" s="90" t="n">
        <f aca="false">IF(AJ183&gt;0,(AJ183*IF(K183=3,INDEX(in_sup_vat_rate,1,C183),0)+AW183*BA183+(BC183+BD183)*AW183/AY183+AZ183*AJ183/AL183)/AJ183,0)</f>
        <v>0.136336711689146</v>
      </c>
      <c r="DK183" s="90" t="n">
        <f aca="false">IF(AK183&gt;0,(AK183*IF(K183=3,INDEX(in_sup_vat_rate,1,C183),0)+AX183*BA183+(BC183+BD183)*AX183/AY183+AZ183*AK183/AL183)/AK183,0)</f>
        <v>0.136336711689146</v>
      </c>
      <c r="DL183" s="90" t="n">
        <f aca="false">IF(Y183&gt;0,(BP183-AI183*(1+DI183))/Y183,0)</f>
        <v>0.0957837858987348</v>
      </c>
      <c r="DM183" s="90" t="n">
        <f aca="false">IF(Z183&gt;0,(BQ183-AJ183*(1+DJ183))/Z183,0)</f>
        <v>0.113339857972185</v>
      </c>
      <c r="DN183" s="90" t="n">
        <f aca="false">IF(AA183&gt;0,(BR183-AK183*(1+DK183))/AA183,0)</f>
        <v>0.0799956969142526</v>
      </c>
      <c r="DO183" s="86" t="n">
        <f aca="false">IF(Y183&gt;0,(CA183*(1-thr_gm_go)*(1-R183)-DL183)/(1+DI183)*I183/((1+AH183)*J183),"")</f>
        <v>3.57999310688847</v>
      </c>
      <c r="DP183" s="86" t="n">
        <f aca="false">IF(Z183&gt;0,(CB183*(1-thr_gm_go)*(1-R183)-DM183)/(1+DJ183)*I183/((1+AH183)*J183),"")</f>
        <v>3.99978735328661</v>
      </c>
      <c r="DQ183" s="86" t="n">
        <f aca="false">IF(AA183&gt;0,(CC183*(1-thr_gm_go)*(1-R183)-DN183)/(1+DK183)*I183/((1+AH183)*J183),"")</f>
        <v>4.00445073645962</v>
      </c>
      <c r="DR183" s="92" t="n">
        <f aca="false">IF(AND(AY183*INDEX(in_cus_mpf_rate,1,C183)&gt;INDEX(in_cus_mpf_min,1,C183),AY183*INDEX(in_cus_mpf_rate,1,C183)&lt;INDEX(in_cus_mpf_max,1,C183)),INDEX(in_cus_mpf_rate,1,C183),0)</f>
        <v>0.003464</v>
      </c>
      <c r="DS183" s="88" t="n">
        <f aca="false">IF(AZ183&gt;INDEX(in_oce_ins_min,1,C183),INDEX(in_oce_ins_rate,1,C183)*(1+INDEX(in_oce_ins_uplift,1,C183))*AL183,0)</f>
        <v>0</v>
      </c>
      <c r="DT183" s="88" t="n">
        <f aca="false">(AL183+AN183)*(1+BA183+INDEX(in_cus_hmf,1,C183)+DR183)+DS183</f>
        <v>12793.6340847905</v>
      </c>
      <c r="DU183" s="86" t="n">
        <f aca="false">IF(DT183&gt;0,(CD183*(1-thr_gm_go)-(BM183-DT183))/DT183,0)</f>
        <v>0.497144026129674</v>
      </c>
      <c r="DV183" s="86" t="n">
        <f aca="false">IF(DT183&gt;0,(CD183-(BM183-DT183))/DT183,0)</f>
        <v>0.859161512271951</v>
      </c>
      <c r="DW183" s="87" t="n">
        <f aca="false">(1+AH183)*J183*DU183-1</f>
        <v>-0.502855973870326</v>
      </c>
      <c r="DX183" s="87" t="n">
        <f aca="false">(1+AH183)*J183*DV183-1</f>
        <v>-0.140838487728049</v>
      </c>
      <c r="DY183" s="85" t="n">
        <f aca="false">IF(G183&gt;0,(CD183*(1-thr_gm_go)-(BM183-AT183))/G183,"")</f>
        <v>-2433.35532704791</v>
      </c>
      <c r="DZ183" s="90" t="n">
        <f aca="false">IF(AB183&gt;0,(AL183+AN183+BB183+BC183+BD183)/AB183,0)</f>
        <v>0.165292430036053</v>
      </c>
      <c r="EA183" s="88" t="n">
        <f aca="false">BM183-DZ183*AB183</f>
        <v>7534.27899225744</v>
      </c>
      <c r="EB183" s="90" t="n">
        <f aca="false">IF(AB183&gt;0,CD183/AB183,0)</f>
        <v>0.239355</v>
      </c>
      <c r="EC183" s="85" t="n">
        <f aca="false">IF(EB183*(1-thr_gm_go)-DZ183&gt;0,EA183/(EB183*(1-thr_gm_go)-DZ183),"n/a")</f>
        <v>529694.485121035</v>
      </c>
      <c r="ED183" s="85" t="n">
        <f aca="false">IF(EB183-DZ183&gt;0,EA183/(EB183-DZ183),"n/a")</f>
        <v>101728.565399837</v>
      </c>
      <c r="EE183" s="93" t="b">
        <f aca="false">INDEX(cfg_fits,D183,C183)</f>
        <v>1</v>
      </c>
      <c r="EF183" s="87" t="n">
        <f aca="false">IF(F183=4,"",INDEX(cfg_lenutil,D183,C183))</f>
        <v>0.999580888516345</v>
      </c>
      <c r="EG183" s="31" t="str">
        <f aca="false">IF(O183&gt;1,"Check fit (units scaled up)","")</f>
        <v/>
      </c>
    </row>
    <row r="184" customFormat="false" ht="15" hidden="false" customHeight="false" outlineLevel="0" collapsed="false">
      <c r="A184" s="78" t="n">
        <v>900030</v>
      </c>
      <c r="B184" s="9" t="s">
        <v>3332</v>
      </c>
      <c r="C184" s="10" t="n">
        <f aca="false">sel_scen</f>
        <v>2</v>
      </c>
      <c r="D184" s="10" t="n">
        <f aca="false">sel_cfg</f>
        <v>4</v>
      </c>
      <c r="E184" s="10" t="n">
        <f aca="false">sel_dest</f>
        <v>1</v>
      </c>
      <c r="F184" s="79" t="n">
        <f aca="false">INDEX(cfg_ct,D184)</f>
        <v>3</v>
      </c>
      <c r="G184" s="79" t="n">
        <f aca="false">INDEX(cfg_n,D184)</f>
        <v>1</v>
      </c>
      <c r="H184" s="79" t="n">
        <f aca="false">INDEX(dest_port,E184)</f>
        <v>1</v>
      </c>
      <c r="I184" s="80" t="n">
        <f aca="false">INDEX(in_fx_cbe,1,C184)*(1-INDEX(in_fx_spread,1,C184))</f>
        <v>52.7748</v>
      </c>
      <c r="J184" s="81" t="n">
        <f aca="false">1</f>
        <v>1</v>
      </c>
      <c r="K184" s="82" t="n">
        <f aca="false">INDEX(in_sup_vat_mode,1,C184)</f>
        <v>2</v>
      </c>
      <c r="L184" s="83" t="n">
        <f aca="false">INDEX(in_cus_s301,1,C184)</f>
        <v>0.125</v>
      </c>
      <c r="M184" s="84" t="n">
        <f aca="false">1</f>
        <v>1</v>
      </c>
      <c r="N184" s="81" t="n">
        <f aca="false">1</f>
        <v>1</v>
      </c>
      <c r="O184" s="81" t="n">
        <f aca="false">1</f>
        <v>1</v>
      </c>
      <c r="P184" s="81" t="n">
        <f aca="false">1</f>
        <v>1</v>
      </c>
      <c r="Q184" s="81" t="n">
        <f aca="false">1</f>
        <v>1</v>
      </c>
      <c r="R184" s="83" t="n">
        <f aca="false">INDEX(in_sel_damage,1,C184)</f>
        <v>0.015</v>
      </c>
      <c r="S184" s="83" t="n">
        <f aca="false">INDEX(in_mkt_dist_margin,1,C184)</f>
        <v>0.25</v>
      </c>
      <c r="T184" s="83" t="n">
        <f aca="false">INDEX(in_mkt_eflute_disc,1,C184)</f>
        <v>0.2</v>
      </c>
      <c r="U184" s="82" t="n">
        <f aca="false">INDEX(in_sel_credit_days,1,C184)</f>
        <v>45</v>
      </c>
      <c r="V184" s="81" t="n">
        <f aca="false">1</f>
        <v>1</v>
      </c>
      <c r="W184" s="28" t="n">
        <v>0.07</v>
      </c>
      <c r="X184" s="82" t="n">
        <f aca="false">1</f>
        <v>1</v>
      </c>
      <c r="Y184" s="85" t="n">
        <f aca="false">INDEX(cfg_u_3464,D184,C184)*O184</f>
        <v>25800</v>
      </c>
      <c r="Z184" s="85" t="n">
        <f aca="false">INDEX(cfg_u_3463,D184,C184)*O184</f>
        <v>25800</v>
      </c>
      <c r="AA184" s="85" t="n">
        <f aca="false">INDEX(cfg_u_3460,D184,C184)*O184</f>
        <v>25800</v>
      </c>
      <c r="AB184" s="85" t="n">
        <f aca="false">Y184+Z184+AA184</f>
        <v>77400</v>
      </c>
      <c r="AC184" s="86" t="n">
        <f aca="false">Y184*INDEX(lg_vpu_3464,C184)</f>
        <v>18.3539136</v>
      </c>
      <c r="AD184" s="86" t="n">
        <f aca="false">Z184*INDEX(lg_vpu_3463,C184)</f>
        <v>22.4530176</v>
      </c>
      <c r="AE184" s="86" t="n">
        <f aca="false">AA184*INDEX(lg_vpu_3460,C184)</f>
        <v>14.6676096</v>
      </c>
      <c r="AF184" s="86" t="n">
        <f aca="false">AC184+AD184+AE184</f>
        <v>55.4745408</v>
      </c>
      <c r="AG184" s="85" t="n">
        <f aca="false">Y184*INDEX(lg_kpu_3464,C184)+Z184*INDEX(lg_kpu_3463,C184)+AA184*INDEX(lg_kpu_3460,C184)</f>
        <v>13341.3537888</v>
      </c>
      <c r="AH184" s="87" t="n">
        <f aca="false">INDEX(in_sup_requote,1,C184)</f>
        <v>0</v>
      </c>
      <c r="AI184" s="88" t="n">
        <f aca="false">Y184*q_price_3464*(1+AH184)*J184/I184</f>
        <v>4089.39493849337</v>
      </c>
      <c r="AJ184" s="88" t="n">
        <f aca="false">Z184*q_price_3463*(1+AH184)*J184/I184</f>
        <v>3862.07053366379</v>
      </c>
      <c r="AK184" s="88" t="n">
        <f aca="false">AA184*q_price_3460*(1+AH184)*J184/I184</f>
        <v>3373.20084585825</v>
      </c>
      <c r="AL184" s="88" t="n">
        <f aca="false">AI184+AJ184+AK184</f>
        <v>11324.6663180154</v>
      </c>
      <c r="AM184" s="88" t="n">
        <f aca="false">IF(OR(K184=2,K184=3),AL184*INDEX(in_sup_vat_rate,1,C184),0)</f>
        <v>1585.45328452216</v>
      </c>
      <c r="AN184" s="88" t="n">
        <f aca="false">IF(K184=3,AM184,0)</f>
        <v>0</v>
      </c>
      <c r="AO184" s="88" t="n">
        <f aca="false">INDEX(in_sup_tooling_egp,1,C184)/I184</f>
        <v>0</v>
      </c>
      <c r="AP184" s="88" t="n">
        <f aca="false">IF(F184=4,INDEX(in_ori_lcl_truck,1,C184)*V184/I184+INDEX(in_ori_lcl_cfs_o,1,C184),G184*(IF(F184=1,INDEX(in_ori_truck_20,1,C184),INDEX(in_ori_truck_40,1,C184))*V184/I184+INDEX(in_ori_terminal,1,C184)+IF(F184=1,INDEX(in_ori_othc_20,1,C184),INDEX(in_ori_othc_40,1,C184))*(1-INDEX(in_ori_othc_in_freight,1,C184))+INDEX(in_ori_seal,1,C184)+INDEX(in_ori_inspection,1,C184)+INDEX(in_ori_dd_days,1,C184)*IF(F184=1,INDEX(in_ori_dd_20,1,C184),INDEX(in_ori_dd_40,1,C184))+INDEX(in_ori_loading_egp,1,C184)/I184))</f>
        <v>555.278125165799</v>
      </c>
      <c r="AQ184" s="88" t="n">
        <f aca="false">(INDEX(in_ori_clearance,1,C184)+INDEX(in_ori_coo,1,C184))/I184+INDEX(in_ori_bl_fee,1,C184)+INDEX(in_ori_fwd_fee,1,C184)+INDEX(in_ori_qc,1,C184)+INDEX(in_ori_wires,1,C184)*INDEX(in_ori_wire_fee,1,C184)</f>
        <v>817.639062582899</v>
      </c>
      <c r="AR184" s="88" t="n">
        <f aca="false">AP184+AQ184</f>
        <v>1372.9171877487</v>
      </c>
      <c r="AS184" s="85" t="n">
        <f aca="false">INDEX(tbl_port_diff,H184,C184)</f>
        <v>0</v>
      </c>
      <c r="AT184" s="88" t="n">
        <f aca="false">IF(F184=4,MAX(AF184*INDEX(in_oce_lcl_factor,1,C184),AG184/1000,1)*INDEX(in_oce_lcl_rate,1,C184)*M184,G184*(INDEX(tbl_ocean_rate,MIN(F184,3),C184)+AS184)*M184)</f>
        <v>4000</v>
      </c>
      <c r="AU184" s="88" t="n">
        <f aca="false">AT184+INDEX(in_oce_ams,1,C184)</f>
        <v>4035</v>
      </c>
      <c r="AV184" s="88" t="n">
        <f aca="false">AI184*(1+IF(K184=3,INDEX(in_sup_vat_rate,1,C184),0))+AO184*Y184/AB184</f>
        <v>4089.39493849337</v>
      </c>
      <c r="AW184" s="88" t="n">
        <f aca="false">AJ184*(1+IF(K184=3,INDEX(in_sup_vat_rate,1,C184),0))+AO184*Z184/AB184</f>
        <v>3862.07053366379</v>
      </c>
      <c r="AX184" s="88" t="n">
        <f aca="false">AK184*(1+IF(K184=3,INDEX(in_sup_vat_rate,1,C184),0))+AO184*AA184/AB184</f>
        <v>3373.20084585825</v>
      </c>
      <c r="AY184" s="88" t="n">
        <f aca="false">AV184+AW184+AX184</f>
        <v>11324.6663180154</v>
      </c>
      <c r="AZ184" s="88" t="n">
        <f aca="false">MAX(INDEX(in_oce_ins_min,1,C184),INDEX(in_oce_ins_rate,1,C184)*(1+INDEX(in_oce_ins_uplift,1,C184))*(AL184+AO184+AR184+AU184))*(1-INDEX(in_oce_ins_in_other,1,C184))</f>
        <v>75</v>
      </c>
      <c r="BA184" s="87" t="n">
        <f aca="false">INDEX(in_cus_mfn,1,C184)+L184</f>
        <v>0.125</v>
      </c>
      <c r="BB184" s="88" t="n">
        <f aca="false">AY184*BA184</f>
        <v>1415.58328975193</v>
      </c>
      <c r="BC184" s="88" t="n">
        <f aca="false">MIN(MAX(AY184*INDEX(in_cus_mpf_rate,1,C184),INDEX(in_cus_mpf_min,1,C184)),INDEX(in_cus_mpf_max,1,C184))</f>
        <v>39.2286441256054</v>
      </c>
      <c r="BD184" s="88" t="n">
        <f aca="false">AY184*INDEX(in_cus_hmf,1,C184)</f>
        <v>14.1558328975193</v>
      </c>
      <c r="BE184" s="88" t="n">
        <f aca="false">MAX(INDEX(in_cus_stb_min,1,C184),INDEX(in_cus_stb_rate,1,C184)/1000*(AY184+BB184+BC184+BD184))</f>
        <v>76.7618045087428</v>
      </c>
      <c r="BF184" s="88" t="n">
        <f aca="false">INDEX(in_cus_broker,1,C184)+INDEX(in_cus_isf,1,C184)+INDEX(in_cus_do_fee,1,C184)+BE184+INDEX(in_cus_isf_bond,1,C184)</f>
        <v>511.761804508743</v>
      </c>
      <c r="BG184" s="88" t="n">
        <f aca="false">IF(H184=1,INDEX(in_cus_cfc,1,C184)*INDEX(ct_teu,F184)*G184*(1-INDEX(in_cus_cfc_in_freight,1,C184)),0)</f>
        <v>29.6</v>
      </c>
      <c r="BH184" s="88" t="n">
        <f aca="false">IF(F184=4,1,G184)*(INDEX(in_cus_exam,1,C184)+INDEX(in_cus_exam_dray,1,C184))</f>
        <v>0</v>
      </c>
      <c r="BI184" s="88" t="n">
        <f aca="false">IF(F184=4,1,G184)*INDEX(in_cus_dem_days,1,C184)*INDEX(in_cus_dem_rate,1,C184)</f>
        <v>0</v>
      </c>
      <c r="BJ184" s="88" t="n">
        <f aca="false">BG184+BH184+BI184</f>
        <v>29.6</v>
      </c>
      <c r="BK184" s="88" t="n">
        <f aca="false">IF(F184=4,(INDEX(in_dra_lcl_cfs_d,1,C184)+INDEX(in_dra_lcl_deliv,1,C184))*P184,G184*(INDEX(tbl_dest_line,E184,C184)*P184*(1+INDEX(in_dra_fsc,1,C184))+INDEX(tbl_dest_tolls,E184,C184)+INDEX(in_dra_chassis_days,1,C184)*INDEX(tbl_dest_chassis,E184,C184)*(1-INDEX(in_dra_chassis_in_dray,1,C184))+INDEX(in_dra_wait_hours,1,C184)*INDEX(in_dra_wait_rate,1,C184)+INDEX(in_dra_split,1,C184)+INDEX(in_dra_prepull,1,C184)+INDEX(in_dra_dryrun,1,C184)))</f>
        <v>1060</v>
      </c>
      <c r="BL184" s="88" t="n">
        <f aca="false">IF(F184=4,0,G184*IF(F184=1,INDEX(in_dra_unload_20,1,C184),INDEX(in_dra_unload_40,1,C184))*Q184*(1-INDEX(in_dra_unload_in_dray,1,C184)))</f>
        <v>450</v>
      </c>
      <c r="BM184" s="88" t="n">
        <f aca="false">AL184+AN184+AO184+AR184+AU184+AZ184+BB184+BC184+BD184+BF184+BJ184+BK184+BL184</f>
        <v>20327.9130770479</v>
      </c>
      <c r="BN184" s="88" t="n">
        <f aca="false">AP184+AU184+BJ184+BK184+BL184</f>
        <v>6129.8781251658</v>
      </c>
      <c r="BO184" s="88" t="n">
        <f aca="false">AQ184+BF184</f>
        <v>1329.40086709164</v>
      </c>
      <c r="BP184" s="88" t="n">
        <f aca="false">AI184*(1+IF(K184=3,INDEX(in_sup_vat_rate,1,C184),0))+AO184*Y184/AB184+AV184*BA184+(BC184+BD184)*AV184/AY184+AZ184*AI184/AL184+BN184*AC184/AF184+BO184*Y184/AB184</f>
        <v>7118.15127339316</v>
      </c>
      <c r="BQ184" s="88" t="n">
        <f aca="false">AJ184*(1+IF(K184=3,INDEX(in_sup_vat_rate,1,C184),0))+AO184*Z184/AB184+AW184*BA184+(BC184+BD184)*AW184/AY184+AZ184*AJ184/AL184+BN184*AD184/AF184+BO184*Z184/AB184</f>
        <v>7312.78086621743</v>
      </c>
      <c r="BR184" s="88" t="n">
        <f aca="false">AK184*(1+IF(K184=3,INDEX(in_sup_vat_rate,1,C184),0))+AO184*AA184/AB184+AX184*BA184+(BC184+BD184)*AX184/AY184+AZ184*AK184/AL184+BN184*AE184/AF184+BO184*AA184/AB184</f>
        <v>5896.98093743733</v>
      </c>
      <c r="BS184" s="89" t="n">
        <f aca="false">BP184+BQ184+BR184-BM184</f>
        <v>0</v>
      </c>
      <c r="BT184" s="85" t="n">
        <f aca="false">Y184*(1-R184)</f>
        <v>25413</v>
      </c>
      <c r="BU184" s="85" t="n">
        <f aca="false">Z184*(1-R184)</f>
        <v>25413</v>
      </c>
      <c r="BV184" s="85" t="n">
        <f aca="false">AA184*(1-R184)</f>
        <v>25413</v>
      </c>
      <c r="BW184" s="85" t="n">
        <f aca="false">BT184+BU184+BV184</f>
        <v>76239</v>
      </c>
      <c r="BX184" s="90" t="n">
        <f aca="false">IF(BT184&gt;0,BP184/BT184,0)</f>
        <v>0.280098818454852</v>
      </c>
      <c r="BY184" s="90" t="n">
        <f aca="false">IF(BU184&gt;0,BQ184/BU184,0)</f>
        <v>0.28775748106156</v>
      </c>
      <c r="BZ184" s="90" t="n">
        <f aca="false">IF(BV184&gt;0,BR184/BV184,0)</f>
        <v>0.232045840217106</v>
      </c>
      <c r="CA184" s="90" t="n">
        <f aca="false">INDEX(in_mkt_listing_3464,1,C184)*(1-IF(sku_flute_3464="B",T184,0))*(1-S184)*N184</f>
        <v>0.234</v>
      </c>
      <c r="CB184" s="90" t="n">
        <f aca="false">INDEX(in_mkt_listing_3463,1,C184)*(1-IF(sku_flute_3463="B",T184,0))*(1-S184)*N184</f>
        <v>0.27</v>
      </c>
      <c r="CC184" s="90" t="n">
        <f aca="false">INDEX(in_mkt_listing_3460,1,C184)*(1-IF(sku_flute_3460="B",T184,0))*(1-S184)*N184</f>
        <v>0.225</v>
      </c>
      <c r="CD184" s="88" t="n">
        <f aca="false">BT184*CA184+BU184*CB184+BV184*CC184</f>
        <v>18526.077</v>
      </c>
      <c r="CE184" s="88" t="n">
        <f aca="false">CD184-BM184</f>
        <v>-1801.83607704791</v>
      </c>
      <c r="CF184" s="87" t="n">
        <f aca="false">IF(CD184&gt;0,CE184/CD184,0)</f>
        <v>-0.0972594509376113</v>
      </c>
      <c r="CG184" s="87" t="n">
        <f aca="false">W184+INDEX(in_sel_processing,1,C184)+INDEX(in_sel_bad_debt,1,C184)</f>
        <v>0.078</v>
      </c>
      <c r="CH184" s="88" t="n">
        <f aca="false">CD184*CG184</f>
        <v>1445.034006</v>
      </c>
      <c r="CI184" s="88" t="n">
        <f aca="false">INDEX(in_sel_testing,1,C184)*X184+INDEX(in_sel_admin,1,C184)</f>
        <v>3000</v>
      </c>
      <c r="CJ184" s="79" t="n">
        <f aca="false">INDEX(in_sup_lead_days,1,C184)</f>
        <v>21</v>
      </c>
      <c r="CK184" s="79" t="n">
        <f aca="false">CJ184+INDEX(in_oce_transit,1,C184)+IF(F184=4,INDEX(in_oce_lcl_extra_days,1,C184),0)</f>
        <v>51</v>
      </c>
      <c r="CL184" s="79" t="n">
        <f aca="false">CK184+2+INDEX(in_cus_dem_days,1,C184)</f>
        <v>53</v>
      </c>
      <c r="CM184" s="79" t="n">
        <f aca="false">CL184+U184</f>
        <v>98</v>
      </c>
      <c r="CN184" s="79" t="n">
        <f aca="false">CJ184+INDEX(in_sup_vat_lag,1,C184)</f>
        <v>81</v>
      </c>
      <c r="CO184" s="91" t="n">
        <f aca="false">INDEX(in_sup_advance,1,C184)</f>
        <v>0.5</v>
      </c>
      <c r="CP184" s="88" t="n">
        <f aca="false">CO184*(AL184+AM184)+AO184+INDEX(in_sel_testing,1,C184)*X184</f>
        <v>8955.05980126879</v>
      </c>
      <c r="CQ184" s="88" t="n">
        <f aca="false">(1-CO184)*(AL184+AM184)+AR184+AU184+AZ184</f>
        <v>11937.9769890175</v>
      </c>
      <c r="CR184" s="88" t="n">
        <f aca="false">BB184+BC184+BD184+BF184+BJ184</f>
        <v>2010.32957128379</v>
      </c>
      <c r="CS184" s="88" t="n">
        <f aca="false">BK184+BL184</f>
        <v>1510</v>
      </c>
      <c r="CT184" s="88" t="n">
        <f aca="false">IF(K184=2,AM184,0)</f>
        <v>1585.45328452216</v>
      </c>
      <c r="CU184" s="85" t="n">
        <f aca="false">IF(K184=2,CO184*AM184*(CN184-0)+(1-CO184)*AM184*(CN184-CJ184),0)</f>
        <v>111774.456558812</v>
      </c>
      <c r="CV184" s="85" t="n">
        <f aca="false">(CP184-CO184*CT184)*(CM184-0)+(CQ184-(1-CO184)*CT184)*(CM184-CJ184)+CR184*(CM184-CK184)+CS184*(CM184-CL184)</f>
        <v>1820528.41613334</v>
      </c>
      <c r="CW184" s="88" t="n">
        <f aca="false">INDEX(in_sel_fin_rate,1,C184)/365*(CU184+CV184)</f>
        <v>529.398047312918</v>
      </c>
      <c r="CX184" s="85" t="n">
        <f aca="false">CP184-IF(CN184&lt;=0,CT184,0)</f>
        <v>8955.05980126879</v>
      </c>
      <c r="CY184" s="85" t="n">
        <f aca="false">CP184+CQ184-IF(CN184&lt;=CJ184,CT184,0)</f>
        <v>20893.0367902863</v>
      </c>
      <c r="CZ184" s="85" t="n">
        <f aca="false">CP184+CQ184+CR184-IF(CN184&lt;=CK184,CT184,0)</f>
        <v>22903.3663615701</v>
      </c>
      <c r="DA184" s="85" t="n">
        <f aca="false">CP184+CQ184+CR184+CS184-IF(CN184&lt;=CL184,CT184,0)</f>
        <v>24413.3663615701</v>
      </c>
      <c r="DB184" s="88" t="n">
        <f aca="false">MAX(CX184,CY184,CZ184,DA184)</f>
        <v>24413.3663615701</v>
      </c>
      <c r="DC184" s="88" t="n">
        <f aca="false">CP184+CQ184+CR184+CS184</f>
        <v>24413.3663615701</v>
      </c>
      <c r="DD184" s="88" t="n">
        <f aca="false">CE184-CH184-CI184-CW184</f>
        <v>-6776.26813036083</v>
      </c>
      <c r="DE184" s="87" t="n">
        <f aca="false">IF(CD184&gt;0,DD184/CD184,0)</f>
        <v>-0.365769187419486</v>
      </c>
      <c r="DF184" s="86" t="n">
        <f aca="false">IF(CD184&gt;0,(BM184+CI184+CW184)/(CD184*(1-CG184)),0)</f>
        <v>1.39671278461983</v>
      </c>
      <c r="DG184" s="90" t="n">
        <f aca="false">IF(BW184&gt;0,BM184/BW184,0)</f>
        <v>0.26663404657784</v>
      </c>
      <c r="DH184" s="90" t="n">
        <f aca="false">IF(BW184&gt;0,CD184/BW184,0)</f>
        <v>0.243</v>
      </c>
      <c r="DI184" s="90" t="n">
        <f aca="false">IF(AI184&gt;0,(AI184*IF(K184=3,INDEX(in_sup_vat_rate,1,C184),0)+AV184*BA184+(BC184+BD184)*AV184/AY184+AZ184*AI184/AL184)/AI184,0)</f>
        <v>0.136336711689146</v>
      </c>
      <c r="DJ184" s="90" t="n">
        <f aca="false">IF(AJ184&gt;0,(AJ184*IF(K184=3,INDEX(in_sup_vat_rate,1,C184),0)+AW184*BA184+(BC184+BD184)*AW184/AY184+AZ184*AJ184/AL184)/AJ184,0)</f>
        <v>0.136336711689146</v>
      </c>
      <c r="DK184" s="90" t="n">
        <f aca="false">IF(AK184&gt;0,(AK184*IF(K184=3,INDEX(in_sup_vat_rate,1,C184),0)+AX184*BA184+(BC184+BD184)*AX184/AY184+AZ184*AK184/AL184)/AK184,0)</f>
        <v>0.136336711689146</v>
      </c>
      <c r="DL184" s="90" t="n">
        <f aca="false">IF(Y184&gt;0,(BP184-AI184*(1+DI184))/Y184,0)</f>
        <v>0.0957837858987348</v>
      </c>
      <c r="DM184" s="90" t="n">
        <f aca="false">IF(Z184&gt;0,(BQ184-AJ184*(1+DJ184))/Z184,0)</f>
        <v>0.113339857972185</v>
      </c>
      <c r="DN184" s="90" t="n">
        <f aca="false">IF(AA184&gt;0,(BR184-AK184*(1+DK184))/AA184,0)</f>
        <v>0.0799956969142526</v>
      </c>
      <c r="DO184" s="86" t="n">
        <f aca="false">IF(Y184&gt;0,(CA184*(1-thr_gm_go)*(1-R184)-DL184)/(1+DI184)*I184/((1+AH184)*J184),"")</f>
        <v>3.57999310688847</v>
      </c>
      <c r="DP184" s="86" t="n">
        <f aca="false">IF(Z184&gt;0,(CB184*(1-thr_gm_go)*(1-R184)-DM184)/(1+DJ184)*I184/((1+AH184)*J184),"")</f>
        <v>3.99978735328661</v>
      </c>
      <c r="DQ184" s="86" t="n">
        <f aca="false">IF(AA184&gt;0,(CC184*(1-thr_gm_go)*(1-R184)-DN184)/(1+DK184)*I184/((1+AH184)*J184),"")</f>
        <v>4.00445073645962</v>
      </c>
      <c r="DR184" s="92" t="n">
        <f aca="false">IF(AND(AY184*INDEX(in_cus_mpf_rate,1,C184)&gt;INDEX(in_cus_mpf_min,1,C184),AY184*INDEX(in_cus_mpf_rate,1,C184)&lt;INDEX(in_cus_mpf_max,1,C184)),INDEX(in_cus_mpf_rate,1,C184),0)</f>
        <v>0.003464</v>
      </c>
      <c r="DS184" s="88" t="n">
        <f aca="false">IF(AZ184&gt;INDEX(in_oce_ins_min,1,C184),INDEX(in_oce_ins_rate,1,C184)*(1+INDEX(in_oce_ins_uplift,1,C184))*AL184,0)</f>
        <v>0</v>
      </c>
      <c r="DT184" s="88" t="n">
        <f aca="false">(AL184+AN184)*(1+BA184+INDEX(in_cus_hmf,1,C184)+DR184)+DS184</f>
        <v>12793.6340847905</v>
      </c>
      <c r="DU184" s="86" t="n">
        <f aca="false">IF(DT184&gt;0,(CD184*(1-thr_gm_go)-(BM184-DT184))/DT184,0)</f>
        <v>0.497144026129674</v>
      </c>
      <c r="DV184" s="86" t="n">
        <f aca="false">IF(DT184&gt;0,(CD184-(BM184-DT184))/DT184,0)</f>
        <v>0.859161512271951</v>
      </c>
      <c r="DW184" s="87" t="n">
        <f aca="false">(1+AH184)*J184*DU184-1</f>
        <v>-0.502855973870326</v>
      </c>
      <c r="DX184" s="87" t="n">
        <f aca="false">(1+AH184)*J184*DV184-1</f>
        <v>-0.140838487728049</v>
      </c>
      <c r="DY184" s="85" t="n">
        <f aca="false">IF(G184&gt;0,(CD184*(1-thr_gm_go)-(BM184-AT184))/G184,"")</f>
        <v>-2433.35532704791</v>
      </c>
      <c r="DZ184" s="90" t="n">
        <f aca="false">IF(AB184&gt;0,(AL184+AN184+BB184+BC184+BD184)/AB184,0)</f>
        <v>0.165292430036053</v>
      </c>
      <c r="EA184" s="88" t="n">
        <f aca="false">BM184-DZ184*AB184</f>
        <v>7534.27899225744</v>
      </c>
      <c r="EB184" s="90" t="n">
        <f aca="false">IF(AB184&gt;0,CD184/AB184,0)</f>
        <v>0.239355</v>
      </c>
      <c r="EC184" s="85" t="n">
        <f aca="false">IF(EB184*(1-thr_gm_go)-DZ184&gt;0,EA184/(EB184*(1-thr_gm_go)-DZ184),"n/a")</f>
        <v>529694.485121035</v>
      </c>
      <c r="ED184" s="85" t="n">
        <f aca="false">IF(EB184-DZ184&gt;0,EA184/(EB184-DZ184),"n/a")</f>
        <v>101728.565399837</v>
      </c>
      <c r="EE184" s="93" t="b">
        <f aca="false">INDEX(cfg_fits,D184,C184)</f>
        <v>1</v>
      </c>
      <c r="EF184" s="87" t="n">
        <f aca="false">IF(F184=4,"",INDEX(cfg_lenutil,D184,C184))</f>
        <v>0.999580888516345</v>
      </c>
      <c r="EG184" s="31" t="str">
        <f aca="false">IF(O184&gt;1,"Check fit (units scaled up)","")</f>
        <v/>
      </c>
    </row>
    <row r="185" customFormat="false" ht="15" hidden="false" customHeight="false" outlineLevel="0" collapsed="false">
      <c r="A185" s="78" t="n">
        <v>900031</v>
      </c>
      <c r="B185" s="9" t="s">
        <v>3333</v>
      </c>
      <c r="C185" s="10" t="n">
        <f aca="false">sel_scen</f>
        <v>2</v>
      </c>
      <c r="D185" s="10" t="n">
        <f aca="false">sel_cfg</f>
        <v>4</v>
      </c>
      <c r="E185" s="10" t="n">
        <f aca="false">sel_dest</f>
        <v>1</v>
      </c>
      <c r="F185" s="79" t="n">
        <f aca="false">INDEX(cfg_ct,D185)</f>
        <v>3</v>
      </c>
      <c r="G185" s="79" t="n">
        <f aca="false">INDEX(cfg_n,D185)</f>
        <v>1</v>
      </c>
      <c r="H185" s="79" t="n">
        <f aca="false">INDEX(dest_port,E185)</f>
        <v>1</v>
      </c>
      <c r="I185" s="80" t="n">
        <f aca="false">INDEX(in_fx_cbe,1,C185)*(1-INDEX(in_fx_spread,1,C185))</f>
        <v>52.7748</v>
      </c>
      <c r="J185" s="81" t="n">
        <f aca="false">1</f>
        <v>1</v>
      </c>
      <c r="K185" s="82" t="n">
        <f aca="false">INDEX(in_sup_vat_mode,1,C185)</f>
        <v>2</v>
      </c>
      <c r="L185" s="83" t="n">
        <f aca="false">INDEX(in_cus_s301,1,C185)</f>
        <v>0.125</v>
      </c>
      <c r="M185" s="84" t="n">
        <f aca="false">1</f>
        <v>1</v>
      </c>
      <c r="N185" s="81" t="n">
        <f aca="false">1</f>
        <v>1</v>
      </c>
      <c r="O185" s="81" t="n">
        <f aca="false">1</f>
        <v>1</v>
      </c>
      <c r="P185" s="81" t="n">
        <f aca="false">1</f>
        <v>1</v>
      </c>
      <c r="Q185" s="81" t="n">
        <f aca="false">1</f>
        <v>1</v>
      </c>
      <c r="R185" s="83" t="n">
        <f aca="false">INDEX(in_sel_damage,1,C185)</f>
        <v>0.015</v>
      </c>
      <c r="S185" s="83" t="n">
        <f aca="false">INDEX(in_mkt_dist_margin,1,C185)</f>
        <v>0.25</v>
      </c>
      <c r="T185" s="83" t="n">
        <f aca="false">INDEX(in_mkt_eflute_disc,1,C185)</f>
        <v>0.2</v>
      </c>
      <c r="U185" s="82" t="n">
        <f aca="false">INDEX(in_sel_credit_days,1,C185)</f>
        <v>45</v>
      </c>
      <c r="V185" s="81" t="n">
        <f aca="false">1</f>
        <v>1</v>
      </c>
      <c r="W185" s="83" t="n">
        <f aca="false">INDEX(in_sel_commission,1,C185)</f>
        <v>0.05</v>
      </c>
      <c r="X185" s="6" t="n">
        <v>0</v>
      </c>
      <c r="Y185" s="85" t="n">
        <f aca="false">INDEX(cfg_u_3464,D185,C185)*O185</f>
        <v>25800</v>
      </c>
      <c r="Z185" s="85" t="n">
        <f aca="false">INDEX(cfg_u_3463,D185,C185)*O185</f>
        <v>25800</v>
      </c>
      <c r="AA185" s="85" t="n">
        <f aca="false">INDEX(cfg_u_3460,D185,C185)*O185</f>
        <v>25800</v>
      </c>
      <c r="AB185" s="85" t="n">
        <f aca="false">Y185+Z185+AA185</f>
        <v>77400</v>
      </c>
      <c r="AC185" s="86" t="n">
        <f aca="false">Y185*INDEX(lg_vpu_3464,C185)</f>
        <v>18.3539136</v>
      </c>
      <c r="AD185" s="86" t="n">
        <f aca="false">Z185*INDEX(lg_vpu_3463,C185)</f>
        <v>22.4530176</v>
      </c>
      <c r="AE185" s="86" t="n">
        <f aca="false">AA185*INDEX(lg_vpu_3460,C185)</f>
        <v>14.6676096</v>
      </c>
      <c r="AF185" s="86" t="n">
        <f aca="false">AC185+AD185+AE185</f>
        <v>55.4745408</v>
      </c>
      <c r="AG185" s="85" t="n">
        <f aca="false">Y185*INDEX(lg_kpu_3464,C185)+Z185*INDEX(lg_kpu_3463,C185)+AA185*INDEX(lg_kpu_3460,C185)</f>
        <v>13341.3537888</v>
      </c>
      <c r="AH185" s="87" t="n">
        <f aca="false">INDEX(in_sup_requote,1,C185)</f>
        <v>0</v>
      </c>
      <c r="AI185" s="88" t="n">
        <f aca="false">Y185*q_price_3464*(1+AH185)*J185/I185</f>
        <v>4089.39493849337</v>
      </c>
      <c r="AJ185" s="88" t="n">
        <f aca="false">Z185*q_price_3463*(1+AH185)*J185/I185</f>
        <v>3862.07053366379</v>
      </c>
      <c r="AK185" s="88" t="n">
        <f aca="false">AA185*q_price_3460*(1+AH185)*J185/I185</f>
        <v>3373.20084585825</v>
      </c>
      <c r="AL185" s="88" t="n">
        <f aca="false">AI185+AJ185+AK185</f>
        <v>11324.6663180154</v>
      </c>
      <c r="AM185" s="88" t="n">
        <f aca="false">IF(OR(K185=2,K185=3),AL185*INDEX(in_sup_vat_rate,1,C185),0)</f>
        <v>1585.45328452216</v>
      </c>
      <c r="AN185" s="88" t="n">
        <f aca="false">IF(K185=3,AM185,0)</f>
        <v>0</v>
      </c>
      <c r="AO185" s="88" t="n">
        <f aca="false">INDEX(in_sup_tooling_egp,1,C185)/I185</f>
        <v>0</v>
      </c>
      <c r="AP185" s="88" t="n">
        <f aca="false">IF(F185=4,INDEX(in_ori_lcl_truck,1,C185)*V185/I185+INDEX(in_ori_lcl_cfs_o,1,C185),G185*(IF(F185=1,INDEX(in_ori_truck_20,1,C185),INDEX(in_ori_truck_40,1,C185))*V185/I185+INDEX(in_ori_terminal,1,C185)+IF(F185=1,INDEX(in_ori_othc_20,1,C185),INDEX(in_ori_othc_40,1,C185))*(1-INDEX(in_ori_othc_in_freight,1,C185))+INDEX(in_ori_seal,1,C185)+INDEX(in_ori_inspection,1,C185)+INDEX(in_ori_dd_days,1,C185)*IF(F185=1,INDEX(in_ori_dd_20,1,C185),INDEX(in_ori_dd_40,1,C185))+INDEX(in_ori_loading_egp,1,C185)/I185))</f>
        <v>555.278125165799</v>
      </c>
      <c r="AQ185" s="88" t="n">
        <f aca="false">(INDEX(in_ori_clearance,1,C185)+INDEX(in_ori_coo,1,C185))/I185+INDEX(in_ori_bl_fee,1,C185)+INDEX(in_ori_fwd_fee,1,C185)+INDEX(in_ori_qc,1,C185)+INDEX(in_ori_wires,1,C185)*INDEX(in_ori_wire_fee,1,C185)</f>
        <v>817.639062582899</v>
      </c>
      <c r="AR185" s="88" t="n">
        <f aca="false">AP185+AQ185</f>
        <v>1372.9171877487</v>
      </c>
      <c r="AS185" s="85" t="n">
        <f aca="false">INDEX(tbl_port_diff,H185,C185)</f>
        <v>0</v>
      </c>
      <c r="AT185" s="88" t="n">
        <f aca="false">IF(F185=4,MAX(AF185*INDEX(in_oce_lcl_factor,1,C185),AG185/1000,1)*INDEX(in_oce_lcl_rate,1,C185)*M185,G185*(INDEX(tbl_ocean_rate,MIN(F185,3),C185)+AS185)*M185)</f>
        <v>4000</v>
      </c>
      <c r="AU185" s="88" t="n">
        <f aca="false">AT185+INDEX(in_oce_ams,1,C185)</f>
        <v>4035</v>
      </c>
      <c r="AV185" s="88" t="n">
        <f aca="false">AI185*(1+IF(K185=3,INDEX(in_sup_vat_rate,1,C185),0))+AO185*Y185/AB185</f>
        <v>4089.39493849337</v>
      </c>
      <c r="AW185" s="88" t="n">
        <f aca="false">AJ185*(1+IF(K185=3,INDEX(in_sup_vat_rate,1,C185),0))+AO185*Z185/AB185</f>
        <v>3862.07053366379</v>
      </c>
      <c r="AX185" s="88" t="n">
        <f aca="false">AK185*(1+IF(K185=3,INDEX(in_sup_vat_rate,1,C185),0))+AO185*AA185/AB185</f>
        <v>3373.20084585825</v>
      </c>
      <c r="AY185" s="88" t="n">
        <f aca="false">AV185+AW185+AX185</f>
        <v>11324.6663180154</v>
      </c>
      <c r="AZ185" s="88" t="n">
        <f aca="false">MAX(INDEX(in_oce_ins_min,1,C185),INDEX(in_oce_ins_rate,1,C185)*(1+INDEX(in_oce_ins_uplift,1,C185))*(AL185+AO185+AR185+AU185))*(1-INDEX(in_oce_ins_in_other,1,C185))</f>
        <v>75</v>
      </c>
      <c r="BA185" s="87" t="n">
        <f aca="false">INDEX(in_cus_mfn,1,C185)+L185</f>
        <v>0.125</v>
      </c>
      <c r="BB185" s="88" t="n">
        <f aca="false">AY185*BA185</f>
        <v>1415.58328975193</v>
      </c>
      <c r="BC185" s="88" t="n">
        <f aca="false">MIN(MAX(AY185*INDEX(in_cus_mpf_rate,1,C185),INDEX(in_cus_mpf_min,1,C185)),INDEX(in_cus_mpf_max,1,C185))</f>
        <v>39.2286441256054</v>
      </c>
      <c r="BD185" s="88" t="n">
        <f aca="false">AY185*INDEX(in_cus_hmf,1,C185)</f>
        <v>14.1558328975193</v>
      </c>
      <c r="BE185" s="88" t="n">
        <f aca="false">MAX(INDEX(in_cus_stb_min,1,C185),INDEX(in_cus_stb_rate,1,C185)/1000*(AY185+BB185+BC185+BD185))</f>
        <v>76.7618045087428</v>
      </c>
      <c r="BF185" s="88" t="n">
        <f aca="false">INDEX(in_cus_broker,1,C185)+INDEX(in_cus_isf,1,C185)+INDEX(in_cus_do_fee,1,C185)+BE185+INDEX(in_cus_isf_bond,1,C185)</f>
        <v>511.761804508743</v>
      </c>
      <c r="BG185" s="88" t="n">
        <f aca="false">IF(H185=1,INDEX(in_cus_cfc,1,C185)*INDEX(ct_teu,F185)*G185*(1-INDEX(in_cus_cfc_in_freight,1,C185)),0)</f>
        <v>29.6</v>
      </c>
      <c r="BH185" s="88" t="n">
        <f aca="false">IF(F185=4,1,G185)*(INDEX(in_cus_exam,1,C185)+INDEX(in_cus_exam_dray,1,C185))</f>
        <v>0</v>
      </c>
      <c r="BI185" s="88" t="n">
        <f aca="false">IF(F185=4,1,G185)*INDEX(in_cus_dem_days,1,C185)*INDEX(in_cus_dem_rate,1,C185)</f>
        <v>0</v>
      </c>
      <c r="BJ185" s="88" t="n">
        <f aca="false">BG185+BH185+BI185</f>
        <v>29.6</v>
      </c>
      <c r="BK185" s="88" t="n">
        <f aca="false">IF(F185=4,(INDEX(in_dra_lcl_cfs_d,1,C185)+INDEX(in_dra_lcl_deliv,1,C185))*P185,G185*(INDEX(tbl_dest_line,E185,C185)*P185*(1+INDEX(in_dra_fsc,1,C185))+INDEX(tbl_dest_tolls,E185,C185)+INDEX(in_dra_chassis_days,1,C185)*INDEX(tbl_dest_chassis,E185,C185)*(1-INDEX(in_dra_chassis_in_dray,1,C185))+INDEX(in_dra_wait_hours,1,C185)*INDEX(in_dra_wait_rate,1,C185)+INDEX(in_dra_split,1,C185)+INDEX(in_dra_prepull,1,C185)+INDEX(in_dra_dryrun,1,C185)))</f>
        <v>1060</v>
      </c>
      <c r="BL185" s="88" t="n">
        <f aca="false">IF(F185=4,0,G185*IF(F185=1,INDEX(in_dra_unload_20,1,C185),INDEX(in_dra_unload_40,1,C185))*Q185*(1-INDEX(in_dra_unload_in_dray,1,C185)))</f>
        <v>450</v>
      </c>
      <c r="BM185" s="88" t="n">
        <f aca="false">AL185+AN185+AO185+AR185+AU185+AZ185+BB185+BC185+BD185+BF185+BJ185+BK185+BL185</f>
        <v>20327.9130770479</v>
      </c>
      <c r="BN185" s="88" t="n">
        <f aca="false">AP185+AU185+BJ185+BK185+BL185</f>
        <v>6129.8781251658</v>
      </c>
      <c r="BO185" s="88" t="n">
        <f aca="false">AQ185+BF185</f>
        <v>1329.40086709164</v>
      </c>
      <c r="BP185" s="88" t="n">
        <f aca="false">AI185*(1+IF(K185=3,INDEX(in_sup_vat_rate,1,C185),0))+AO185*Y185/AB185+AV185*BA185+(BC185+BD185)*AV185/AY185+AZ185*AI185/AL185+BN185*AC185/AF185+BO185*Y185/AB185</f>
        <v>7118.15127339316</v>
      </c>
      <c r="BQ185" s="88" t="n">
        <f aca="false">AJ185*(1+IF(K185=3,INDEX(in_sup_vat_rate,1,C185),0))+AO185*Z185/AB185+AW185*BA185+(BC185+BD185)*AW185/AY185+AZ185*AJ185/AL185+BN185*AD185/AF185+BO185*Z185/AB185</f>
        <v>7312.78086621743</v>
      </c>
      <c r="BR185" s="88" t="n">
        <f aca="false">AK185*(1+IF(K185=3,INDEX(in_sup_vat_rate,1,C185),0))+AO185*AA185/AB185+AX185*BA185+(BC185+BD185)*AX185/AY185+AZ185*AK185/AL185+BN185*AE185/AF185+BO185*AA185/AB185</f>
        <v>5896.98093743733</v>
      </c>
      <c r="BS185" s="89" t="n">
        <f aca="false">BP185+BQ185+BR185-BM185</f>
        <v>0</v>
      </c>
      <c r="BT185" s="85" t="n">
        <f aca="false">Y185*(1-R185)</f>
        <v>25413</v>
      </c>
      <c r="BU185" s="85" t="n">
        <f aca="false">Z185*(1-R185)</f>
        <v>25413</v>
      </c>
      <c r="BV185" s="85" t="n">
        <f aca="false">AA185*(1-R185)</f>
        <v>25413</v>
      </c>
      <c r="BW185" s="85" t="n">
        <f aca="false">BT185+BU185+BV185</f>
        <v>76239</v>
      </c>
      <c r="BX185" s="90" t="n">
        <f aca="false">IF(BT185&gt;0,BP185/BT185,0)</f>
        <v>0.280098818454852</v>
      </c>
      <c r="BY185" s="90" t="n">
        <f aca="false">IF(BU185&gt;0,BQ185/BU185,0)</f>
        <v>0.28775748106156</v>
      </c>
      <c r="BZ185" s="90" t="n">
        <f aca="false">IF(BV185&gt;0,BR185/BV185,0)</f>
        <v>0.232045840217106</v>
      </c>
      <c r="CA185" s="90" t="n">
        <f aca="false">INDEX(in_mkt_listing_3464,1,C185)*(1-IF(sku_flute_3464="B",T185,0))*(1-S185)*N185</f>
        <v>0.234</v>
      </c>
      <c r="CB185" s="90" t="n">
        <f aca="false">INDEX(in_mkt_listing_3463,1,C185)*(1-IF(sku_flute_3463="B",T185,0))*(1-S185)*N185</f>
        <v>0.27</v>
      </c>
      <c r="CC185" s="90" t="n">
        <f aca="false">INDEX(in_mkt_listing_3460,1,C185)*(1-IF(sku_flute_3460="B",T185,0))*(1-S185)*N185</f>
        <v>0.225</v>
      </c>
      <c r="CD185" s="88" t="n">
        <f aca="false">BT185*CA185+BU185*CB185+BV185*CC185</f>
        <v>18526.077</v>
      </c>
      <c r="CE185" s="88" t="n">
        <f aca="false">CD185-BM185</f>
        <v>-1801.83607704791</v>
      </c>
      <c r="CF185" s="87" t="n">
        <f aca="false">IF(CD185&gt;0,CE185/CD185,0)</f>
        <v>-0.0972594509376113</v>
      </c>
      <c r="CG185" s="87" t="n">
        <f aca="false">W185+INDEX(in_sel_processing,1,C185)+INDEX(in_sel_bad_debt,1,C185)</f>
        <v>0.058</v>
      </c>
      <c r="CH185" s="88" t="n">
        <f aca="false">CD185*CG185</f>
        <v>1074.512466</v>
      </c>
      <c r="CI185" s="88" t="n">
        <f aca="false">INDEX(in_sel_testing,1,C185)*X185+INDEX(in_sel_admin,1,C185)</f>
        <v>500</v>
      </c>
      <c r="CJ185" s="79" t="n">
        <f aca="false">INDEX(in_sup_lead_days,1,C185)</f>
        <v>21</v>
      </c>
      <c r="CK185" s="79" t="n">
        <f aca="false">CJ185+INDEX(in_oce_transit,1,C185)+IF(F185=4,INDEX(in_oce_lcl_extra_days,1,C185),0)</f>
        <v>51</v>
      </c>
      <c r="CL185" s="79" t="n">
        <f aca="false">CK185+2+INDEX(in_cus_dem_days,1,C185)</f>
        <v>53</v>
      </c>
      <c r="CM185" s="79" t="n">
        <f aca="false">CL185+U185</f>
        <v>98</v>
      </c>
      <c r="CN185" s="79" t="n">
        <f aca="false">CJ185+INDEX(in_sup_vat_lag,1,C185)</f>
        <v>81</v>
      </c>
      <c r="CO185" s="91" t="n">
        <f aca="false">INDEX(in_sup_advance,1,C185)</f>
        <v>0.5</v>
      </c>
      <c r="CP185" s="88" t="n">
        <f aca="false">CO185*(AL185+AM185)+AO185+INDEX(in_sel_testing,1,C185)*X185</f>
        <v>6455.05980126879</v>
      </c>
      <c r="CQ185" s="88" t="n">
        <f aca="false">(1-CO185)*(AL185+AM185)+AR185+AU185+AZ185</f>
        <v>11937.9769890175</v>
      </c>
      <c r="CR185" s="88" t="n">
        <f aca="false">BB185+BC185+BD185+BF185+BJ185</f>
        <v>2010.32957128379</v>
      </c>
      <c r="CS185" s="88" t="n">
        <f aca="false">BK185+BL185</f>
        <v>1510</v>
      </c>
      <c r="CT185" s="88" t="n">
        <f aca="false">IF(K185=2,AM185,0)</f>
        <v>1585.45328452216</v>
      </c>
      <c r="CU185" s="85" t="n">
        <f aca="false">IF(K185=2,CO185*AM185*(CN185-0)+(1-CO185)*AM185*(CN185-CJ185),0)</f>
        <v>111774.456558812</v>
      </c>
      <c r="CV185" s="85" t="n">
        <f aca="false">(CP185-CO185*CT185)*(CM185-0)+(CQ185-(1-CO185)*CT185)*(CM185-CJ185)+CR185*(CM185-CK185)+CS185*(CM185-CL185)</f>
        <v>1575528.41613334</v>
      </c>
      <c r="CW185" s="88" t="n">
        <f aca="false">INDEX(in_sel_fin_rate,1,C185)/365*(CU185+CV185)</f>
        <v>462.274759641685</v>
      </c>
      <c r="CX185" s="85" t="n">
        <f aca="false">CP185-IF(CN185&lt;=0,CT185,0)</f>
        <v>6455.05980126879</v>
      </c>
      <c r="CY185" s="85" t="n">
        <f aca="false">CP185+CQ185-IF(CN185&lt;=CJ185,CT185,0)</f>
        <v>18393.0367902863</v>
      </c>
      <c r="CZ185" s="85" t="n">
        <f aca="false">CP185+CQ185+CR185-IF(CN185&lt;=CK185,CT185,0)</f>
        <v>20403.3663615701</v>
      </c>
      <c r="DA185" s="85" t="n">
        <f aca="false">CP185+CQ185+CR185+CS185-IF(CN185&lt;=CL185,CT185,0)</f>
        <v>21913.3663615701</v>
      </c>
      <c r="DB185" s="88" t="n">
        <f aca="false">MAX(CX185,CY185,CZ185,DA185)</f>
        <v>21913.3663615701</v>
      </c>
      <c r="DC185" s="88" t="n">
        <f aca="false">CP185+CQ185+CR185+CS185</f>
        <v>21913.3663615701</v>
      </c>
      <c r="DD185" s="88" t="n">
        <f aca="false">CE185-CH185-CI185-CW185</f>
        <v>-3838.62330268959</v>
      </c>
      <c r="DE185" s="87" t="n">
        <f aca="false">IF(CD185&gt;0,DD185/CD185,0)</f>
        <v>-0.20720108756374</v>
      </c>
      <c r="DF185" s="86" t="n">
        <f aca="false">IF(CD185&gt;0,(BM185+CI185+CW185)/(CD185*(1-CG185)),0)</f>
        <v>1.21995869168125</v>
      </c>
      <c r="DG185" s="90" t="n">
        <f aca="false">IF(BW185&gt;0,BM185/BW185,0)</f>
        <v>0.26663404657784</v>
      </c>
      <c r="DH185" s="90" t="n">
        <f aca="false">IF(BW185&gt;0,CD185/BW185,0)</f>
        <v>0.243</v>
      </c>
      <c r="DI185" s="90" t="n">
        <f aca="false">IF(AI185&gt;0,(AI185*IF(K185=3,INDEX(in_sup_vat_rate,1,C185),0)+AV185*BA185+(BC185+BD185)*AV185/AY185+AZ185*AI185/AL185)/AI185,0)</f>
        <v>0.136336711689146</v>
      </c>
      <c r="DJ185" s="90" t="n">
        <f aca="false">IF(AJ185&gt;0,(AJ185*IF(K185=3,INDEX(in_sup_vat_rate,1,C185),0)+AW185*BA185+(BC185+BD185)*AW185/AY185+AZ185*AJ185/AL185)/AJ185,0)</f>
        <v>0.136336711689146</v>
      </c>
      <c r="DK185" s="90" t="n">
        <f aca="false">IF(AK185&gt;0,(AK185*IF(K185=3,INDEX(in_sup_vat_rate,1,C185),0)+AX185*BA185+(BC185+BD185)*AX185/AY185+AZ185*AK185/AL185)/AK185,0)</f>
        <v>0.136336711689146</v>
      </c>
      <c r="DL185" s="90" t="n">
        <f aca="false">IF(Y185&gt;0,(BP185-AI185*(1+DI185))/Y185,0)</f>
        <v>0.0957837858987348</v>
      </c>
      <c r="DM185" s="90" t="n">
        <f aca="false">IF(Z185&gt;0,(BQ185-AJ185*(1+DJ185))/Z185,0)</f>
        <v>0.113339857972185</v>
      </c>
      <c r="DN185" s="90" t="n">
        <f aca="false">IF(AA185&gt;0,(BR185-AK185*(1+DK185))/AA185,0)</f>
        <v>0.0799956969142526</v>
      </c>
      <c r="DO185" s="86" t="n">
        <f aca="false">IF(Y185&gt;0,(CA185*(1-thr_gm_go)*(1-R185)-DL185)/(1+DI185)*I185/((1+AH185)*J185),"")</f>
        <v>3.57999310688847</v>
      </c>
      <c r="DP185" s="86" t="n">
        <f aca="false">IF(Z185&gt;0,(CB185*(1-thr_gm_go)*(1-R185)-DM185)/(1+DJ185)*I185/((1+AH185)*J185),"")</f>
        <v>3.99978735328661</v>
      </c>
      <c r="DQ185" s="86" t="n">
        <f aca="false">IF(AA185&gt;0,(CC185*(1-thr_gm_go)*(1-R185)-DN185)/(1+DK185)*I185/((1+AH185)*J185),"")</f>
        <v>4.00445073645962</v>
      </c>
      <c r="DR185" s="92" t="n">
        <f aca="false">IF(AND(AY185*INDEX(in_cus_mpf_rate,1,C185)&gt;INDEX(in_cus_mpf_min,1,C185),AY185*INDEX(in_cus_mpf_rate,1,C185)&lt;INDEX(in_cus_mpf_max,1,C185)),INDEX(in_cus_mpf_rate,1,C185),0)</f>
        <v>0.003464</v>
      </c>
      <c r="DS185" s="88" t="n">
        <f aca="false">IF(AZ185&gt;INDEX(in_oce_ins_min,1,C185),INDEX(in_oce_ins_rate,1,C185)*(1+INDEX(in_oce_ins_uplift,1,C185))*AL185,0)</f>
        <v>0</v>
      </c>
      <c r="DT185" s="88" t="n">
        <f aca="false">(AL185+AN185)*(1+BA185+INDEX(in_cus_hmf,1,C185)+DR185)+DS185</f>
        <v>12793.6340847905</v>
      </c>
      <c r="DU185" s="86" t="n">
        <f aca="false">IF(DT185&gt;0,(CD185*(1-thr_gm_go)-(BM185-DT185))/DT185,0)</f>
        <v>0.497144026129674</v>
      </c>
      <c r="DV185" s="86" t="n">
        <f aca="false">IF(DT185&gt;0,(CD185-(BM185-DT185))/DT185,0)</f>
        <v>0.859161512271951</v>
      </c>
      <c r="DW185" s="87" t="n">
        <f aca="false">(1+AH185)*J185*DU185-1</f>
        <v>-0.502855973870326</v>
      </c>
      <c r="DX185" s="87" t="n">
        <f aca="false">(1+AH185)*J185*DV185-1</f>
        <v>-0.140838487728049</v>
      </c>
      <c r="DY185" s="85" t="n">
        <f aca="false">IF(G185&gt;0,(CD185*(1-thr_gm_go)-(BM185-AT185))/G185,"")</f>
        <v>-2433.35532704791</v>
      </c>
      <c r="DZ185" s="90" t="n">
        <f aca="false">IF(AB185&gt;0,(AL185+AN185+BB185+BC185+BD185)/AB185,0)</f>
        <v>0.165292430036053</v>
      </c>
      <c r="EA185" s="88" t="n">
        <f aca="false">BM185-DZ185*AB185</f>
        <v>7534.27899225744</v>
      </c>
      <c r="EB185" s="90" t="n">
        <f aca="false">IF(AB185&gt;0,CD185/AB185,0)</f>
        <v>0.239355</v>
      </c>
      <c r="EC185" s="85" t="n">
        <f aca="false">IF(EB185*(1-thr_gm_go)-DZ185&gt;0,EA185/(EB185*(1-thr_gm_go)-DZ185),"n/a")</f>
        <v>529694.485121035</v>
      </c>
      <c r="ED185" s="85" t="n">
        <f aca="false">IF(EB185-DZ185&gt;0,EA185/(EB185-DZ185),"n/a")</f>
        <v>101728.565399837</v>
      </c>
      <c r="EE185" s="93" t="b">
        <f aca="false">INDEX(cfg_fits,D185,C185)</f>
        <v>1</v>
      </c>
      <c r="EF185" s="87" t="n">
        <f aca="false">IF(F185=4,"",INDEX(cfg_lenutil,D185,C185))</f>
        <v>0.999580888516345</v>
      </c>
      <c r="EG185" s="31" t="str">
        <f aca="false">IF(O185&gt;1,"Check fit (units scaled up)","")</f>
        <v/>
      </c>
    </row>
    <row r="186" customFormat="false" ht="15" hidden="false" customHeight="false" outlineLevel="0" collapsed="false">
      <c r="A186" s="78" t="n">
        <v>900032</v>
      </c>
      <c r="B186" s="9" t="s">
        <v>3334</v>
      </c>
      <c r="C186" s="10" t="n">
        <f aca="false">sel_scen</f>
        <v>2</v>
      </c>
      <c r="D186" s="10" t="n">
        <f aca="false">sel_cfg</f>
        <v>4</v>
      </c>
      <c r="E186" s="10" t="n">
        <f aca="false">sel_dest</f>
        <v>1</v>
      </c>
      <c r="F186" s="79" t="n">
        <f aca="false">INDEX(cfg_ct,D186)</f>
        <v>3</v>
      </c>
      <c r="G186" s="79" t="n">
        <f aca="false">INDEX(cfg_n,D186)</f>
        <v>1</v>
      </c>
      <c r="H186" s="79" t="n">
        <f aca="false">INDEX(dest_port,E186)</f>
        <v>1</v>
      </c>
      <c r="I186" s="80" t="n">
        <f aca="false">INDEX(in_fx_cbe,1,C186)*(1-INDEX(in_fx_spread,1,C186))</f>
        <v>52.7748</v>
      </c>
      <c r="J186" s="81" t="n">
        <f aca="false">1</f>
        <v>1</v>
      </c>
      <c r="K186" s="82" t="n">
        <f aca="false">INDEX(in_sup_vat_mode,1,C186)</f>
        <v>2</v>
      </c>
      <c r="L186" s="83" t="n">
        <f aca="false">INDEX(in_cus_s301,1,C186)</f>
        <v>0.125</v>
      </c>
      <c r="M186" s="84" t="n">
        <f aca="false">1</f>
        <v>1</v>
      </c>
      <c r="N186" s="81" t="n">
        <f aca="false">1</f>
        <v>1</v>
      </c>
      <c r="O186" s="81" t="n">
        <f aca="false">1</f>
        <v>1</v>
      </c>
      <c r="P186" s="81" t="n">
        <f aca="false">1</f>
        <v>1</v>
      </c>
      <c r="Q186" s="81" t="n">
        <f aca="false">1</f>
        <v>1</v>
      </c>
      <c r="R186" s="83" t="n">
        <f aca="false">INDEX(in_sel_damage,1,C186)</f>
        <v>0.015</v>
      </c>
      <c r="S186" s="28" t="n">
        <v>0</v>
      </c>
      <c r="T186" s="83" t="n">
        <f aca="false">INDEX(in_mkt_eflute_disc,1,C186)</f>
        <v>0.2</v>
      </c>
      <c r="U186" s="82" t="n">
        <f aca="false">INDEX(in_sel_credit_days,1,C186)</f>
        <v>45</v>
      </c>
      <c r="V186" s="81" t="n">
        <f aca="false">1</f>
        <v>1</v>
      </c>
      <c r="W186" s="83" t="n">
        <f aca="false">INDEX(in_sel_commission,1,C186)</f>
        <v>0.05</v>
      </c>
      <c r="X186" s="82" t="n">
        <f aca="false">1</f>
        <v>1</v>
      </c>
      <c r="Y186" s="85" t="n">
        <f aca="false">INDEX(cfg_u_3464,D186,C186)*O186</f>
        <v>25800</v>
      </c>
      <c r="Z186" s="85" t="n">
        <f aca="false">INDEX(cfg_u_3463,D186,C186)*O186</f>
        <v>25800</v>
      </c>
      <c r="AA186" s="85" t="n">
        <f aca="false">INDEX(cfg_u_3460,D186,C186)*O186</f>
        <v>25800</v>
      </c>
      <c r="AB186" s="85" t="n">
        <f aca="false">Y186+Z186+AA186</f>
        <v>77400</v>
      </c>
      <c r="AC186" s="86" t="n">
        <f aca="false">Y186*INDEX(lg_vpu_3464,C186)</f>
        <v>18.3539136</v>
      </c>
      <c r="AD186" s="86" t="n">
        <f aca="false">Z186*INDEX(lg_vpu_3463,C186)</f>
        <v>22.4530176</v>
      </c>
      <c r="AE186" s="86" t="n">
        <f aca="false">AA186*INDEX(lg_vpu_3460,C186)</f>
        <v>14.6676096</v>
      </c>
      <c r="AF186" s="86" t="n">
        <f aca="false">AC186+AD186+AE186</f>
        <v>55.4745408</v>
      </c>
      <c r="AG186" s="85" t="n">
        <f aca="false">Y186*INDEX(lg_kpu_3464,C186)+Z186*INDEX(lg_kpu_3463,C186)+AA186*INDEX(lg_kpu_3460,C186)</f>
        <v>13341.3537888</v>
      </c>
      <c r="AH186" s="87" t="n">
        <f aca="false">INDEX(in_sup_requote,1,C186)</f>
        <v>0</v>
      </c>
      <c r="AI186" s="88" t="n">
        <f aca="false">Y186*q_price_3464*(1+AH186)*J186/I186</f>
        <v>4089.39493849337</v>
      </c>
      <c r="AJ186" s="88" t="n">
        <f aca="false">Z186*q_price_3463*(1+AH186)*J186/I186</f>
        <v>3862.07053366379</v>
      </c>
      <c r="AK186" s="88" t="n">
        <f aca="false">AA186*q_price_3460*(1+AH186)*J186/I186</f>
        <v>3373.20084585825</v>
      </c>
      <c r="AL186" s="88" t="n">
        <f aca="false">AI186+AJ186+AK186</f>
        <v>11324.6663180154</v>
      </c>
      <c r="AM186" s="88" t="n">
        <f aca="false">IF(OR(K186=2,K186=3),AL186*INDEX(in_sup_vat_rate,1,C186),0)</f>
        <v>1585.45328452216</v>
      </c>
      <c r="AN186" s="88" t="n">
        <f aca="false">IF(K186=3,AM186,0)</f>
        <v>0</v>
      </c>
      <c r="AO186" s="88" t="n">
        <f aca="false">INDEX(in_sup_tooling_egp,1,C186)/I186</f>
        <v>0</v>
      </c>
      <c r="AP186" s="88" t="n">
        <f aca="false">IF(F186=4,INDEX(in_ori_lcl_truck,1,C186)*V186/I186+INDEX(in_ori_lcl_cfs_o,1,C186),G186*(IF(F186=1,INDEX(in_ori_truck_20,1,C186),INDEX(in_ori_truck_40,1,C186))*V186/I186+INDEX(in_ori_terminal,1,C186)+IF(F186=1,INDEX(in_ori_othc_20,1,C186),INDEX(in_ori_othc_40,1,C186))*(1-INDEX(in_ori_othc_in_freight,1,C186))+INDEX(in_ori_seal,1,C186)+INDEX(in_ori_inspection,1,C186)+INDEX(in_ori_dd_days,1,C186)*IF(F186=1,INDEX(in_ori_dd_20,1,C186),INDEX(in_ori_dd_40,1,C186))+INDEX(in_ori_loading_egp,1,C186)/I186))</f>
        <v>555.278125165799</v>
      </c>
      <c r="AQ186" s="88" t="n">
        <f aca="false">(INDEX(in_ori_clearance,1,C186)+INDEX(in_ori_coo,1,C186))/I186+INDEX(in_ori_bl_fee,1,C186)+INDEX(in_ori_fwd_fee,1,C186)+INDEX(in_ori_qc,1,C186)+INDEX(in_ori_wires,1,C186)*INDEX(in_ori_wire_fee,1,C186)</f>
        <v>817.639062582899</v>
      </c>
      <c r="AR186" s="88" t="n">
        <f aca="false">AP186+AQ186</f>
        <v>1372.9171877487</v>
      </c>
      <c r="AS186" s="85" t="n">
        <f aca="false">INDEX(tbl_port_diff,H186,C186)</f>
        <v>0</v>
      </c>
      <c r="AT186" s="88" t="n">
        <f aca="false">IF(F186=4,MAX(AF186*INDEX(in_oce_lcl_factor,1,C186),AG186/1000,1)*INDEX(in_oce_lcl_rate,1,C186)*M186,G186*(INDEX(tbl_ocean_rate,MIN(F186,3),C186)+AS186)*M186)</f>
        <v>4000</v>
      </c>
      <c r="AU186" s="88" t="n">
        <f aca="false">AT186+INDEX(in_oce_ams,1,C186)</f>
        <v>4035</v>
      </c>
      <c r="AV186" s="88" t="n">
        <f aca="false">AI186*(1+IF(K186=3,INDEX(in_sup_vat_rate,1,C186),0))+AO186*Y186/AB186</f>
        <v>4089.39493849337</v>
      </c>
      <c r="AW186" s="88" t="n">
        <f aca="false">AJ186*(1+IF(K186=3,INDEX(in_sup_vat_rate,1,C186),0))+AO186*Z186/AB186</f>
        <v>3862.07053366379</v>
      </c>
      <c r="AX186" s="88" t="n">
        <f aca="false">AK186*(1+IF(K186=3,INDEX(in_sup_vat_rate,1,C186),0))+AO186*AA186/AB186</f>
        <v>3373.20084585825</v>
      </c>
      <c r="AY186" s="88" t="n">
        <f aca="false">AV186+AW186+AX186</f>
        <v>11324.6663180154</v>
      </c>
      <c r="AZ186" s="88" t="n">
        <f aca="false">MAX(INDEX(in_oce_ins_min,1,C186),INDEX(in_oce_ins_rate,1,C186)*(1+INDEX(in_oce_ins_uplift,1,C186))*(AL186+AO186+AR186+AU186))*(1-INDEX(in_oce_ins_in_other,1,C186))</f>
        <v>75</v>
      </c>
      <c r="BA186" s="87" t="n">
        <f aca="false">INDEX(in_cus_mfn,1,C186)+L186</f>
        <v>0.125</v>
      </c>
      <c r="BB186" s="88" t="n">
        <f aca="false">AY186*BA186</f>
        <v>1415.58328975193</v>
      </c>
      <c r="BC186" s="88" t="n">
        <f aca="false">MIN(MAX(AY186*INDEX(in_cus_mpf_rate,1,C186),INDEX(in_cus_mpf_min,1,C186)),INDEX(in_cus_mpf_max,1,C186))</f>
        <v>39.2286441256054</v>
      </c>
      <c r="BD186" s="88" t="n">
        <f aca="false">AY186*INDEX(in_cus_hmf,1,C186)</f>
        <v>14.1558328975193</v>
      </c>
      <c r="BE186" s="88" t="n">
        <f aca="false">MAX(INDEX(in_cus_stb_min,1,C186),INDEX(in_cus_stb_rate,1,C186)/1000*(AY186+BB186+BC186+BD186))</f>
        <v>76.7618045087428</v>
      </c>
      <c r="BF186" s="88" t="n">
        <f aca="false">INDEX(in_cus_broker,1,C186)+INDEX(in_cus_isf,1,C186)+INDEX(in_cus_do_fee,1,C186)+BE186+INDEX(in_cus_isf_bond,1,C186)</f>
        <v>511.761804508743</v>
      </c>
      <c r="BG186" s="88" t="n">
        <f aca="false">IF(H186=1,INDEX(in_cus_cfc,1,C186)*INDEX(ct_teu,F186)*G186*(1-INDEX(in_cus_cfc_in_freight,1,C186)),0)</f>
        <v>29.6</v>
      </c>
      <c r="BH186" s="88" t="n">
        <f aca="false">IF(F186=4,1,G186)*(INDEX(in_cus_exam,1,C186)+INDEX(in_cus_exam_dray,1,C186))</f>
        <v>0</v>
      </c>
      <c r="BI186" s="88" t="n">
        <f aca="false">IF(F186=4,1,G186)*INDEX(in_cus_dem_days,1,C186)*INDEX(in_cus_dem_rate,1,C186)</f>
        <v>0</v>
      </c>
      <c r="BJ186" s="88" t="n">
        <f aca="false">BG186+BH186+BI186</f>
        <v>29.6</v>
      </c>
      <c r="BK186" s="88" t="n">
        <f aca="false">IF(F186=4,(INDEX(in_dra_lcl_cfs_d,1,C186)+INDEX(in_dra_lcl_deliv,1,C186))*P186,G186*(INDEX(tbl_dest_line,E186,C186)*P186*(1+INDEX(in_dra_fsc,1,C186))+INDEX(tbl_dest_tolls,E186,C186)+INDEX(in_dra_chassis_days,1,C186)*INDEX(tbl_dest_chassis,E186,C186)*(1-INDEX(in_dra_chassis_in_dray,1,C186))+INDEX(in_dra_wait_hours,1,C186)*INDEX(in_dra_wait_rate,1,C186)+INDEX(in_dra_split,1,C186)+INDEX(in_dra_prepull,1,C186)+INDEX(in_dra_dryrun,1,C186)))</f>
        <v>1060</v>
      </c>
      <c r="BL186" s="88" t="n">
        <f aca="false">IF(F186=4,0,G186*IF(F186=1,INDEX(in_dra_unload_20,1,C186),INDEX(in_dra_unload_40,1,C186))*Q186*(1-INDEX(in_dra_unload_in_dray,1,C186)))</f>
        <v>450</v>
      </c>
      <c r="BM186" s="88" t="n">
        <f aca="false">AL186+AN186+AO186+AR186+AU186+AZ186+BB186+BC186+BD186+BF186+BJ186+BK186+BL186</f>
        <v>20327.9130770479</v>
      </c>
      <c r="BN186" s="88" t="n">
        <f aca="false">AP186+AU186+BJ186+BK186+BL186</f>
        <v>6129.8781251658</v>
      </c>
      <c r="BO186" s="88" t="n">
        <f aca="false">AQ186+BF186</f>
        <v>1329.40086709164</v>
      </c>
      <c r="BP186" s="88" t="n">
        <f aca="false">AI186*(1+IF(K186=3,INDEX(in_sup_vat_rate,1,C186),0))+AO186*Y186/AB186+AV186*BA186+(BC186+BD186)*AV186/AY186+AZ186*AI186/AL186+BN186*AC186/AF186+BO186*Y186/AB186</f>
        <v>7118.15127339316</v>
      </c>
      <c r="BQ186" s="88" t="n">
        <f aca="false">AJ186*(1+IF(K186=3,INDEX(in_sup_vat_rate,1,C186),0))+AO186*Z186/AB186+AW186*BA186+(BC186+BD186)*AW186/AY186+AZ186*AJ186/AL186+BN186*AD186/AF186+BO186*Z186/AB186</f>
        <v>7312.78086621743</v>
      </c>
      <c r="BR186" s="88" t="n">
        <f aca="false">AK186*(1+IF(K186=3,INDEX(in_sup_vat_rate,1,C186),0))+AO186*AA186/AB186+AX186*BA186+(BC186+BD186)*AX186/AY186+AZ186*AK186/AL186+BN186*AE186/AF186+BO186*AA186/AB186</f>
        <v>5896.98093743733</v>
      </c>
      <c r="BS186" s="89" t="n">
        <f aca="false">BP186+BQ186+BR186-BM186</f>
        <v>0</v>
      </c>
      <c r="BT186" s="85" t="n">
        <f aca="false">Y186*(1-R186)</f>
        <v>25413</v>
      </c>
      <c r="BU186" s="85" t="n">
        <f aca="false">Z186*(1-R186)</f>
        <v>25413</v>
      </c>
      <c r="BV186" s="85" t="n">
        <f aca="false">AA186*(1-R186)</f>
        <v>25413</v>
      </c>
      <c r="BW186" s="85" t="n">
        <f aca="false">BT186+BU186+BV186</f>
        <v>76239</v>
      </c>
      <c r="BX186" s="90" t="n">
        <f aca="false">IF(BT186&gt;0,BP186/BT186,0)</f>
        <v>0.280098818454852</v>
      </c>
      <c r="BY186" s="90" t="n">
        <f aca="false">IF(BU186&gt;0,BQ186/BU186,0)</f>
        <v>0.28775748106156</v>
      </c>
      <c r="BZ186" s="90" t="n">
        <f aca="false">IF(BV186&gt;0,BR186/BV186,0)</f>
        <v>0.232045840217106</v>
      </c>
      <c r="CA186" s="90" t="n">
        <f aca="false">INDEX(in_mkt_listing_3464,1,C186)*(1-IF(sku_flute_3464="B",T186,0))*(1-S186)*N186</f>
        <v>0.312</v>
      </c>
      <c r="CB186" s="90" t="n">
        <f aca="false">INDEX(in_mkt_listing_3463,1,C186)*(1-IF(sku_flute_3463="B",T186,0))*(1-S186)*N186</f>
        <v>0.36</v>
      </c>
      <c r="CC186" s="90" t="n">
        <f aca="false">INDEX(in_mkt_listing_3460,1,C186)*(1-IF(sku_flute_3460="B",T186,0))*(1-S186)*N186</f>
        <v>0.3</v>
      </c>
      <c r="CD186" s="88" t="n">
        <f aca="false">BT186*CA186+BU186*CB186+BV186*CC186</f>
        <v>24701.436</v>
      </c>
      <c r="CE186" s="88" t="n">
        <f aca="false">CD186-BM186</f>
        <v>4373.52292295209</v>
      </c>
      <c r="CF186" s="87" t="n">
        <f aca="false">IF(CD186&gt;0,CE186/CD186,0)</f>
        <v>0.177055411796792</v>
      </c>
      <c r="CG186" s="87" t="n">
        <f aca="false">W186+INDEX(in_sel_processing,1,C186)+INDEX(in_sel_bad_debt,1,C186)</f>
        <v>0.058</v>
      </c>
      <c r="CH186" s="88" t="n">
        <f aca="false">CD186*CG186</f>
        <v>1432.683288</v>
      </c>
      <c r="CI186" s="88" t="n">
        <f aca="false">INDEX(in_sel_testing,1,C186)*X186+INDEX(in_sel_admin,1,C186)</f>
        <v>3000</v>
      </c>
      <c r="CJ186" s="79" t="n">
        <f aca="false">INDEX(in_sup_lead_days,1,C186)</f>
        <v>21</v>
      </c>
      <c r="CK186" s="79" t="n">
        <f aca="false">CJ186+INDEX(in_oce_transit,1,C186)+IF(F186=4,INDEX(in_oce_lcl_extra_days,1,C186),0)</f>
        <v>51</v>
      </c>
      <c r="CL186" s="79" t="n">
        <f aca="false">CK186+2+INDEX(in_cus_dem_days,1,C186)</f>
        <v>53</v>
      </c>
      <c r="CM186" s="79" t="n">
        <f aca="false">CL186+U186</f>
        <v>98</v>
      </c>
      <c r="CN186" s="79" t="n">
        <f aca="false">CJ186+INDEX(in_sup_vat_lag,1,C186)</f>
        <v>81</v>
      </c>
      <c r="CO186" s="91" t="n">
        <f aca="false">INDEX(in_sup_advance,1,C186)</f>
        <v>0.5</v>
      </c>
      <c r="CP186" s="88" t="n">
        <f aca="false">CO186*(AL186+AM186)+AO186+INDEX(in_sel_testing,1,C186)*X186</f>
        <v>8955.05980126879</v>
      </c>
      <c r="CQ186" s="88" t="n">
        <f aca="false">(1-CO186)*(AL186+AM186)+AR186+AU186+AZ186</f>
        <v>11937.9769890175</v>
      </c>
      <c r="CR186" s="88" t="n">
        <f aca="false">BB186+BC186+BD186+BF186+BJ186</f>
        <v>2010.32957128379</v>
      </c>
      <c r="CS186" s="88" t="n">
        <f aca="false">BK186+BL186</f>
        <v>1510</v>
      </c>
      <c r="CT186" s="88" t="n">
        <f aca="false">IF(K186=2,AM186,0)</f>
        <v>1585.45328452216</v>
      </c>
      <c r="CU186" s="85" t="n">
        <f aca="false">IF(K186=2,CO186*AM186*(CN186-0)+(1-CO186)*AM186*(CN186-CJ186),0)</f>
        <v>111774.456558812</v>
      </c>
      <c r="CV186" s="85" t="n">
        <f aca="false">(CP186-CO186*CT186)*(CM186-0)+(CQ186-(1-CO186)*CT186)*(CM186-CJ186)+CR186*(CM186-CK186)+CS186*(CM186-CL186)</f>
        <v>1820528.41613334</v>
      </c>
      <c r="CW186" s="88" t="n">
        <f aca="false">INDEX(in_sel_fin_rate,1,C186)/365*(CU186+CV186)</f>
        <v>529.398047312918</v>
      </c>
      <c r="CX186" s="85" t="n">
        <f aca="false">CP186-IF(CN186&lt;=0,CT186,0)</f>
        <v>8955.05980126879</v>
      </c>
      <c r="CY186" s="85" t="n">
        <f aca="false">CP186+CQ186-IF(CN186&lt;=CJ186,CT186,0)</f>
        <v>20893.0367902863</v>
      </c>
      <c r="CZ186" s="85" t="n">
        <f aca="false">CP186+CQ186+CR186-IF(CN186&lt;=CK186,CT186,0)</f>
        <v>22903.3663615701</v>
      </c>
      <c r="DA186" s="85" t="n">
        <f aca="false">CP186+CQ186+CR186+CS186-IF(CN186&lt;=CL186,CT186,0)</f>
        <v>24413.3663615701</v>
      </c>
      <c r="DB186" s="88" t="n">
        <f aca="false">MAX(CX186,CY186,CZ186,DA186)</f>
        <v>24413.3663615701</v>
      </c>
      <c r="DC186" s="88" t="n">
        <f aca="false">CP186+CQ186+CR186+CS186</f>
        <v>24413.3663615701</v>
      </c>
      <c r="DD186" s="88" t="n">
        <f aca="false">CE186-CH186-CI186-CW186</f>
        <v>-588.558412360826</v>
      </c>
      <c r="DE186" s="87" t="n">
        <f aca="false">IF(CD186&gt;0,DD186/CD186,0)</f>
        <v>-0.0238268905646144</v>
      </c>
      <c r="DF186" s="86" t="n">
        <f aca="false">IF(CD186&gt;0,(BM186+CI186+CW186)/(CD186*(1-CG186)),0)</f>
        <v>1.02529393902825</v>
      </c>
      <c r="DG186" s="90" t="n">
        <f aca="false">IF(BW186&gt;0,BM186/BW186,0)</f>
        <v>0.26663404657784</v>
      </c>
      <c r="DH186" s="90" t="n">
        <f aca="false">IF(BW186&gt;0,CD186/BW186,0)</f>
        <v>0.324</v>
      </c>
      <c r="DI186" s="90" t="n">
        <f aca="false">IF(AI186&gt;0,(AI186*IF(K186=3,INDEX(in_sup_vat_rate,1,C186),0)+AV186*BA186+(BC186+BD186)*AV186/AY186+AZ186*AI186/AL186)/AI186,0)</f>
        <v>0.136336711689146</v>
      </c>
      <c r="DJ186" s="90" t="n">
        <f aca="false">IF(AJ186&gt;0,(AJ186*IF(K186=3,INDEX(in_sup_vat_rate,1,C186),0)+AW186*BA186+(BC186+BD186)*AW186/AY186+AZ186*AJ186/AL186)/AJ186,0)</f>
        <v>0.136336711689146</v>
      </c>
      <c r="DK186" s="90" t="n">
        <f aca="false">IF(AK186&gt;0,(AK186*IF(K186=3,INDEX(in_sup_vat_rate,1,C186),0)+AX186*BA186+(BC186+BD186)*AX186/AY186+AZ186*AK186/AL186)/AK186,0)</f>
        <v>0.136336711689146</v>
      </c>
      <c r="DL186" s="90" t="n">
        <f aca="false">IF(Y186&gt;0,(BP186-AI186*(1+DI186))/Y186,0)</f>
        <v>0.0957837858987348</v>
      </c>
      <c r="DM186" s="90" t="n">
        <f aca="false">IF(Z186&gt;0,(BQ186-AJ186*(1+DJ186))/Z186,0)</f>
        <v>0.113339857972185</v>
      </c>
      <c r="DN186" s="90" t="n">
        <f aca="false">IF(AA186&gt;0,(BR186-AK186*(1+DK186))/AA186,0)</f>
        <v>0.0799956969142526</v>
      </c>
      <c r="DO186" s="86" t="n">
        <f aca="false">IF(Y186&gt;0,(CA186*(1-thr_gm_go)*(1-R186)-DL186)/(1+DI186)*I186/((1+AH186)*J186),"")</f>
        <v>6.2561505184356</v>
      </c>
      <c r="DP186" s="86" t="n">
        <f aca="false">IF(Z186&gt;0,(CB186*(1-thr_gm_go)*(1-R186)-DM186)/(1+DJ186)*I186/((1+AH186)*J186),"")</f>
        <v>7.08766128968715</v>
      </c>
      <c r="DQ186" s="86" t="n">
        <f aca="false">IF(AA186&gt;0,(CC186*(1-thr_gm_go)*(1-R186)-DN186)/(1+DK186)*I186/((1+AH186)*J186),"")</f>
        <v>6.5776790167934</v>
      </c>
      <c r="DR186" s="92" t="n">
        <f aca="false">IF(AND(AY186*INDEX(in_cus_mpf_rate,1,C186)&gt;INDEX(in_cus_mpf_min,1,C186),AY186*INDEX(in_cus_mpf_rate,1,C186)&lt;INDEX(in_cus_mpf_max,1,C186)),INDEX(in_cus_mpf_rate,1,C186),0)</f>
        <v>0.003464</v>
      </c>
      <c r="DS186" s="88" t="n">
        <f aca="false">IF(AZ186&gt;INDEX(in_oce_ins_min,1,C186),INDEX(in_oce_ins_rate,1,C186)*(1+INDEX(in_oce_ins_uplift,1,C186))*AL186,0)</f>
        <v>0</v>
      </c>
      <c r="DT186" s="88" t="n">
        <f aca="false">(AL186+AN186)*(1+BA186+INDEX(in_cus_hmf,1,C186)+DR186)+DS186</f>
        <v>12793.6340847905</v>
      </c>
      <c r="DU186" s="86" t="n">
        <f aca="false">IF(DT186&gt;0,(CD186*(1-thr_gm_go)-(BM186-DT186))/DT186,0)</f>
        <v>0.859161512271951</v>
      </c>
      <c r="DV186" s="86" t="n">
        <f aca="false">IF(DT186&gt;0,(CD186-(BM186-DT186))/DT186,0)</f>
        <v>1.34185149379499</v>
      </c>
      <c r="DW186" s="87" t="n">
        <f aca="false">(1+AH186)*J186*DU186-1</f>
        <v>-0.140838487728049</v>
      </c>
      <c r="DX186" s="87" t="n">
        <f aca="false">(1+AH186)*J186*DV186-1</f>
        <v>0.341851493794988</v>
      </c>
      <c r="DY186" s="85" t="n">
        <f aca="false">IF(G186&gt;0,(CD186*(1-thr_gm_go)-(BM186-AT186))/G186,"")</f>
        <v>2198.16392295209</v>
      </c>
      <c r="DZ186" s="90" t="n">
        <f aca="false">IF(AB186&gt;0,(AL186+AN186+BB186+BC186+BD186)/AB186,0)</f>
        <v>0.165292430036053</v>
      </c>
      <c r="EA186" s="88" t="n">
        <f aca="false">BM186-DZ186*AB186</f>
        <v>7534.27899225744</v>
      </c>
      <c r="EB186" s="90" t="n">
        <f aca="false">IF(AB186&gt;0,CD186/AB186,0)</f>
        <v>0.31914</v>
      </c>
      <c r="EC186" s="85" t="n">
        <f aca="false">IF(EB186*(1-thr_gm_go)-DZ186&gt;0,EA186/(EB186*(1-thr_gm_go)-DZ186),"n/a")</f>
        <v>101728.565399837</v>
      </c>
      <c r="ED186" s="85" t="n">
        <f aca="false">IF(EB186-DZ186&gt;0,EA186/(EB186-DZ186),"n/a")</f>
        <v>48972.3626705512</v>
      </c>
      <c r="EE186" s="93" t="b">
        <f aca="false">INDEX(cfg_fits,D186,C186)</f>
        <v>1</v>
      </c>
      <c r="EF186" s="87" t="n">
        <f aca="false">IF(F186=4,"",INDEX(cfg_lenutil,D186,C186))</f>
        <v>0.999580888516345</v>
      </c>
      <c r="EG186" s="31" t="str">
        <f aca="false">IF(O186&gt;1,"Check fit (units scaled up)","")</f>
        <v/>
      </c>
    </row>
    <row r="187" customFormat="false" ht="15" hidden="false" customHeight="false" outlineLevel="0" collapsed="false">
      <c r="A187" s="78" t="n">
        <v>900033</v>
      </c>
      <c r="B187" s="9" t="s">
        <v>3335</v>
      </c>
      <c r="C187" s="10" t="n">
        <f aca="false">sel_scen</f>
        <v>2</v>
      </c>
      <c r="D187" s="10" t="n">
        <f aca="false">sel_cfg</f>
        <v>4</v>
      </c>
      <c r="E187" s="10" t="n">
        <f aca="false">sel_dest</f>
        <v>1</v>
      </c>
      <c r="F187" s="79" t="n">
        <f aca="false">INDEX(cfg_ct,D187)</f>
        <v>3</v>
      </c>
      <c r="G187" s="79" t="n">
        <f aca="false">INDEX(cfg_n,D187)</f>
        <v>1</v>
      </c>
      <c r="H187" s="79" t="n">
        <f aca="false">INDEX(dest_port,E187)</f>
        <v>1</v>
      </c>
      <c r="I187" s="80" t="n">
        <f aca="false">INDEX(in_fx_cbe,1,C187)*(1-INDEX(in_fx_spread,1,C187))</f>
        <v>52.7748</v>
      </c>
      <c r="J187" s="81" t="n">
        <f aca="false">1</f>
        <v>1</v>
      </c>
      <c r="K187" s="82" t="n">
        <f aca="false">INDEX(in_sup_vat_mode,1,C187)</f>
        <v>2</v>
      </c>
      <c r="L187" s="83" t="n">
        <f aca="false">INDEX(in_cus_s301,1,C187)</f>
        <v>0.125</v>
      </c>
      <c r="M187" s="84" t="n">
        <f aca="false">1</f>
        <v>1</v>
      </c>
      <c r="N187" s="95" t="n">
        <v>1.25</v>
      </c>
      <c r="O187" s="81" t="n">
        <f aca="false">1</f>
        <v>1</v>
      </c>
      <c r="P187" s="81" t="n">
        <f aca="false">1</f>
        <v>1</v>
      </c>
      <c r="Q187" s="81" t="n">
        <f aca="false">1</f>
        <v>1</v>
      </c>
      <c r="R187" s="83" t="n">
        <f aca="false">INDEX(in_sel_damage,1,C187)</f>
        <v>0.015</v>
      </c>
      <c r="S187" s="83" t="n">
        <f aca="false">INDEX(in_mkt_dist_margin,1,C187)</f>
        <v>0.25</v>
      </c>
      <c r="T187" s="83" t="n">
        <f aca="false">INDEX(in_mkt_eflute_disc,1,C187)</f>
        <v>0.2</v>
      </c>
      <c r="U187" s="82" t="n">
        <f aca="false">INDEX(in_sel_credit_days,1,C187)</f>
        <v>45</v>
      </c>
      <c r="V187" s="81" t="n">
        <f aca="false">1</f>
        <v>1</v>
      </c>
      <c r="W187" s="83" t="n">
        <f aca="false">INDEX(in_sel_commission,1,C187)</f>
        <v>0.05</v>
      </c>
      <c r="X187" s="82" t="n">
        <f aca="false">1</f>
        <v>1</v>
      </c>
      <c r="Y187" s="85" t="n">
        <f aca="false">INDEX(cfg_u_3464,D187,C187)*O187</f>
        <v>25800</v>
      </c>
      <c r="Z187" s="85" t="n">
        <f aca="false">INDEX(cfg_u_3463,D187,C187)*O187</f>
        <v>25800</v>
      </c>
      <c r="AA187" s="85" t="n">
        <f aca="false">INDEX(cfg_u_3460,D187,C187)*O187</f>
        <v>25800</v>
      </c>
      <c r="AB187" s="85" t="n">
        <f aca="false">Y187+Z187+AA187</f>
        <v>77400</v>
      </c>
      <c r="AC187" s="86" t="n">
        <f aca="false">Y187*INDEX(lg_vpu_3464,C187)</f>
        <v>18.3539136</v>
      </c>
      <c r="AD187" s="86" t="n">
        <f aca="false">Z187*INDEX(lg_vpu_3463,C187)</f>
        <v>22.4530176</v>
      </c>
      <c r="AE187" s="86" t="n">
        <f aca="false">AA187*INDEX(lg_vpu_3460,C187)</f>
        <v>14.6676096</v>
      </c>
      <c r="AF187" s="86" t="n">
        <f aca="false">AC187+AD187+AE187</f>
        <v>55.4745408</v>
      </c>
      <c r="AG187" s="85" t="n">
        <f aca="false">Y187*INDEX(lg_kpu_3464,C187)+Z187*INDEX(lg_kpu_3463,C187)+AA187*INDEX(lg_kpu_3460,C187)</f>
        <v>13341.3537888</v>
      </c>
      <c r="AH187" s="87" t="n">
        <f aca="false">INDEX(in_sup_requote,1,C187)</f>
        <v>0</v>
      </c>
      <c r="AI187" s="88" t="n">
        <f aca="false">Y187*q_price_3464*(1+AH187)*J187/I187</f>
        <v>4089.39493849337</v>
      </c>
      <c r="AJ187" s="88" t="n">
        <f aca="false">Z187*q_price_3463*(1+AH187)*J187/I187</f>
        <v>3862.07053366379</v>
      </c>
      <c r="AK187" s="88" t="n">
        <f aca="false">AA187*q_price_3460*(1+AH187)*J187/I187</f>
        <v>3373.20084585825</v>
      </c>
      <c r="AL187" s="88" t="n">
        <f aca="false">AI187+AJ187+AK187</f>
        <v>11324.6663180154</v>
      </c>
      <c r="AM187" s="88" t="n">
        <f aca="false">IF(OR(K187=2,K187=3),AL187*INDEX(in_sup_vat_rate,1,C187),0)</f>
        <v>1585.45328452216</v>
      </c>
      <c r="AN187" s="88" t="n">
        <f aca="false">IF(K187=3,AM187,0)</f>
        <v>0</v>
      </c>
      <c r="AO187" s="88" t="n">
        <f aca="false">INDEX(in_sup_tooling_egp,1,C187)/I187</f>
        <v>0</v>
      </c>
      <c r="AP187" s="88" t="n">
        <f aca="false">IF(F187=4,INDEX(in_ori_lcl_truck,1,C187)*V187/I187+INDEX(in_ori_lcl_cfs_o,1,C187),G187*(IF(F187=1,INDEX(in_ori_truck_20,1,C187),INDEX(in_ori_truck_40,1,C187))*V187/I187+INDEX(in_ori_terminal,1,C187)+IF(F187=1,INDEX(in_ori_othc_20,1,C187),INDEX(in_ori_othc_40,1,C187))*(1-INDEX(in_ori_othc_in_freight,1,C187))+INDEX(in_ori_seal,1,C187)+INDEX(in_ori_inspection,1,C187)+INDEX(in_ori_dd_days,1,C187)*IF(F187=1,INDEX(in_ori_dd_20,1,C187),INDEX(in_ori_dd_40,1,C187))+INDEX(in_ori_loading_egp,1,C187)/I187))</f>
        <v>555.278125165799</v>
      </c>
      <c r="AQ187" s="88" t="n">
        <f aca="false">(INDEX(in_ori_clearance,1,C187)+INDEX(in_ori_coo,1,C187))/I187+INDEX(in_ori_bl_fee,1,C187)+INDEX(in_ori_fwd_fee,1,C187)+INDEX(in_ori_qc,1,C187)+INDEX(in_ori_wires,1,C187)*INDEX(in_ori_wire_fee,1,C187)</f>
        <v>817.639062582899</v>
      </c>
      <c r="AR187" s="88" t="n">
        <f aca="false">AP187+AQ187</f>
        <v>1372.9171877487</v>
      </c>
      <c r="AS187" s="85" t="n">
        <f aca="false">INDEX(tbl_port_diff,H187,C187)</f>
        <v>0</v>
      </c>
      <c r="AT187" s="88" t="n">
        <f aca="false">IF(F187=4,MAX(AF187*INDEX(in_oce_lcl_factor,1,C187),AG187/1000,1)*INDEX(in_oce_lcl_rate,1,C187)*M187,G187*(INDEX(tbl_ocean_rate,MIN(F187,3),C187)+AS187)*M187)</f>
        <v>4000</v>
      </c>
      <c r="AU187" s="88" t="n">
        <f aca="false">AT187+INDEX(in_oce_ams,1,C187)</f>
        <v>4035</v>
      </c>
      <c r="AV187" s="88" t="n">
        <f aca="false">AI187*(1+IF(K187=3,INDEX(in_sup_vat_rate,1,C187),0))+AO187*Y187/AB187</f>
        <v>4089.39493849337</v>
      </c>
      <c r="AW187" s="88" t="n">
        <f aca="false">AJ187*(1+IF(K187=3,INDEX(in_sup_vat_rate,1,C187),0))+AO187*Z187/AB187</f>
        <v>3862.07053366379</v>
      </c>
      <c r="AX187" s="88" t="n">
        <f aca="false">AK187*(1+IF(K187=3,INDEX(in_sup_vat_rate,1,C187),0))+AO187*AA187/AB187</f>
        <v>3373.20084585825</v>
      </c>
      <c r="AY187" s="88" t="n">
        <f aca="false">AV187+AW187+AX187</f>
        <v>11324.6663180154</v>
      </c>
      <c r="AZ187" s="88" t="n">
        <f aca="false">MAX(INDEX(in_oce_ins_min,1,C187),INDEX(in_oce_ins_rate,1,C187)*(1+INDEX(in_oce_ins_uplift,1,C187))*(AL187+AO187+AR187+AU187))*(1-INDEX(in_oce_ins_in_other,1,C187))</f>
        <v>75</v>
      </c>
      <c r="BA187" s="87" t="n">
        <f aca="false">INDEX(in_cus_mfn,1,C187)+L187</f>
        <v>0.125</v>
      </c>
      <c r="BB187" s="88" t="n">
        <f aca="false">AY187*BA187</f>
        <v>1415.58328975193</v>
      </c>
      <c r="BC187" s="88" t="n">
        <f aca="false">MIN(MAX(AY187*INDEX(in_cus_mpf_rate,1,C187),INDEX(in_cus_mpf_min,1,C187)),INDEX(in_cus_mpf_max,1,C187))</f>
        <v>39.2286441256054</v>
      </c>
      <c r="BD187" s="88" t="n">
        <f aca="false">AY187*INDEX(in_cus_hmf,1,C187)</f>
        <v>14.1558328975193</v>
      </c>
      <c r="BE187" s="88" t="n">
        <f aca="false">MAX(INDEX(in_cus_stb_min,1,C187),INDEX(in_cus_stb_rate,1,C187)/1000*(AY187+BB187+BC187+BD187))</f>
        <v>76.7618045087428</v>
      </c>
      <c r="BF187" s="88" t="n">
        <f aca="false">INDEX(in_cus_broker,1,C187)+INDEX(in_cus_isf,1,C187)+INDEX(in_cus_do_fee,1,C187)+BE187+INDEX(in_cus_isf_bond,1,C187)</f>
        <v>511.761804508743</v>
      </c>
      <c r="BG187" s="88" t="n">
        <f aca="false">IF(H187=1,INDEX(in_cus_cfc,1,C187)*INDEX(ct_teu,F187)*G187*(1-INDEX(in_cus_cfc_in_freight,1,C187)),0)</f>
        <v>29.6</v>
      </c>
      <c r="BH187" s="88" t="n">
        <f aca="false">IF(F187=4,1,G187)*(INDEX(in_cus_exam,1,C187)+INDEX(in_cus_exam_dray,1,C187))</f>
        <v>0</v>
      </c>
      <c r="BI187" s="88" t="n">
        <f aca="false">IF(F187=4,1,G187)*INDEX(in_cus_dem_days,1,C187)*INDEX(in_cus_dem_rate,1,C187)</f>
        <v>0</v>
      </c>
      <c r="BJ187" s="88" t="n">
        <f aca="false">BG187+BH187+BI187</f>
        <v>29.6</v>
      </c>
      <c r="BK187" s="88" t="n">
        <f aca="false">IF(F187=4,(INDEX(in_dra_lcl_cfs_d,1,C187)+INDEX(in_dra_lcl_deliv,1,C187))*P187,G187*(INDEX(tbl_dest_line,E187,C187)*P187*(1+INDEX(in_dra_fsc,1,C187))+INDEX(tbl_dest_tolls,E187,C187)+INDEX(in_dra_chassis_days,1,C187)*INDEX(tbl_dest_chassis,E187,C187)*(1-INDEX(in_dra_chassis_in_dray,1,C187))+INDEX(in_dra_wait_hours,1,C187)*INDEX(in_dra_wait_rate,1,C187)+INDEX(in_dra_split,1,C187)+INDEX(in_dra_prepull,1,C187)+INDEX(in_dra_dryrun,1,C187)))</f>
        <v>1060</v>
      </c>
      <c r="BL187" s="88" t="n">
        <f aca="false">IF(F187=4,0,G187*IF(F187=1,INDEX(in_dra_unload_20,1,C187),INDEX(in_dra_unload_40,1,C187))*Q187*(1-INDEX(in_dra_unload_in_dray,1,C187)))</f>
        <v>450</v>
      </c>
      <c r="BM187" s="88" t="n">
        <f aca="false">AL187+AN187+AO187+AR187+AU187+AZ187+BB187+BC187+BD187+BF187+BJ187+BK187+BL187</f>
        <v>20327.9130770479</v>
      </c>
      <c r="BN187" s="88" t="n">
        <f aca="false">AP187+AU187+BJ187+BK187+BL187</f>
        <v>6129.8781251658</v>
      </c>
      <c r="BO187" s="88" t="n">
        <f aca="false">AQ187+BF187</f>
        <v>1329.40086709164</v>
      </c>
      <c r="BP187" s="88" t="n">
        <f aca="false">AI187*(1+IF(K187=3,INDEX(in_sup_vat_rate,1,C187),0))+AO187*Y187/AB187+AV187*BA187+(BC187+BD187)*AV187/AY187+AZ187*AI187/AL187+BN187*AC187/AF187+BO187*Y187/AB187</f>
        <v>7118.15127339316</v>
      </c>
      <c r="BQ187" s="88" t="n">
        <f aca="false">AJ187*(1+IF(K187=3,INDEX(in_sup_vat_rate,1,C187),0))+AO187*Z187/AB187+AW187*BA187+(BC187+BD187)*AW187/AY187+AZ187*AJ187/AL187+BN187*AD187/AF187+BO187*Z187/AB187</f>
        <v>7312.78086621743</v>
      </c>
      <c r="BR187" s="88" t="n">
        <f aca="false">AK187*(1+IF(K187=3,INDEX(in_sup_vat_rate,1,C187),0))+AO187*AA187/AB187+AX187*BA187+(BC187+BD187)*AX187/AY187+AZ187*AK187/AL187+BN187*AE187/AF187+BO187*AA187/AB187</f>
        <v>5896.98093743733</v>
      </c>
      <c r="BS187" s="89" t="n">
        <f aca="false">BP187+BQ187+BR187-BM187</f>
        <v>0</v>
      </c>
      <c r="BT187" s="85" t="n">
        <f aca="false">Y187*(1-R187)</f>
        <v>25413</v>
      </c>
      <c r="BU187" s="85" t="n">
        <f aca="false">Z187*(1-R187)</f>
        <v>25413</v>
      </c>
      <c r="BV187" s="85" t="n">
        <f aca="false">AA187*(1-R187)</f>
        <v>25413</v>
      </c>
      <c r="BW187" s="85" t="n">
        <f aca="false">BT187+BU187+BV187</f>
        <v>76239</v>
      </c>
      <c r="BX187" s="90" t="n">
        <f aca="false">IF(BT187&gt;0,BP187/BT187,0)</f>
        <v>0.280098818454852</v>
      </c>
      <c r="BY187" s="90" t="n">
        <f aca="false">IF(BU187&gt;0,BQ187/BU187,0)</f>
        <v>0.28775748106156</v>
      </c>
      <c r="BZ187" s="90" t="n">
        <f aca="false">IF(BV187&gt;0,BR187/BV187,0)</f>
        <v>0.232045840217106</v>
      </c>
      <c r="CA187" s="90" t="n">
        <f aca="false">INDEX(in_mkt_listing_3464,1,C187)*(1-IF(sku_flute_3464="B",T187,0))*(1-S187)*N187</f>
        <v>0.2925</v>
      </c>
      <c r="CB187" s="90" t="n">
        <f aca="false">INDEX(in_mkt_listing_3463,1,C187)*(1-IF(sku_flute_3463="B",T187,0))*(1-S187)*N187</f>
        <v>0.3375</v>
      </c>
      <c r="CC187" s="90" t="n">
        <f aca="false">INDEX(in_mkt_listing_3460,1,C187)*(1-IF(sku_flute_3460="B",T187,0))*(1-S187)*N187</f>
        <v>0.28125</v>
      </c>
      <c r="CD187" s="88" t="n">
        <f aca="false">BT187*CA187+BU187*CB187+BV187*CC187</f>
        <v>23157.59625</v>
      </c>
      <c r="CE187" s="88" t="n">
        <f aca="false">CD187-BM187</f>
        <v>2829.68317295209</v>
      </c>
      <c r="CF187" s="87" t="n">
        <f aca="false">IF(CD187&gt;0,CE187/CD187,0)</f>
        <v>0.122192439249911</v>
      </c>
      <c r="CG187" s="87" t="n">
        <f aca="false">W187+INDEX(in_sel_processing,1,C187)+INDEX(in_sel_bad_debt,1,C187)</f>
        <v>0.058</v>
      </c>
      <c r="CH187" s="88" t="n">
        <f aca="false">CD187*CG187</f>
        <v>1343.1405825</v>
      </c>
      <c r="CI187" s="88" t="n">
        <f aca="false">INDEX(in_sel_testing,1,C187)*X187+INDEX(in_sel_admin,1,C187)</f>
        <v>3000</v>
      </c>
      <c r="CJ187" s="79" t="n">
        <f aca="false">INDEX(in_sup_lead_days,1,C187)</f>
        <v>21</v>
      </c>
      <c r="CK187" s="79" t="n">
        <f aca="false">CJ187+INDEX(in_oce_transit,1,C187)+IF(F187=4,INDEX(in_oce_lcl_extra_days,1,C187),0)</f>
        <v>51</v>
      </c>
      <c r="CL187" s="79" t="n">
        <f aca="false">CK187+2+INDEX(in_cus_dem_days,1,C187)</f>
        <v>53</v>
      </c>
      <c r="CM187" s="79" t="n">
        <f aca="false">CL187+U187</f>
        <v>98</v>
      </c>
      <c r="CN187" s="79" t="n">
        <f aca="false">CJ187+INDEX(in_sup_vat_lag,1,C187)</f>
        <v>81</v>
      </c>
      <c r="CO187" s="91" t="n">
        <f aca="false">INDEX(in_sup_advance,1,C187)</f>
        <v>0.5</v>
      </c>
      <c r="CP187" s="88" t="n">
        <f aca="false">CO187*(AL187+AM187)+AO187+INDEX(in_sel_testing,1,C187)*X187</f>
        <v>8955.05980126879</v>
      </c>
      <c r="CQ187" s="88" t="n">
        <f aca="false">(1-CO187)*(AL187+AM187)+AR187+AU187+AZ187</f>
        <v>11937.9769890175</v>
      </c>
      <c r="CR187" s="88" t="n">
        <f aca="false">BB187+BC187+BD187+BF187+BJ187</f>
        <v>2010.32957128379</v>
      </c>
      <c r="CS187" s="88" t="n">
        <f aca="false">BK187+BL187</f>
        <v>1510</v>
      </c>
      <c r="CT187" s="88" t="n">
        <f aca="false">IF(K187=2,AM187,0)</f>
        <v>1585.45328452216</v>
      </c>
      <c r="CU187" s="85" t="n">
        <f aca="false">IF(K187=2,CO187*AM187*(CN187-0)+(1-CO187)*AM187*(CN187-CJ187),0)</f>
        <v>111774.456558812</v>
      </c>
      <c r="CV187" s="85" t="n">
        <f aca="false">(CP187-CO187*CT187)*(CM187-0)+(CQ187-(1-CO187)*CT187)*(CM187-CJ187)+CR187*(CM187-CK187)+CS187*(CM187-CL187)</f>
        <v>1820528.41613334</v>
      </c>
      <c r="CW187" s="88" t="n">
        <f aca="false">INDEX(in_sel_fin_rate,1,C187)/365*(CU187+CV187)</f>
        <v>529.398047312918</v>
      </c>
      <c r="CX187" s="85" t="n">
        <f aca="false">CP187-IF(CN187&lt;=0,CT187,0)</f>
        <v>8955.05980126879</v>
      </c>
      <c r="CY187" s="85" t="n">
        <f aca="false">CP187+CQ187-IF(CN187&lt;=CJ187,CT187,0)</f>
        <v>20893.0367902863</v>
      </c>
      <c r="CZ187" s="85" t="n">
        <f aca="false">CP187+CQ187+CR187-IF(CN187&lt;=CK187,CT187,0)</f>
        <v>22903.3663615701</v>
      </c>
      <c r="DA187" s="85" t="n">
        <f aca="false">CP187+CQ187+CR187+CS187-IF(CN187&lt;=CL187,CT187,0)</f>
        <v>24413.3663615701</v>
      </c>
      <c r="DB187" s="88" t="n">
        <f aca="false">MAX(CX187,CY187,CZ187,DA187)</f>
        <v>24413.3663615701</v>
      </c>
      <c r="DC187" s="88" t="n">
        <f aca="false">CP187+CQ187+CR187+CS187</f>
        <v>24413.3663615701</v>
      </c>
      <c r="DD187" s="88" t="n">
        <f aca="false">CE187-CH187-CI187-CW187</f>
        <v>-2042.85545686083</v>
      </c>
      <c r="DE187" s="87" t="n">
        <f aca="false">IF(CD187&gt;0,DD187/CD187,0)</f>
        <v>-0.0882153499355886</v>
      </c>
      <c r="DF187" s="86" t="n">
        <f aca="false">IF(CD187&gt;0,(BM187+CI187+CW187)/(CD187*(1-CG187)),0)</f>
        <v>1.0936468682968</v>
      </c>
      <c r="DG187" s="90" t="n">
        <f aca="false">IF(BW187&gt;0,BM187/BW187,0)</f>
        <v>0.26663404657784</v>
      </c>
      <c r="DH187" s="90" t="n">
        <f aca="false">IF(BW187&gt;0,CD187/BW187,0)</f>
        <v>0.30375</v>
      </c>
      <c r="DI187" s="90" t="n">
        <f aca="false">IF(AI187&gt;0,(AI187*IF(K187=3,INDEX(in_sup_vat_rate,1,C187),0)+AV187*BA187+(BC187+BD187)*AV187/AY187+AZ187*AI187/AL187)/AI187,0)</f>
        <v>0.136336711689146</v>
      </c>
      <c r="DJ187" s="90" t="n">
        <f aca="false">IF(AJ187&gt;0,(AJ187*IF(K187=3,INDEX(in_sup_vat_rate,1,C187),0)+AW187*BA187+(BC187+BD187)*AW187/AY187+AZ187*AJ187/AL187)/AJ187,0)</f>
        <v>0.136336711689146</v>
      </c>
      <c r="DK187" s="90" t="n">
        <f aca="false">IF(AK187&gt;0,(AK187*IF(K187=3,INDEX(in_sup_vat_rate,1,C187),0)+AX187*BA187+(BC187+BD187)*AX187/AY187+AZ187*AK187/AL187)/AK187,0)</f>
        <v>0.136336711689146</v>
      </c>
      <c r="DL187" s="90" t="n">
        <f aca="false">IF(Y187&gt;0,(BP187-AI187*(1+DI187))/Y187,0)</f>
        <v>0.0957837858987348</v>
      </c>
      <c r="DM187" s="90" t="n">
        <f aca="false">IF(Z187&gt;0,(BQ187-AJ187*(1+DJ187))/Z187,0)</f>
        <v>0.113339857972185</v>
      </c>
      <c r="DN187" s="90" t="n">
        <f aca="false">IF(AA187&gt;0,(BR187-AK187*(1+DK187))/AA187,0)</f>
        <v>0.0799956969142526</v>
      </c>
      <c r="DO187" s="86" t="n">
        <f aca="false">IF(Y187&gt;0,(CA187*(1-thr_gm_go)*(1-R187)-DL187)/(1+DI187)*I187/((1+AH187)*J187),"")</f>
        <v>5.58711116554881</v>
      </c>
      <c r="DP187" s="86" t="n">
        <f aca="false">IF(Z187&gt;0,(CB187*(1-thr_gm_go)*(1-R187)-DM187)/(1+DJ187)*I187/((1+AH187)*J187),"")</f>
        <v>6.31569280558701</v>
      </c>
      <c r="DQ187" s="86" t="n">
        <f aca="false">IF(AA187&gt;0,(CC187*(1-thr_gm_go)*(1-R187)-DN187)/(1+DK187)*I187/((1+AH187)*J187),"")</f>
        <v>5.93437194670995</v>
      </c>
      <c r="DR187" s="92" t="n">
        <f aca="false">IF(AND(AY187*INDEX(in_cus_mpf_rate,1,C187)&gt;INDEX(in_cus_mpf_min,1,C187),AY187*INDEX(in_cus_mpf_rate,1,C187)&lt;INDEX(in_cus_mpf_max,1,C187)),INDEX(in_cus_mpf_rate,1,C187),0)</f>
        <v>0.003464</v>
      </c>
      <c r="DS187" s="88" t="n">
        <f aca="false">IF(AZ187&gt;INDEX(in_oce_ins_min,1,C187),INDEX(in_oce_ins_rate,1,C187)*(1+INDEX(in_oce_ins_uplift,1,C187))*AL187,0)</f>
        <v>0</v>
      </c>
      <c r="DT187" s="88" t="n">
        <f aca="false">(AL187+AN187)*(1+BA187+INDEX(in_cus_hmf,1,C187)+DR187)+DS187</f>
        <v>12793.6340847905</v>
      </c>
      <c r="DU187" s="86" t="n">
        <f aca="false">IF(DT187&gt;0,(CD187*(1-thr_gm_go)-(BM187-DT187))/DT187,0)</f>
        <v>0.768657140736382</v>
      </c>
      <c r="DV187" s="86" t="n">
        <f aca="false">IF(DT187&gt;0,(CD187-(BM187-DT187))/DT187,0)</f>
        <v>1.22117899841423</v>
      </c>
      <c r="DW187" s="87" t="n">
        <f aca="false">(1+AH187)*J187*DU187-1</f>
        <v>-0.231342859263618</v>
      </c>
      <c r="DX187" s="87" t="n">
        <f aca="false">(1+AH187)*J187*DV187-1</f>
        <v>0.221178998414229</v>
      </c>
      <c r="DY187" s="85" t="n">
        <f aca="false">IF(G187&gt;0,(CD187*(1-thr_gm_go)-(BM187-AT187))/G187,"")</f>
        <v>1040.28411045209</v>
      </c>
      <c r="DZ187" s="90" t="n">
        <f aca="false">IF(AB187&gt;0,(AL187+AN187+BB187+BC187+BD187)/AB187,0)</f>
        <v>0.165292430036053</v>
      </c>
      <c r="EA187" s="88" t="n">
        <f aca="false">BM187-DZ187*AB187</f>
        <v>7534.27899225744</v>
      </c>
      <c r="EB187" s="90" t="n">
        <f aca="false">IF(AB187&gt;0,CD187/AB187,0)</f>
        <v>0.29919375</v>
      </c>
      <c r="EC187" s="85" t="n">
        <f aca="false">IF(EB187*(1-thr_gm_go)-DZ187&gt;0,EA187/(EB187*(1-thr_gm_go)-DZ187),"n/a")</f>
        <v>127477.352679936</v>
      </c>
      <c r="ED187" s="85" t="n">
        <f aca="false">IF(EB187-DZ187&gt;0,EA187/(EB187-DZ187),"n/a")</f>
        <v>56267.3989642972</v>
      </c>
      <c r="EE187" s="93" t="b">
        <f aca="false">INDEX(cfg_fits,D187,C187)</f>
        <v>1</v>
      </c>
      <c r="EF187" s="87" t="n">
        <f aca="false">IF(F187=4,"",INDEX(cfg_lenutil,D187,C187))</f>
        <v>0.999580888516345</v>
      </c>
      <c r="EG187" s="31" t="str">
        <f aca="false">IF(O187&gt;1,"Check fit (units scaled up)","")</f>
        <v/>
      </c>
    </row>
    <row r="188" customFormat="false" ht="15" hidden="false" customHeight="false" outlineLevel="0" collapsed="false">
      <c r="A188" s="78" t="n">
        <v>950001</v>
      </c>
      <c r="B188" s="9" t="s">
        <v>3336</v>
      </c>
      <c r="C188" s="78" t="n">
        <v>2</v>
      </c>
      <c r="D188" s="78" t="n">
        <v>4</v>
      </c>
      <c r="E188" s="10" t="n">
        <f aca="false">sel_dest</f>
        <v>1</v>
      </c>
      <c r="F188" s="79" t="n">
        <f aca="false">INDEX(cfg_ct,D188)</f>
        <v>3</v>
      </c>
      <c r="G188" s="79" t="n">
        <f aca="false">INDEX(cfg_n,D188)</f>
        <v>1</v>
      </c>
      <c r="H188" s="79" t="n">
        <f aca="false">INDEX(dest_port,E188)</f>
        <v>1</v>
      </c>
      <c r="I188" s="80" t="n">
        <f aca="false">INDEX(in_fx_cbe,1,C188)*(1-INDEX(in_fx_spread,1,C188))</f>
        <v>52.7748</v>
      </c>
      <c r="J188" s="81" t="n">
        <f aca="false">1</f>
        <v>1</v>
      </c>
      <c r="K188" s="82" t="n">
        <f aca="false">INDEX(in_sup_vat_mode,1,C188)</f>
        <v>2</v>
      </c>
      <c r="L188" s="83" t="n">
        <f aca="false">INDEX(in_cus_s301,1,C188)</f>
        <v>0.125</v>
      </c>
      <c r="M188" s="84" t="n">
        <f aca="false">1</f>
        <v>1</v>
      </c>
      <c r="N188" s="81" t="n">
        <f aca="false">1</f>
        <v>1</v>
      </c>
      <c r="O188" s="81" t="n">
        <f aca="false">1</f>
        <v>1</v>
      </c>
      <c r="P188" s="81" t="n">
        <f aca="false">1</f>
        <v>1</v>
      </c>
      <c r="Q188" s="81" t="n">
        <f aca="false">1</f>
        <v>1</v>
      </c>
      <c r="R188" s="83" t="n">
        <f aca="false">INDEX(in_sel_damage,1,C188)</f>
        <v>0.015</v>
      </c>
      <c r="S188" s="83" t="n">
        <f aca="false">INDEX(in_mkt_dist_margin,1,C188)</f>
        <v>0.25</v>
      </c>
      <c r="T188" s="83" t="n">
        <f aca="false">INDEX(in_mkt_eflute_disc,1,C188)</f>
        <v>0.2</v>
      </c>
      <c r="U188" s="82" t="n">
        <f aca="false">INDEX(in_sel_credit_days,1,C188)</f>
        <v>45</v>
      </c>
      <c r="V188" s="81" t="n">
        <f aca="false">1</f>
        <v>1</v>
      </c>
      <c r="W188" s="83" t="n">
        <f aca="false">INDEX(in_sel_commission,1,C188)</f>
        <v>0.05</v>
      </c>
      <c r="X188" s="82" t="n">
        <f aca="false">1</f>
        <v>1</v>
      </c>
      <c r="Y188" s="85" t="n">
        <f aca="false">INDEX(cfg_u_3464,D188,C188)*O188</f>
        <v>25800</v>
      </c>
      <c r="Z188" s="85" t="n">
        <f aca="false">INDEX(cfg_u_3463,D188,C188)*O188</f>
        <v>25800</v>
      </c>
      <c r="AA188" s="85" t="n">
        <f aca="false">INDEX(cfg_u_3460,D188,C188)*O188</f>
        <v>25800</v>
      </c>
      <c r="AB188" s="85" t="n">
        <f aca="false">Y188+Z188+AA188</f>
        <v>77400</v>
      </c>
      <c r="AC188" s="86" t="n">
        <f aca="false">Y188*INDEX(lg_vpu_3464,C188)</f>
        <v>18.3539136</v>
      </c>
      <c r="AD188" s="86" t="n">
        <f aca="false">Z188*INDEX(lg_vpu_3463,C188)</f>
        <v>22.4530176</v>
      </c>
      <c r="AE188" s="86" t="n">
        <f aca="false">AA188*INDEX(lg_vpu_3460,C188)</f>
        <v>14.6676096</v>
      </c>
      <c r="AF188" s="86" t="n">
        <f aca="false">AC188+AD188+AE188</f>
        <v>55.4745408</v>
      </c>
      <c r="AG188" s="85" t="n">
        <f aca="false">Y188*INDEX(lg_kpu_3464,C188)+Z188*INDEX(lg_kpu_3463,C188)+AA188*INDEX(lg_kpu_3460,C188)</f>
        <v>13341.3537888</v>
      </c>
      <c r="AH188" s="87" t="n">
        <f aca="false">INDEX(in_sup_requote,1,C188)</f>
        <v>0</v>
      </c>
      <c r="AI188" s="88" t="n">
        <f aca="false">Y188*q_price_3464*(1+AH188)*J188/I188</f>
        <v>4089.39493849337</v>
      </c>
      <c r="AJ188" s="88" t="n">
        <f aca="false">Z188*q_price_3463*(1+AH188)*J188/I188</f>
        <v>3862.07053366379</v>
      </c>
      <c r="AK188" s="88" t="n">
        <f aca="false">AA188*q_price_3460*(1+AH188)*J188/I188</f>
        <v>3373.20084585825</v>
      </c>
      <c r="AL188" s="88" t="n">
        <f aca="false">AI188+AJ188+AK188</f>
        <v>11324.6663180154</v>
      </c>
      <c r="AM188" s="88" t="n">
        <f aca="false">IF(OR(K188=2,K188=3),AL188*INDEX(in_sup_vat_rate,1,C188),0)</f>
        <v>1585.45328452216</v>
      </c>
      <c r="AN188" s="88" t="n">
        <f aca="false">IF(K188=3,AM188,0)</f>
        <v>0</v>
      </c>
      <c r="AO188" s="88" t="n">
        <f aca="false">INDEX(in_sup_tooling_egp,1,C188)/I188</f>
        <v>0</v>
      </c>
      <c r="AP188" s="88" t="n">
        <f aca="false">IF(F188=4,INDEX(in_ori_lcl_truck,1,C188)*V188/I188+INDEX(in_ori_lcl_cfs_o,1,C188),G188*(IF(F188=1,INDEX(in_ori_truck_20,1,C188),INDEX(in_ori_truck_40,1,C188))*V188/I188+INDEX(in_ori_terminal,1,C188)+IF(F188=1,INDEX(in_ori_othc_20,1,C188),INDEX(in_ori_othc_40,1,C188))*(1-INDEX(in_ori_othc_in_freight,1,C188))+INDEX(in_ori_seal,1,C188)+INDEX(in_ori_inspection,1,C188)+INDEX(in_ori_dd_days,1,C188)*IF(F188=1,INDEX(in_ori_dd_20,1,C188),INDEX(in_ori_dd_40,1,C188))+INDEX(in_ori_loading_egp,1,C188)/I188))</f>
        <v>555.278125165799</v>
      </c>
      <c r="AQ188" s="88" t="n">
        <f aca="false">(INDEX(in_ori_clearance,1,C188)+INDEX(in_ori_coo,1,C188))/I188+INDEX(in_ori_bl_fee,1,C188)+INDEX(in_ori_fwd_fee,1,C188)+INDEX(in_ori_qc,1,C188)+INDEX(in_ori_wires,1,C188)*INDEX(in_ori_wire_fee,1,C188)</f>
        <v>817.639062582899</v>
      </c>
      <c r="AR188" s="88" t="n">
        <f aca="false">AP188+AQ188</f>
        <v>1372.9171877487</v>
      </c>
      <c r="AS188" s="85" t="n">
        <f aca="false">INDEX(tbl_port_diff,H188,C188)</f>
        <v>0</v>
      </c>
      <c r="AT188" s="88" t="n">
        <f aca="false">IF(F188=4,MAX(AF188*INDEX(in_oce_lcl_factor,1,C188),AG188/1000,1)*INDEX(in_oce_lcl_rate,1,C188)*M188,G188*(INDEX(tbl_ocean_rate,MIN(F188,3),C188)+AS188)*M188)</f>
        <v>4000</v>
      </c>
      <c r="AU188" s="88" t="n">
        <f aca="false">AT188+INDEX(in_oce_ams,1,C188)</f>
        <v>4035</v>
      </c>
      <c r="AV188" s="88" t="n">
        <f aca="false">AI188*(1+IF(K188=3,INDEX(in_sup_vat_rate,1,C188),0))+AO188*Y188/AB188</f>
        <v>4089.39493849337</v>
      </c>
      <c r="AW188" s="88" t="n">
        <f aca="false">AJ188*(1+IF(K188=3,INDEX(in_sup_vat_rate,1,C188),0))+AO188*Z188/AB188</f>
        <v>3862.07053366379</v>
      </c>
      <c r="AX188" s="88" t="n">
        <f aca="false">AK188*(1+IF(K188=3,INDEX(in_sup_vat_rate,1,C188),0))+AO188*AA188/AB188</f>
        <v>3373.20084585825</v>
      </c>
      <c r="AY188" s="88" t="n">
        <f aca="false">AV188+AW188+AX188</f>
        <v>11324.6663180154</v>
      </c>
      <c r="AZ188" s="88" t="n">
        <f aca="false">MAX(INDEX(in_oce_ins_min,1,C188),INDEX(in_oce_ins_rate,1,C188)*(1+INDEX(in_oce_ins_uplift,1,C188))*(AL188+AO188+AR188+AU188))*(1-INDEX(in_oce_ins_in_other,1,C188))</f>
        <v>75</v>
      </c>
      <c r="BA188" s="87" t="n">
        <f aca="false">INDEX(in_cus_mfn,1,C188)+L188</f>
        <v>0.125</v>
      </c>
      <c r="BB188" s="88" t="n">
        <f aca="false">AY188*BA188</f>
        <v>1415.58328975193</v>
      </c>
      <c r="BC188" s="88" t="n">
        <f aca="false">MIN(MAX(AY188*INDEX(in_cus_mpf_rate,1,C188),INDEX(in_cus_mpf_min,1,C188)),INDEX(in_cus_mpf_max,1,C188))</f>
        <v>39.2286441256054</v>
      </c>
      <c r="BD188" s="88" t="n">
        <f aca="false">AY188*INDEX(in_cus_hmf,1,C188)</f>
        <v>14.1558328975193</v>
      </c>
      <c r="BE188" s="88" t="n">
        <f aca="false">MAX(INDEX(in_cus_stb_min,1,C188),INDEX(in_cus_stb_rate,1,C188)/1000*(AY188+BB188+BC188+BD188))</f>
        <v>76.7618045087428</v>
      </c>
      <c r="BF188" s="88" t="n">
        <f aca="false">INDEX(in_cus_broker,1,C188)+INDEX(in_cus_isf,1,C188)+INDEX(in_cus_do_fee,1,C188)+BE188+INDEX(in_cus_isf_bond,1,C188)</f>
        <v>511.761804508743</v>
      </c>
      <c r="BG188" s="88" t="n">
        <f aca="false">IF(H188=1,INDEX(in_cus_cfc,1,C188)*INDEX(ct_teu,F188)*G188*(1-INDEX(in_cus_cfc_in_freight,1,C188)),0)</f>
        <v>29.6</v>
      </c>
      <c r="BH188" s="88" t="n">
        <f aca="false">IF(F188=4,1,G188)*(INDEX(in_cus_exam,1,C188)+INDEX(in_cus_exam_dray,1,C188))</f>
        <v>0</v>
      </c>
      <c r="BI188" s="88" t="n">
        <f aca="false">IF(F188=4,1,G188)*INDEX(in_cus_dem_days,1,C188)*INDEX(in_cus_dem_rate,1,C188)</f>
        <v>0</v>
      </c>
      <c r="BJ188" s="88" t="n">
        <f aca="false">BG188+BH188+BI188</f>
        <v>29.6</v>
      </c>
      <c r="BK188" s="88" t="n">
        <f aca="false">IF(F188=4,(INDEX(in_dra_lcl_cfs_d,1,C188)+INDEX(in_dra_lcl_deliv,1,C188))*P188,G188*(INDEX(tbl_dest_line,E188,C188)*P188*(1+INDEX(in_dra_fsc,1,C188))+INDEX(tbl_dest_tolls,E188,C188)+INDEX(in_dra_chassis_days,1,C188)*INDEX(tbl_dest_chassis,E188,C188)*(1-INDEX(in_dra_chassis_in_dray,1,C188))+INDEX(in_dra_wait_hours,1,C188)*INDEX(in_dra_wait_rate,1,C188)+INDEX(in_dra_split,1,C188)+INDEX(in_dra_prepull,1,C188)+INDEX(in_dra_dryrun,1,C188)))</f>
        <v>1060</v>
      </c>
      <c r="BL188" s="88" t="n">
        <f aca="false">IF(F188=4,0,G188*IF(F188=1,INDEX(in_dra_unload_20,1,C188),INDEX(in_dra_unload_40,1,C188))*Q188*(1-INDEX(in_dra_unload_in_dray,1,C188)))</f>
        <v>450</v>
      </c>
      <c r="BM188" s="88" t="n">
        <f aca="false">AL188+AN188+AO188+AR188+AU188+AZ188+BB188+BC188+BD188+BF188+BJ188+BK188+BL188</f>
        <v>20327.9130770479</v>
      </c>
      <c r="BN188" s="88" t="n">
        <f aca="false">AP188+AU188+BJ188+BK188+BL188</f>
        <v>6129.8781251658</v>
      </c>
      <c r="BO188" s="88" t="n">
        <f aca="false">AQ188+BF188</f>
        <v>1329.40086709164</v>
      </c>
      <c r="BP188" s="88" t="n">
        <f aca="false">AI188*(1+IF(K188=3,INDEX(in_sup_vat_rate,1,C188),0))+AO188*Y188/AB188+AV188*BA188+(BC188+BD188)*AV188/AY188+AZ188*AI188/AL188+BN188*AC188/AF188+BO188*Y188/AB188</f>
        <v>7118.15127339316</v>
      </c>
      <c r="BQ188" s="88" t="n">
        <f aca="false">AJ188*(1+IF(K188=3,INDEX(in_sup_vat_rate,1,C188),0))+AO188*Z188/AB188+AW188*BA188+(BC188+BD188)*AW188/AY188+AZ188*AJ188/AL188+BN188*AD188/AF188+BO188*Z188/AB188</f>
        <v>7312.78086621743</v>
      </c>
      <c r="BR188" s="88" t="n">
        <f aca="false">AK188*(1+IF(K188=3,INDEX(in_sup_vat_rate,1,C188),0))+AO188*AA188/AB188+AX188*BA188+(BC188+BD188)*AX188/AY188+AZ188*AK188/AL188+BN188*AE188/AF188+BO188*AA188/AB188</f>
        <v>5896.98093743733</v>
      </c>
      <c r="BS188" s="89" t="n">
        <f aca="false">BP188+BQ188+BR188-BM188</f>
        <v>0</v>
      </c>
      <c r="BT188" s="85" t="n">
        <f aca="false">Y188*(1-R188)</f>
        <v>25413</v>
      </c>
      <c r="BU188" s="85" t="n">
        <f aca="false">Z188*(1-R188)</f>
        <v>25413</v>
      </c>
      <c r="BV188" s="85" t="n">
        <f aca="false">AA188*(1-R188)</f>
        <v>25413</v>
      </c>
      <c r="BW188" s="85" t="n">
        <f aca="false">BT188+BU188+BV188</f>
        <v>76239</v>
      </c>
      <c r="BX188" s="90" t="n">
        <f aca="false">IF(BT188&gt;0,BP188/BT188,0)</f>
        <v>0.280098818454852</v>
      </c>
      <c r="BY188" s="90" t="n">
        <f aca="false">IF(BU188&gt;0,BQ188/BU188,0)</f>
        <v>0.28775748106156</v>
      </c>
      <c r="BZ188" s="90" t="n">
        <f aca="false">IF(BV188&gt;0,BR188/BV188,0)</f>
        <v>0.232045840217106</v>
      </c>
      <c r="CA188" s="90" t="n">
        <f aca="false">INDEX(in_mkt_listing_3464,1,C188)*(1-IF(sku_flute_3464="B",T188,0))*(1-S188)*N188</f>
        <v>0.234</v>
      </c>
      <c r="CB188" s="90" t="n">
        <f aca="false">INDEX(in_mkt_listing_3463,1,C188)*(1-IF(sku_flute_3463="B",T188,0))*(1-S188)*N188</f>
        <v>0.27</v>
      </c>
      <c r="CC188" s="90" t="n">
        <f aca="false">INDEX(in_mkt_listing_3460,1,C188)*(1-IF(sku_flute_3460="B",T188,0))*(1-S188)*N188</f>
        <v>0.225</v>
      </c>
      <c r="CD188" s="88" t="n">
        <f aca="false">BT188*CA188+BU188*CB188+BV188*CC188</f>
        <v>18526.077</v>
      </c>
      <c r="CE188" s="88" t="n">
        <f aca="false">CD188-BM188</f>
        <v>-1801.83607704791</v>
      </c>
      <c r="CF188" s="87" t="n">
        <f aca="false">IF(CD188&gt;0,CE188/CD188,0)</f>
        <v>-0.0972594509376113</v>
      </c>
      <c r="CG188" s="87" t="n">
        <f aca="false">W188+INDEX(in_sel_processing,1,C188)+INDEX(in_sel_bad_debt,1,C188)</f>
        <v>0.058</v>
      </c>
      <c r="CH188" s="88" t="n">
        <f aca="false">CD188*CG188</f>
        <v>1074.512466</v>
      </c>
      <c r="CI188" s="88" t="n">
        <f aca="false">INDEX(in_sel_testing,1,C188)*X188+INDEX(in_sel_admin,1,C188)</f>
        <v>3000</v>
      </c>
      <c r="CJ188" s="79" t="n">
        <f aca="false">INDEX(in_sup_lead_days,1,C188)</f>
        <v>21</v>
      </c>
      <c r="CK188" s="79" t="n">
        <f aca="false">CJ188+INDEX(in_oce_transit,1,C188)+IF(F188=4,INDEX(in_oce_lcl_extra_days,1,C188),0)</f>
        <v>51</v>
      </c>
      <c r="CL188" s="79" t="n">
        <f aca="false">CK188+2+INDEX(in_cus_dem_days,1,C188)</f>
        <v>53</v>
      </c>
      <c r="CM188" s="79" t="n">
        <f aca="false">CL188+U188</f>
        <v>98</v>
      </c>
      <c r="CN188" s="79" t="n">
        <f aca="false">CJ188+INDEX(in_sup_vat_lag,1,C188)</f>
        <v>81</v>
      </c>
      <c r="CO188" s="91" t="n">
        <f aca="false">INDEX(in_sup_advance,1,C188)</f>
        <v>0.5</v>
      </c>
      <c r="CP188" s="88" t="n">
        <f aca="false">CO188*(AL188+AM188)+AO188+INDEX(in_sel_testing,1,C188)*X188</f>
        <v>8955.05980126879</v>
      </c>
      <c r="CQ188" s="88" t="n">
        <f aca="false">(1-CO188)*(AL188+AM188)+AR188+AU188+AZ188</f>
        <v>11937.9769890175</v>
      </c>
      <c r="CR188" s="88" t="n">
        <f aca="false">BB188+BC188+BD188+BF188+BJ188</f>
        <v>2010.32957128379</v>
      </c>
      <c r="CS188" s="88" t="n">
        <f aca="false">BK188+BL188</f>
        <v>1510</v>
      </c>
      <c r="CT188" s="88" t="n">
        <f aca="false">IF(K188=2,AM188,0)</f>
        <v>1585.45328452216</v>
      </c>
      <c r="CU188" s="85" t="n">
        <f aca="false">IF(K188=2,CO188*AM188*(CN188-0)+(1-CO188)*AM188*(CN188-CJ188),0)</f>
        <v>111774.456558812</v>
      </c>
      <c r="CV188" s="85" t="n">
        <f aca="false">(CP188-CO188*CT188)*(CM188-0)+(CQ188-(1-CO188)*CT188)*(CM188-CJ188)+CR188*(CM188-CK188)+CS188*(CM188-CL188)</f>
        <v>1820528.41613334</v>
      </c>
      <c r="CW188" s="88" t="n">
        <f aca="false">INDEX(in_sel_fin_rate,1,C188)/365*(CU188+CV188)</f>
        <v>529.398047312918</v>
      </c>
      <c r="CX188" s="85" t="n">
        <f aca="false">CP188-IF(CN188&lt;=0,CT188,0)</f>
        <v>8955.05980126879</v>
      </c>
      <c r="CY188" s="85" t="n">
        <f aca="false">CP188+CQ188-IF(CN188&lt;=CJ188,CT188,0)</f>
        <v>20893.0367902863</v>
      </c>
      <c r="CZ188" s="85" t="n">
        <f aca="false">CP188+CQ188+CR188-IF(CN188&lt;=CK188,CT188,0)</f>
        <v>22903.3663615701</v>
      </c>
      <c r="DA188" s="85" t="n">
        <f aca="false">CP188+CQ188+CR188+CS188-IF(CN188&lt;=CL188,CT188,0)</f>
        <v>24413.3663615701</v>
      </c>
      <c r="DB188" s="88" t="n">
        <f aca="false">MAX(CX188,CY188,CZ188,DA188)</f>
        <v>24413.3663615701</v>
      </c>
      <c r="DC188" s="88" t="n">
        <f aca="false">CP188+CQ188+CR188+CS188</f>
        <v>24413.3663615701</v>
      </c>
      <c r="DD188" s="88" t="n">
        <f aca="false">CE188-CH188-CI188-CW188</f>
        <v>-6405.74659036083</v>
      </c>
      <c r="DE188" s="87" t="n">
        <f aca="false">IF(CD188&gt;0,DD188/CD188,0)</f>
        <v>-0.345769187419486</v>
      </c>
      <c r="DF188" s="86" t="n">
        <f aca="false">IF(CD188&gt;0,(BM188+CI188+CW188)/(CD188*(1-CG188)),0)</f>
        <v>1.367058585371</v>
      </c>
      <c r="DG188" s="90" t="n">
        <f aca="false">IF(BW188&gt;0,BM188/BW188,0)</f>
        <v>0.26663404657784</v>
      </c>
      <c r="DH188" s="90" t="n">
        <f aca="false">IF(BW188&gt;0,CD188/BW188,0)</f>
        <v>0.243</v>
      </c>
      <c r="DI188" s="90" t="n">
        <f aca="false">IF(AI188&gt;0,(AI188*IF(K188=3,INDEX(in_sup_vat_rate,1,C188),0)+AV188*BA188+(BC188+BD188)*AV188/AY188+AZ188*AI188/AL188)/AI188,0)</f>
        <v>0.136336711689146</v>
      </c>
      <c r="DJ188" s="90" t="n">
        <f aca="false">IF(AJ188&gt;0,(AJ188*IF(K188=3,INDEX(in_sup_vat_rate,1,C188),0)+AW188*BA188+(BC188+BD188)*AW188/AY188+AZ188*AJ188/AL188)/AJ188,0)</f>
        <v>0.136336711689146</v>
      </c>
      <c r="DK188" s="90" t="n">
        <f aca="false">IF(AK188&gt;0,(AK188*IF(K188=3,INDEX(in_sup_vat_rate,1,C188),0)+AX188*BA188+(BC188+BD188)*AX188/AY188+AZ188*AK188/AL188)/AK188,0)</f>
        <v>0.136336711689146</v>
      </c>
      <c r="DL188" s="90" t="n">
        <f aca="false">IF(Y188&gt;0,(BP188-AI188*(1+DI188))/Y188,0)</f>
        <v>0.0957837858987348</v>
      </c>
      <c r="DM188" s="90" t="n">
        <f aca="false">IF(Z188&gt;0,(BQ188-AJ188*(1+DJ188))/Z188,0)</f>
        <v>0.113339857972185</v>
      </c>
      <c r="DN188" s="90" t="n">
        <f aca="false">IF(AA188&gt;0,(BR188-AK188*(1+DK188))/AA188,0)</f>
        <v>0.0799956969142526</v>
      </c>
      <c r="DO188" s="86" t="n">
        <f aca="false">IF(Y188&gt;0,(CA188*(1-thr_gm_go)*(1-R188)-DL188)/(1+DI188)*I188/((1+AH188)*J188),"")</f>
        <v>3.57999310688847</v>
      </c>
      <c r="DP188" s="86" t="n">
        <f aca="false">IF(Z188&gt;0,(CB188*(1-thr_gm_go)*(1-R188)-DM188)/(1+DJ188)*I188/((1+AH188)*J188),"")</f>
        <v>3.99978735328661</v>
      </c>
      <c r="DQ188" s="86" t="n">
        <f aca="false">IF(AA188&gt;0,(CC188*(1-thr_gm_go)*(1-R188)-DN188)/(1+DK188)*I188/((1+AH188)*J188),"")</f>
        <v>4.00445073645962</v>
      </c>
      <c r="DR188" s="92" t="n">
        <f aca="false">IF(AND(AY188*INDEX(in_cus_mpf_rate,1,C188)&gt;INDEX(in_cus_mpf_min,1,C188),AY188*INDEX(in_cus_mpf_rate,1,C188)&lt;INDEX(in_cus_mpf_max,1,C188)),INDEX(in_cus_mpf_rate,1,C188),0)</f>
        <v>0.003464</v>
      </c>
      <c r="DS188" s="88" t="n">
        <f aca="false">IF(AZ188&gt;INDEX(in_oce_ins_min,1,C188),INDEX(in_oce_ins_rate,1,C188)*(1+INDEX(in_oce_ins_uplift,1,C188))*AL188,0)</f>
        <v>0</v>
      </c>
      <c r="DT188" s="88" t="n">
        <f aca="false">(AL188+AN188)*(1+BA188+INDEX(in_cus_hmf,1,C188)+DR188)+DS188</f>
        <v>12793.6340847905</v>
      </c>
      <c r="DU188" s="86" t="n">
        <f aca="false">IF(DT188&gt;0,(CD188*(1-thr_gm_go)-(BM188-DT188))/DT188,0)</f>
        <v>0.497144026129674</v>
      </c>
      <c r="DV188" s="86" t="n">
        <f aca="false">IF(DT188&gt;0,(CD188-(BM188-DT188))/DT188,0)</f>
        <v>0.859161512271951</v>
      </c>
      <c r="DW188" s="87" t="n">
        <f aca="false">(1+AH188)*J188*DU188-1</f>
        <v>-0.502855973870326</v>
      </c>
      <c r="DX188" s="87" t="n">
        <f aca="false">(1+AH188)*J188*DV188-1</f>
        <v>-0.140838487728049</v>
      </c>
      <c r="DY188" s="85" t="n">
        <f aca="false">IF(G188&gt;0,(CD188*(1-thr_gm_go)-(BM188-AT188))/G188,"")</f>
        <v>-2433.35532704791</v>
      </c>
      <c r="DZ188" s="90" t="n">
        <f aca="false">IF(AB188&gt;0,(AL188+AN188+BB188+BC188+BD188)/AB188,0)</f>
        <v>0.165292430036053</v>
      </c>
      <c r="EA188" s="88" t="n">
        <f aca="false">BM188-DZ188*AB188</f>
        <v>7534.27899225744</v>
      </c>
      <c r="EB188" s="90" t="n">
        <f aca="false">IF(AB188&gt;0,CD188/AB188,0)</f>
        <v>0.239355</v>
      </c>
      <c r="EC188" s="85" t="n">
        <f aca="false">IF(EB188*(1-thr_gm_go)-DZ188&gt;0,EA188/(EB188*(1-thr_gm_go)-DZ188),"n/a")</f>
        <v>529694.485121035</v>
      </c>
      <c r="ED188" s="85" t="n">
        <f aca="false">IF(EB188-DZ188&gt;0,EA188/(EB188-DZ188),"n/a")</f>
        <v>101728.565399837</v>
      </c>
      <c r="EE188" s="93" t="b">
        <f aca="false">INDEX(cfg_fits,D188,C188)</f>
        <v>1</v>
      </c>
      <c r="EF188" s="87" t="n">
        <f aca="false">IF(F188=4,"",INDEX(cfg_lenutil,D188,C188))</f>
        <v>0.999580888516345</v>
      </c>
      <c r="EG188" s="31" t="str">
        <f aca="false">IF(O188&gt;1,"Check fit (units scaled up)","")</f>
        <v/>
      </c>
    </row>
    <row r="189" customFormat="false" ht="15" hidden="false" customHeight="false" outlineLevel="0" collapsed="false">
      <c r="A189" s="78" t="n">
        <v>950002</v>
      </c>
      <c r="B189" s="9" t="s">
        <v>3337</v>
      </c>
      <c r="C189" s="78" t="n">
        <v>2</v>
      </c>
      <c r="D189" s="78" t="n">
        <v>4</v>
      </c>
      <c r="E189" s="10" t="n">
        <f aca="false">sel_dest</f>
        <v>1</v>
      </c>
      <c r="F189" s="79" t="n">
        <f aca="false">INDEX(cfg_ct,D189)</f>
        <v>3</v>
      </c>
      <c r="G189" s="79" t="n">
        <f aca="false">INDEX(cfg_n,D189)</f>
        <v>1</v>
      </c>
      <c r="H189" s="79" t="n">
        <f aca="false">INDEX(dest_port,E189)</f>
        <v>1</v>
      </c>
      <c r="I189" s="80" t="n">
        <f aca="false">INDEX(in_fx_cbe,1,C189)*(1-INDEX(in_fx_spread,1,C189))</f>
        <v>52.7748</v>
      </c>
      <c r="J189" s="81" t="n">
        <f aca="false">1</f>
        <v>1</v>
      </c>
      <c r="K189" s="82" t="n">
        <f aca="false">INDEX(in_sup_vat_mode,1,C189)</f>
        <v>2</v>
      </c>
      <c r="L189" s="28" t="n">
        <v>0</v>
      </c>
      <c r="M189" s="84" t="n">
        <f aca="false">1</f>
        <v>1</v>
      </c>
      <c r="N189" s="81" t="n">
        <f aca="false">1</f>
        <v>1</v>
      </c>
      <c r="O189" s="81" t="n">
        <f aca="false">1</f>
        <v>1</v>
      </c>
      <c r="P189" s="81" t="n">
        <f aca="false">1</f>
        <v>1</v>
      </c>
      <c r="Q189" s="81" t="n">
        <f aca="false">1</f>
        <v>1</v>
      </c>
      <c r="R189" s="83" t="n">
        <f aca="false">INDEX(in_sel_damage,1,C189)</f>
        <v>0.015</v>
      </c>
      <c r="S189" s="83" t="n">
        <f aca="false">INDEX(in_mkt_dist_margin,1,C189)</f>
        <v>0.25</v>
      </c>
      <c r="T189" s="83" t="n">
        <f aca="false">INDEX(in_mkt_eflute_disc,1,C189)</f>
        <v>0.2</v>
      </c>
      <c r="U189" s="82" t="n">
        <f aca="false">INDEX(in_sel_credit_days,1,C189)</f>
        <v>45</v>
      </c>
      <c r="V189" s="81" t="n">
        <f aca="false">1</f>
        <v>1</v>
      </c>
      <c r="W189" s="83" t="n">
        <f aca="false">INDEX(in_sel_commission,1,C189)</f>
        <v>0.05</v>
      </c>
      <c r="X189" s="82" t="n">
        <f aca="false">1</f>
        <v>1</v>
      </c>
      <c r="Y189" s="85" t="n">
        <f aca="false">INDEX(cfg_u_3464,D189,C189)*O189</f>
        <v>25800</v>
      </c>
      <c r="Z189" s="85" t="n">
        <f aca="false">INDEX(cfg_u_3463,D189,C189)*O189</f>
        <v>25800</v>
      </c>
      <c r="AA189" s="85" t="n">
        <f aca="false">INDEX(cfg_u_3460,D189,C189)*O189</f>
        <v>25800</v>
      </c>
      <c r="AB189" s="85" t="n">
        <f aca="false">Y189+Z189+AA189</f>
        <v>77400</v>
      </c>
      <c r="AC189" s="86" t="n">
        <f aca="false">Y189*INDEX(lg_vpu_3464,C189)</f>
        <v>18.3539136</v>
      </c>
      <c r="AD189" s="86" t="n">
        <f aca="false">Z189*INDEX(lg_vpu_3463,C189)</f>
        <v>22.4530176</v>
      </c>
      <c r="AE189" s="86" t="n">
        <f aca="false">AA189*INDEX(lg_vpu_3460,C189)</f>
        <v>14.6676096</v>
      </c>
      <c r="AF189" s="86" t="n">
        <f aca="false">AC189+AD189+AE189</f>
        <v>55.4745408</v>
      </c>
      <c r="AG189" s="85" t="n">
        <f aca="false">Y189*INDEX(lg_kpu_3464,C189)+Z189*INDEX(lg_kpu_3463,C189)+AA189*INDEX(lg_kpu_3460,C189)</f>
        <v>13341.3537888</v>
      </c>
      <c r="AH189" s="87" t="n">
        <f aca="false">INDEX(in_sup_requote,1,C189)</f>
        <v>0</v>
      </c>
      <c r="AI189" s="88" t="n">
        <f aca="false">Y189*q_price_3464*(1+AH189)*J189/I189</f>
        <v>4089.39493849337</v>
      </c>
      <c r="AJ189" s="88" t="n">
        <f aca="false">Z189*q_price_3463*(1+AH189)*J189/I189</f>
        <v>3862.07053366379</v>
      </c>
      <c r="AK189" s="88" t="n">
        <f aca="false">AA189*q_price_3460*(1+AH189)*J189/I189</f>
        <v>3373.20084585825</v>
      </c>
      <c r="AL189" s="88" t="n">
        <f aca="false">AI189+AJ189+AK189</f>
        <v>11324.6663180154</v>
      </c>
      <c r="AM189" s="88" t="n">
        <f aca="false">IF(OR(K189=2,K189=3),AL189*INDEX(in_sup_vat_rate,1,C189),0)</f>
        <v>1585.45328452216</v>
      </c>
      <c r="AN189" s="88" t="n">
        <f aca="false">IF(K189=3,AM189,0)</f>
        <v>0</v>
      </c>
      <c r="AO189" s="88" t="n">
        <f aca="false">INDEX(in_sup_tooling_egp,1,C189)/I189</f>
        <v>0</v>
      </c>
      <c r="AP189" s="88" t="n">
        <f aca="false">IF(F189=4,INDEX(in_ori_lcl_truck,1,C189)*V189/I189+INDEX(in_ori_lcl_cfs_o,1,C189),G189*(IF(F189=1,INDEX(in_ori_truck_20,1,C189),INDEX(in_ori_truck_40,1,C189))*V189/I189+INDEX(in_ori_terminal,1,C189)+IF(F189=1,INDEX(in_ori_othc_20,1,C189),INDEX(in_ori_othc_40,1,C189))*(1-INDEX(in_ori_othc_in_freight,1,C189))+INDEX(in_ori_seal,1,C189)+INDEX(in_ori_inspection,1,C189)+INDEX(in_ori_dd_days,1,C189)*IF(F189=1,INDEX(in_ori_dd_20,1,C189),INDEX(in_ori_dd_40,1,C189))+INDEX(in_ori_loading_egp,1,C189)/I189))</f>
        <v>555.278125165799</v>
      </c>
      <c r="AQ189" s="88" t="n">
        <f aca="false">(INDEX(in_ori_clearance,1,C189)+INDEX(in_ori_coo,1,C189))/I189+INDEX(in_ori_bl_fee,1,C189)+INDEX(in_ori_fwd_fee,1,C189)+INDEX(in_ori_qc,1,C189)+INDEX(in_ori_wires,1,C189)*INDEX(in_ori_wire_fee,1,C189)</f>
        <v>817.639062582899</v>
      </c>
      <c r="AR189" s="88" t="n">
        <f aca="false">AP189+AQ189</f>
        <v>1372.9171877487</v>
      </c>
      <c r="AS189" s="85" t="n">
        <f aca="false">INDEX(tbl_port_diff,H189,C189)</f>
        <v>0</v>
      </c>
      <c r="AT189" s="88" t="n">
        <f aca="false">IF(F189=4,MAX(AF189*INDEX(in_oce_lcl_factor,1,C189),AG189/1000,1)*INDEX(in_oce_lcl_rate,1,C189)*M189,G189*(INDEX(tbl_ocean_rate,MIN(F189,3),C189)+AS189)*M189)</f>
        <v>4000</v>
      </c>
      <c r="AU189" s="88" t="n">
        <f aca="false">AT189+INDEX(in_oce_ams,1,C189)</f>
        <v>4035</v>
      </c>
      <c r="AV189" s="88" t="n">
        <f aca="false">AI189*(1+IF(K189=3,INDEX(in_sup_vat_rate,1,C189),0))+AO189*Y189/AB189</f>
        <v>4089.39493849337</v>
      </c>
      <c r="AW189" s="88" t="n">
        <f aca="false">AJ189*(1+IF(K189=3,INDEX(in_sup_vat_rate,1,C189),0))+AO189*Z189/AB189</f>
        <v>3862.07053366379</v>
      </c>
      <c r="AX189" s="88" t="n">
        <f aca="false">AK189*(1+IF(K189=3,INDEX(in_sup_vat_rate,1,C189),0))+AO189*AA189/AB189</f>
        <v>3373.20084585825</v>
      </c>
      <c r="AY189" s="88" t="n">
        <f aca="false">AV189+AW189+AX189</f>
        <v>11324.6663180154</v>
      </c>
      <c r="AZ189" s="88" t="n">
        <f aca="false">MAX(INDEX(in_oce_ins_min,1,C189),INDEX(in_oce_ins_rate,1,C189)*(1+INDEX(in_oce_ins_uplift,1,C189))*(AL189+AO189+AR189+AU189))*(1-INDEX(in_oce_ins_in_other,1,C189))</f>
        <v>75</v>
      </c>
      <c r="BA189" s="87" t="n">
        <f aca="false">INDEX(in_cus_mfn,1,C189)+L189</f>
        <v>0</v>
      </c>
      <c r="BB189" s="88" t="n">
        <f aca="false">AY189*BA189</f>
        <v>0</v>
      </c>
      <c r="BC189" s="88" t="n">
        <f aca="false">MIN(MAX(AY189*INDEX(in_cus_mpf_rate,1,C189),INDEX(in_cus_mpf_min,1,C189)),INDEX(in_cus_mpf_max,1,C189))</f>
        <v>39.2286441256054</v>
      </c>
      <c r="BD189" s="88" t="n">
        <f aca="false">AY189*INDEX(in_cus_hmf,1,C189)</f>
        <v>14.1558328975193</v>
      </c>
      <c r="BE189" s="88" t="n">
        <f aca="false">MAX(INDEX(in_cus_stb_min,1,C189),INDEX(in_cus_stb_rate,1,C189)/1000*(AY189+BB189+BC189+BD189))</f>
        <v>75</v>
      </c>
      <c r="BF189" s="88" t="n">
        <f aca="false">INDEX(in_cus_broker,1,C189)+INDEX(in_cus_isf,1,C189)+INDEX(in_cus_do_fee,1,C189)+BE189+INDEX(in_cus_isf_bond,1,C189)</f>
        <v>510</v>
      </c>
      <c r="BG189" s="88" t="n">
        <f aca="false">IF(H189=1,INDEX(in_cus_cfc,1,C189)*INDEX(ct_teu,F189)*G189*(1-INDEX(in_cus_cfc_in_freight,1,C189)),0)</f>
        <v>29.6</v>
      </c>
      <c r="BH189" s="88" t="n">
        <f aca="false">IF(F189=4,1,G189)*(INDEX(in_cus_exam,1,C189)+INDEX(in_cus_exam_dray,1,C189))</f>
        <v>0</v>
      </c>
      <c r="BI189" s="88" t="n">
        <f aca="false">IF(F189=4,1,G189)*INDEX(in_cus_dem_days,1,C189)*INDEX(in_cus_dem_rate,1,C189)</f>
        <v>0</v>
      </c>
      <c r="BJ189" s="88" t="n">
        <f aca="false">BG189+BH189+BI189</f>
        <v>29.6</v>
      </c>
      <c r="BK189" s="88" t="n">
        <f aca="false">IF(F189=4,(INDEX(in_dra_lcl_cfs_d,1,C189)+INDEX(in_dra_lcl_deliv,1,C189))*P189,G189*(INDEX(tbl_dest_line,E189,C189)*P189*(1+INDEX(in_dra_fsc,1,C189))+INDEX(tbl_dest_tolls,E189,C189)+INDEX(in_dra_chassis_days,1,C189)*INDEX(tbl_dest_chassis,E189,C189)*(1-INDEX(in_dra_chassis_in_dray,1,C189))+INDEX(in_dra_wait_hours,1,C189)*INDEX(in_dra_wait_rate,1,C189)+INDEX(in_dra_split,1,C189)+INDEX(in_dra_prepull,1,C189)+INDEX(in_dra_dryrun,1,C189)))</f>
        <v>1060</v>
      </c>
      <c r="BL189" s="88" t="n">
        <f aca="false">IF(F189=4,0,G189*IF(F189=1,INDEX(in_dra_unload_20,1,C189),INDEX(in_dra_unload_40,1,C189))*Q189*(1-INDEX(in_dra_unload_in_dray,1,C189)))</f>
        <v>450</v>
      </c>
      <c r="BM189" s="88" t="n">
        <f aca="false">AL189+AN189+AO189+AR189+AU189+AZ189+BB189+BC189+BD189+BF189+BJ189+BK189+BL189</f>
        <v>18910.5679827872</v>
      </c>
      <c r="BN189" s="88" t="n">
        <f aca="false">AP189+AU189+BJ189+BK189+BL189</f>
        <v>6129.8781251658</v>
      </c>
      <c r="BO189" s="88" t="n">
        <f aca="false">AQ189+BF189</f>
        <v>1327.6390625829</v>
      </c>
      <c r="BP189" s="88" t="n">
        <f aca="false">AI189*(1+IF(K189=3,INDEX(in_sup_vat_rate,1,C189),0))+AO189*Y189/AB189+AV189*BA189+(BC189+BD189)*AV189/AY189+AZ189*AI189/AL189+BN189*AC189/AF189+BO189*Y189/AB189</f>
        <v>6606.3896379119</v>
      </c>
      <c r="BQ189" s="88" t="n">
        <f aca="false">AJ189*(1+IF(K189=3,INDEX(in_sup_vat_rate,1,C189),0))+AO189*Z189/AB189+AW189*BA189+(BC189+BD189)*AW189/AY189+AZ189*AJ189/AL189+BN189*AD189/AF189+BO189*Z189/AB189</f>
        <v>6829.43478133987</v>
      </c>
      <c r="BR189" s="88" t="n">
        <f aca="false">AK189*(1+IF(K189=3,INDEX(in_sup_vat_rate,1,C189),0))+AO189*AA189/AB189+AX189*BA189+(BC189+BD189)*AX189/AY189+AZ189*AK189/AL189+BN189*AE189/AF189+BO189*AA189/AB189</f>
        <v>5474.74356353547</v>
      </c>
      <c r="BS189" s="89" t="n">
        <f aca="false">BP189+BQ189+BR189-BM189</f>
        <v>0</v>
      </c>
      <c r="BT189" s="85" t="n">
        <f aca="false">Y189*(1-R189)</f>
        <v>25413</v>
      </c>
      <c r="BU189" s="85" t="n">
        <f aca="false">Z189*(1-R189)</f>
        <v>25413</v>
      </c>
      <c r="BV189" s="85" t="n">
        <f aca="false">AA189*(1-R189)</f>
        <v>25413</v>
      </c>
      <c r="BW189" s="85" t="n">
        <f aca="false">BT189+BU189+BV189</f>
        <v>76239</v>
      </c>
      <c r="BX189" s="90" t="n">
        <f aca="false">IF(BT189&gt;0,BP189/BT189,0)</f>
        <v>0.259961029312238</v>
      </c>
      <c r="BY189" s="90" t="n">
        <f aca="false">IF(BU189&gt;0,BQ189/BU189,0)</f>
        <v>0.268737842102069</v>
      </c>
      <c r="BZ189" s="90" t="n">
        <f aca="false">IF(BV189&gt;0,BR189/BV189,0)</f>
        <v>0.215430825307341</v>
      </c>
      <c r="CA189" s="90" t="n">
        <f aca="false">INDEX(in_mkt_listing_3464,1,C189)*(1-IF(sku_flute_3464="B",T189,0))*(1-S189)*N189</f>
        <v>0.234</v>
      </c>
      <c r="CB189" s="90" t="n">
        <f aca="false">INDEX(in_mkt_listing_3463,1,C189)*(1-IF(sku_flute_3463="B",T189,0))*(1-S189)*N189</f>
        <v>0.27</v>
      </c>
      <c r="CC189" s="90" t="n">
        <f aca="false">INDEX(in_mkt_listing_3460,1,C189)*(1-IF(sku_flute_3460="B",T189,0))*(1-S189)*N189</f>
        <v>0.225</v>
      </c>
      <c r="CD189" s="88" t="n">
        <f aca="false">BT189*CA189+BU189*CB189+BV189*CC189</f>
        <v>18526.077</v>
      </c>
      <c r="CE189" s="88" t="n">
        <f aca="false">CD189-BM189</f>
        <v>-384.490982787236</v>
      </c>
      <c r="CF189" s="87" t="n">
        <f aca="false">IF(CD189&gt;0,CE189/CD189,0)</f>
        <v>-0.0207540421421781</v>
      </c>
      <c r="CG189" s="87" t="n">
        <f aca="false">W189+INDEX(in_sel_processing,1,C189)+INDEX(in_sel_bad_debt,1,C189)</f>
        <v>0.058</v>
      </c>
      <c r="CH189" s="88" t="n">
        <f aca="false">CD189*CG189</f>
        <v>1074.512466</v>
      </c>
      <c r="CI189" s="88" t="n">
        <f aca="false">INDEX(in_sel_testing,1,C189)*X189+INDEX(in_sel_admin,1,C189)</f>
        <v>3000</v>
      </c>
      <c r="CJ189" s="79" t="n">
        <f aca="false">INDEX(in_sup_lead_days,1,C189)</f>
        <v>21</v>
      </c>
      <c r="CK189" s="79" t="n">
        <f aca="false">CJ189+INDEX(in_oce_transit,1,C189)+IF(F189=4,INDEX(in_oce_lcl_extra_days,1,C189),0)</f>
        <v>51</v>
      </c>
      <c r="CL189" s="79" t="n">
        <f aca="false">CK189+2+INDEX(in_cus_dem_days,1,C189)</f>
        <v>53</v>
      </c>
      <c r="CM189" s="79" t="n">
        <f aca="false">CL189+U189</f>
        <v>98</v>
      </c>
      <c r="CN189" s="79" t="n">
        <f aca="false">CJ189+INDEX(in_sup_vat_lag,1,C189)</f>
        <v>81</v>
      </c>
      <c r="CO189" s="91" t="n">
        <f aca="false">INDEX(in_sup_advance,1,C189)</f>
        <v>0.5</v>
      </c>
      <c r="CP189" s="88" t="n">
        <f aca="false">CO189*(AL189+AM189)+AO189+INDEX(in_sel_testing,1,C189)*X189</f>
        <v>8955.05980126879</v>
      </c>
      <c r="CQ189" s="88" t="n">
        <f aca="false">(1-CO189)*(AL189+AM189)+AR189+AU189+AZ189</f>
        <v>11937.9769890175</v>
      </c>
      <c r="CR189" s="88" t="n">
        <f aca="false">BB189+BC189+BD189+BF189+BJ189</f>
        <v>592.984477023125</v>
      </c>
      <c r="CS189" s="88" t="n">
        <f aca="false">BK189+BL189</f>
        <v>1510</v>
      </c>
      <c r="CT189" s="88" t="n">
        <f aca="false">IF(K189=2,AM189,0)</f>
        <v>1585.45328452216</v>
      </c>
      <c r="CU189" s="85" t="n">
        <f aca="false">IF(K189=2,CO189*AM189*(CN189-0)+(1-CO189)*AM189*(CN189-CJ189),0)</f>
        <v>111774.456558812</v>
      </c>
      <c r="CV189" s="85" t="n">
        <f aca="false">(CP189-CO189*CT189)*(CM189-0)+(CQ189-(1-CO189)*CT189)*(CM189-CJ189)+CR189*(CM189-CK189)+CS189*(CM189-CL189)</f>
        <v>1753913.19670309</v>
      </c>
      <c r="CW189" s="88" t="n">
        <f aca="false">INDEX(in_sel_fin_rate,1,C189)/365*(CU189+CV189)</f>
        <v>511.147302263534</v>
      </c>
      <c r="CX189" s="85" t="n">
        <f aca="false">CP189-IF(CN189&lt;=0,CT189,0)</f>
        <v>8955.05980126879</v>
      </c>
      <c r="CY189" s="85" t="n">
        <f aca="false">CP189+CQ189-IF(CN189&lt;=CJ189,CT189,0)</f>
        <v>20893.0367902863</v>
      </c>
      <c r="CZ189" s="85" t="n">
        <f aca="false">CP189+CQ189+CR189-IF(CN189&lt;=CK189,CT189,0)</f>
        <v>21486.0212673094</v>
      </c>
      <c r="DA189" s="85" t="n">
        <f aca="false">CP189+CQ189+CR189+CS189-IF(CN189&lt;=CL189,CT189,0)</f>
        <v>22996.0212673094</v>
      </c>
      <c r="DB189" s="88" t="n">
        <f aca="false">MAX(CX189,CY189,CZ189,DA189)</f>
        <v>22996.0212673094</v>
      </c>
      <c r="DC189" s="88" t="n">
        <f aca="false">CP189+CQ189+CR189+CS189</f>
        <v>22996.0212673094</v>
      </c>
      <c r="DD189" s="88" t="n">
        <f aca="false">CE189-CH189-CI189-CW189</f>
        <v>-4970.15075105077</v>
      </c>
      <c r="DE189" s="87" t="n">
        <f aca="false">IF(CD189&gt;0,DD189/CD189,0)</f>
        <v>-0.268278640483399</v>
      </c>
      <c r="DF189" s="86" t="n">
        <f aca="false">IF(CD189&gt;0,(BM189+CI189+CW189)/(CD189*(1-CG189)),0)</f>
        <v>1.28479685826263</v>
      </c>
      <c r="DG189" s="90" t="n">
        <f aca="false">IF(BW189&gt;0,BM189/BW189,0)</f>
        <v>0.248043232240549</v>
      </c>
      <c r="DH189" s="90" t="n">
        <f aca="false">IF(BW189&gt;0,CD189/BW189,0)</f>
        <v>0.243</v>
      </c>
      <c r="DI189" s="90" t="n">
        <f aca="false">IF(AI189&gt;0,(AI189*IF(K189=3,INDEX(in_sup_vat_rate,1,C189),0)+AV189*BA189+(BC189+BD189)*AV189/AY189+AZ189*AI189/AL189)/AI189,0)</f>
        <v>0.0113367116891461</v>
      </c>
      <c r="DJ189" s="90" t="n">
        <f aca="false">IF(AJ189&gt;0,(AJ189*IF(K189=3,INDEX(in_sup_vat_rate,1,C189),0)+AW189*BA189+(BC189+BD189)*AW189/AY189+AZ189*AJ189/AL189)/AJ189,0)</f>
        <v>0.0113367116891461</v>
      </c>
      <c r="DK189" s="90" t="n">
        <f aca="false">IF(AK189&gt;0,(AK189*IF(K189=3,INDEX(in_sup_vat_rate,1,C189),0)+AX189*BA189+(BC189+BD189)*AX189/AY189+AZ189*AK189/AL189)/AK189,0)</f>
        <v>0.0113367116891461</v>
      </c>
      <c r="DL189" s="90" t="n">
        <f aca="false">IF(Y189&gt;0,(BP189-AI189*(1+DI189))/Y189,0)</f>
        <v>0.0957610235665805</v>
      </c>
      <c r="DM189" s="90" t="n">
        <f aca="false">IF(Z189&gt;0,(BQ189-AJ189*(1+DJ189))/Z189,0)</f>
        <v>0.113317095640031</v>
      </c>
      <c r="DN189" s="90" t="n">
        <f aca="false">IF(AA189&gt;0,(BR189-AK189*(1+DK189))/AA189,0)</f>
        <v>0.0799729345820983</v>
      </c>
      <c r="DO189" s="86" t="n">
        <f aca="false">IF(Y189&gt;0,(CA189*(1-thr_gm_go)*(1-R189)-DL189)/(1+DI189)*I189/((1+AH189)*J189),"")</f>
        <v>4.02366375653651</v>
      </c>
      <c r="DP189" s="86" t="n">
        <f aca="false">IF(Z189&gt;0,(CB189*(1-thr_gm_go)*(1-R189)-DM189)/(1+DJ189)*I189/((1+AH189)*J189),"")</f>
        <v>4.49534406639232</v>
      </c>
      <c r="DQ189" s="86" t="n">
        <f aca="false">IF(AA189&gt;0,(CC189*(1-thr_gm_go)*(1-R189)-DN189)/(1+DK189)*I189/((1+AH189)*J189),"")</f>
        <v>4.50058383811118</v>
      </c>
      <c r="DR189" s="92" t="n">
        <f aca="false">IF(AND(AY189*INDEX(in_cus_mpf_rate,1,C189)&gt;INDEX(in_cus_mpf_min,1,C189),AY189*INDEX(in_cus_mpf_rate,1,C189)&lt;INDEX(in_cus_mpf_max,1,C189)),INDEX(in_cus_mpf_rate,1,C189),0)</f>
        <v>0.003464</v>
      </c>
      <c r="DS189" s="88" t="n">
        <f aca="false">IF(AZ189&gt;INDEX(in_oce_ins_min,1,C189),INDEX(in_oce_ins_rate,1,C189)*(1+INDEX(in_oce_ins_uplift,1,C189))*AL189,0)</f>
        <v>0</v>
      </c>
      <c r="DT189" s="88" t="n">
        <f aca="false">(AL189+AN189)*(1+BA189+INDEX(in_cus_hmf,1,C189)+DR189)+DS189</f>
        <v>11378.0507950385</v>
      </c>
      <c r="DU189" s="86" t="n">
        <f aca="false">IF(DT189&gt;0,(CD189*(1-thr_gm_go)-(BM189-DT189))/DT189,0)</f>
        <v>0.559150304112327</v>
      </c>
      <c r="DV189" s="86" t="n">
        <f aca="false">IF(DT189&gt;0,(CD189-(BM189-DT189))/DT189,0)</f>
        <v>0.966207658085435</v>
      </c>
      <c r="DW189" s="87" t="n">
        <f aca="false">(1+AH189)*J189*DU189-1</f>
        <v>-0.440849695887673</v>
      </c>
      <c r="DX189" s="87" t="n">
        <f aca="false">(1+AH189)*J189*DV189-1</f>
        <v>-0.0337923419145655</v>
      </c>
      <c r="DY189" s="85" t="n">
        <f aca="false">IF(G189&gt;0,(CD189*(1-thr_gm_go)-(BM189-AT189))/G189,"")</f>
        <v>-1016.01023278724</v>
      </c>
      <c r="DZ189" s="90" t="n">
        <f aca="false">IF(AB189&gt;0,(AL189+AN189+BB189+BC189+BD189)/AB189,0)</f>
        <v>0.147003240245976</v>
      </c>
      <c r="EA189" s="88" t="n">
        <f aca="false">BM189-DZ189*AB189</f>
        <v>7532.5171877487</v>
      </c>
      <c r="EB189" s="90" t="n">
        <f aca="false">IF(AB189&gt;0,CD189/AB189,0)</f>
        <v>0.239355</v>
      </c>
      <c r="EC189" s="85" t="n">
        <f aca="false">IF(EB189*(1-thr_gm_go)-DZ189&gt;0,EA189/(EB189*(1-thr_gm_go)-DZ189),"n/a")</f>
        <v>231677.019283532</v>
      </c>
      <c r="ED189" s="85" t="n">
        <f aca="false">IF(EB189-DZ189&gt;0,EA189/(EB189-DZ189),"n/a")</f>
        <v>81563.3314168709</v>
      </c>
      <c r="EE189" s="93" t="b">
        <f aca="false">INDEX(cfg_fits,D189,C189)</f>
        <v>1</v>
      </c>
      <c r="EF189" s="87" t="n">
        <f aca="false">IF(F189=4,"",INDEX(cfg_lenutil,D189,C189))</f>
        <v>0.999580888516345</v>
      </c>
      <c r="EG189" s="31" t="str">
        <f aca="false">IF(O189&gt;1,"Check fit (units scaled up)","")</f>
        <v/>
      </c>
    </row>
    <row r="190" customFormat="false" ht="15" hidden="false" customHeight="false" outlineLevel="0" collapsed="false">
      <c r="A190" s="78" t="n">
        <v>950003</v>
      </c>
      <c r="B190" s="9" t="s">
        <v>3338</v>
      </c>
      <c r="C190" s="78" t="n">
        <v>2</v>
      </c>
      <c r="D190" s="78" t="n">
        <v>4</v>
      </c>
      <c r="E190" s="10" t="n">
        <f aca="false">sel_dest</f>
        <v>1</v>
      </c>
      <c r="F190" s="79" t="n">
        <f aca="false">INDEX(cfg_ct,D190)</f>
        <v>3</v>
      </c>
      <c r="G190" s="79" t="n">
        <f aca="false">INDEX(cfg_n,D190)</f>
        <v>1</v>
      </c>
      <c r="H190" s="79" t="n">
        <f aca="false">INDEX(dest_port,E190)</f>
        <v>1</v>
      </c>
      <c r="I190" s="80" t="n">
        <f aca="false">INDEX(in_fx_cbe,1,C190)*(1-INDEX(in_fx_spread,1,C190))</f>
        <v>52.7748</v>
      </c>
      <c r="J190" s="95" t="n">
        <v>0.85</v>
      </c>
      <c r="K190" s="82" t="n">
        <f aca="false">INDEX(in_sup_vat_mode,1,C190)</f>
        <v>2</v>
      </c>
      <c r="L190" s="28" t="n">
        <v>0</v>
      </c>
      <c r="M190" s="84" t="n">
        <f aca="false">1</f>
        <v>1</v>
      </c>
      <c r="N190" s="81" t="n">
        <f aca="false">1</f>
        <v>1</v>
      </c>
      <c r="O190" s="81" t="n">
        <f aca="false">1</f>
        <v>1</v>
      </c>
      <c r="P190" s="81" t="n">
        <f aca="false">1</f>
        <v>1</v>
      </c>
      <c r="Q190" s="81" t="n">
        <f aca="false">1</f>
        <v>1</v>
      </c>
      <c r="R190" s="83" t="n">
        <f aca="false">INDEX(in_sel_damage,1,C190)</f>
        <v>0.015</v>
      </c>
      <c r="S190" s="83" t="n">
        <f aca="false">INDEX(in_mkt_dist_margin,1,C190)</f>
        <v>0.25</v>
      </c>
      <c r="T190" s="83" t="n">
        <f aca="false">INDEX(in_mkt_eflute_disc,1,C190)</f>
        <v>0.2</v>
      </c>
      <c r="U190" s="82" t="n">
        <f aca="false">INDEX(in_sel_credit_days,1,C190)</f>
        <v>45</v>
      </c>
      <c r="V190" s="81" t="n">
        <f aca="false">1</f>
        <v>1</v>
      </c>
      <c r="W190" s="83" t="n">
        <f aca="false">INDEX(in_sel_commission,1,C190)</f>
        <v>0.05</v>
      </c>
      <c r="X190" s="82" t="n">
        <f aca="false">1</f>
        <v>1</v>
      </c>
      <c r="Y190" s="85" t="n">
        <f aca="false">INDEX(cfg_u_3464,D190,C190)*O190</f>
        <v>25800</v>
      </c>
      <c r="Z190" s="85" t="n">
        <f aca="false">INDEX(cfg_u_3463,D190,C190)*O190</f>
        <v>25800</v>
      </c>
      <c r="AA190" s="85" t="n">
        <f aca="false">INDEX(cfg_u_3460,D190,C190)*O190</f>
        <v>25800</v>
      </c>
      <c r="AB190" s="85" t="n">
        <f aca="false">Y190+Z190+AA190</f>
        <v>77400</v>
      </c>
      <c r="AC190" s="86" t="n">
        <f aca="false">Y190*INDEX(lg_vpu_3464,C190)</f>
        <v>18.3539136</v>
      </c>
      <c r="AD190" s="86" t="n">
        <f aca="false">Z190*INDEX(lg_vpu_3463,C190)</f>
        <v>22.4530176</v>
      </c>
      <c r="AE190" s="86" t="n">
        <f aca="false">AA190*INDEX(lg_vpu_3460,C190)</f>
        <v>14.6676096</v>
      </c>
      <c r="AF190" s="86" t="n">
        <f aca="false">AC190+AD190+AE190</f>
        <v>55.4745408</v>
      </c>
      <c r="AG190" s="85" t="n">
        <f aca="false">Y190*INDEX(lg_kpu_3464,C190)+Z190*INDEX(lg_kpu_3463,C190)+AA190*INDEX(lg_kpu_3460,C190)</f>
        <v>13341.3537888</v>
      </c>
      <c r="AH190" s="87" t="n">
        <f aca="false">INDEX(in_sup_requote,1,C190)</f>
        <v>0</v>
      </c>
      <c r="AI190" s="88" t="n">
        <f aca="false">Y190*q_price_3464*(1+AH190)*J190/I190</f>
        <v>3475.98569771937</v>
      </c>
      <c r="AJ190" s="88" t="n">
        <f aca="false">Z190*q_price_3463*(1+AH190)*J190/I190</f>
        <v>3282.75995361423</v>
      </c>
      <c r="AK190" s="88" t="n">
        <f aca="false">AA190*q_price_3460*(1+AH190)*J190/I190</f>
        <v>2867.22071897951</v>
      </c>
      <c r="AL190" s="88" t="n">
        <f aca="false">AI190+AJ190+AK190</f>
        <v>9625.96637031311</v>
      </c>
      <c r="AM190" s="88" t="n">
        <f aca="false">IF(OR(K190=2,K190=3),AL190*INDEX(in_sup_vat_rate,1,C190),0)</f>
        <v>1347.63529184383</v>
      </c>
      <c r="AN190" s="88" t="n">
        <f aca="false">IF(K190=3,AM190,0)</f>
        <v>0</v>
      </c>
      <c r="AO190" s="88" t="n">
        <f aca="false">INDEX(in_sup_tooling_egp,1,C190)/I190</f>
        <v>0</v>
      </c>
      <c r="AP190" s="88" t="n">
        <f aca="false">IF(F190=4,INDEX(in_ori_lcl_truck,1,C190)*V190/I190+INDEX(in_ori_lcl_cfs_o,1,C190),G190*(IF(F190=1,INDEX(in_ori_truck_20,1,C190),INDEX(in_ori_truck_40,1,C190))*V190/I190+INDEX(in_ori_terminal,1,C190)+IF(F190=1,INDEX(in_ori_othc_20,1,C190),INDEX(in_ori_othc_40,1,C190))*(1-INDEX(in_ori_othc_in_freight,1,C190))+INDEX(in_ori_seal,1,C190)+INDEX(in_ori_inspection,1,C190)+INDEX(in_ori_dd_days,1,C190)*IF(F190=1,INDEX(in_ori_dd_20,1,C190),INDEX(in_ori_dd_40,1,C190))+INDEX(in_ori_loading_egp,1,C190)/I190))</f>
        <v>555.278125165799</v>
      </c>
      <c r="AQ190" s="88" t="n">
        <f aca="false">(INDEX(in_ori_clearance,1,C190)+INDEX(in_ori_coo,1,C190))/I190+INDEX(in_ori_bl_fee,1,C190)+INDEX(in_ori_fwd_fee,1,C190)+INDEX(in_ori_qc,1,C190)+INDEX(in_ori_wires,1,C190)*INDEX(in_ori_wire_fee,1,C190)</f>
        <v>817.639062582899</v>
      </c>
      <c r="AR190" s="88" t="n">
        <f aca="false">AP190+AQ190</f>
        <v>1372.9171877487</v>
      </c>
      <c r="AS190" s="85" t="n">
        <f aca="false">INDEX(tbl_port_diff,H190,C190)</f>
        <v>0</v>
      </c>
      <c r="AT190" s="88" t="n">
        <f aca="false">IF(F190=4,MAX(AF190*INDEX(in_oce_lcl_factor,1,C190),AG190/1000,1)*INDEX(in_oce_lcl_rate,1,C190)*M190,G190*(INDEX(tbl_ocean_rate,MIN(F190,3),C190)+AS190)*M190)</f>
        <v>4000</v>
      </c>
      <c r="AU190" s="88" t="n">
        <f aca="false">AT190+INDEX(in_oce_ams,1,C190)</f>
        <v>4035</v>
      </c>
      <c r="AV190" s="88" t="n">
        <f aca="false">AI190*(1+IF(K190=3,INDEX(in_sup_vat_rate,1,C190),0))+AO190*Y190/AB190</f>
        <v>3475.98569771937</v>
      </c>
      <c r="AW190" s="88" t="n">
        <f aca="false">AJ190*(1+IF(K190=3,INDEX(in_sup_vat_rate,1,C190),0))+AO190*Z190/AB190</f>
        <v>3282.75995361423</v>
      </c>
      <c r="AX190" s="88" t="n">
        <f aca="false">AK190*(1+IF(K190=3,INDEX(in_sup_vat_rate,1,C190),0))+AO190*AA190/AB190</f>
        <v>2867.22071897951</v>
      </c>
      <c r="AY190" s="88" t="n">
        <f aca="false">AV190+AW190+AX190</f>
        <v>9625.96637031311</v>
      </c>
      <c r="AZ190" s="88" t="n">
        <f aca="false">MAX(INDEX(in_oce_ins_min,1,C190),INDEX(in_oce_ins_rate,1,C190)*(1+INDEX(in_oce_ins_uplift,1,C190))*(AL190+AO190+AR190+AU190))*(1-INDEX(in_oce_ins_in_other,1,C190))</f>
        <v>75</v>
      </c>
      <c r="BA190" s="87" t="n">
        <f aca="false">INDEX(in_cus_mfn,1,C190)+L190</f>
        <v>0</v>
      </c>
      <c r="BB190" s="88" t="n">
        <f aca="false">AY190*BA190</f>
        <v>0</v>
      </c>
      <c r="BC190" s="88" t="n">
        <f aca="false">MIN(MAX(AY190*INDEX(in_cus_mpf_rate,1,C190),INDEX(in_cus_mpf_min,1,C190)),INDEX(in_cus_mpf_max,1,C190))</f>
        <v>34.58</v>
      </c>
      <c r="BD190" s="88" t="n">
        <f aca="false">AY190*INDEX(in_cus_hmf,1,C190)</f>
        <v>12.0324579628914</v>
      </c>
      <c r="BE190" s="88" t="n">
        <f aca="false">MAX(INDEX(in_cus_stb_min,1,C190),INDEX(in_cus_stb_rate,1,C190)/1000*(AY190+BB190+BC190+BD190))</f>
        <v>75</v>
      </c>
      <c r="BF190" s="88" t="n">
        <f aca="false">INDEX(in_cus_broker,1,C190)+INDEX(in_cus_isf,1,C190)+INDEX(in_cus_do_fee,1,C190)+BE190+INDEX(in_cus_isf_bond,1,C190)</f>
        <v>510</v>
      </c>
      <c r="BG190" s="88" t="n">
        <f aca="false">IF(H190=1,INDEX(in_cus_cfc,1,C190)*INDEX(ct_teu,F190)*G190*(1-INDEX(in_cus_cfc_in_freight,1,C190)),0)</f>
        <v>29.6</v>
      </c>
      <c r="BH190" s="88" t="n">
        <f aca="false">IF(F190=4,1,G190)*(INDEX(in_cus_exam,1,C190)+INDEX(in_cus_exam_dray,1,C190))</f>
        <v>0</v>
      </c>
      <c r="BI190" s="88" t="n">
        <f aca="false">IF(F190=4,1,G190)*INDEX(in_cus_dem_days,1,C190)*INDEX(in_cus_dem_rate,1,C190)</f>
        <v>0</v>
      </c>
      <c r="BJ190" s="88" t="n">
        <f aca="false">BG190+BH190+BI190</f>
        <v>29.6</v>
      </c>
      <c r="BK190" s="88" t="n">
        <f aca="false">IF(F190=4,(INDEX(in_dra_lcl_cfs_d,1,C190)+INDEX(in_dra_lcl_deliv,1,C190))*P190,G190*(INDEX(tbl_dest_line,E190,C190)*P190*(1+INDEX(in_dra_fsc,1,C190))+INDEX(tbl_dest_tolls,E190,C190)+INDEX(in_dra_chassis_days,1,C190)*INDEX(tbl_dest_chassis,E190,C190)*(1-INDEX(in_dra_chassis_in_dray,1,C190))+INDEX(in_dra_wait_hours,1,C190)*INDEX(in_dra_wait_rate,1,C190)+INDEX(in_dra_split,1,C190)+INDEX(in_dra_prepull,1,C190)+INDEX(in_dra_dryrun,1,C190)))</f>
        <v>1060</v>
      </c>
      <c r="BL190" s="88" t="n">
        <f aca="false">IF(F190=4,0,G190*IF(F190=1,INDEX(in_dra_unload_20,1,C190),INDEX(in_dra_unload_40,1,C190))*Q190*(1-INDEX(in_dra_unload_in_dray,1,C190)))</f>
        <v>450</v>
      </c>
      <c r="BM190" s="88" t="n">
        <f aca="false">AL190+AN190+AO190+AR190+AU190+AZ190+BB190+BC190+BD190+BF190+BJ190+BK190+BL190</f>
        <v>17205.0960160247</v>
      </c>
      <c r="BN190" s="88" t="n">
        <f aca="false">AP190+AU190+BJ190+BK190+BL190</f>
        <v>6129.8781251658</v>
      </c>
      <c r="BO190" s="88" t="n">
        <f aca="false">AQ190+BF190</f>
        <v>1327.6390625829</v>
      </c>
      <c r="BP190" s="88" t="n">
        <f aca="false">AI190*(1+IF(K190=3,INDEX(in_sup_vat_rate,1,C190),0))+AO190*Y190/AB190+AV190*BA190+(BC190+BD190)*AV190/AY190+AZ190*AI190/AL190+BN190*AC190/AF190+BO190*Y190/AB190</f>
        <v>5990.53498641315</v>
      </c>
      <c r="BQ190" s="88" t="n">
        <f aca="false">AJ190*(1+IF(K190=3,INDEX(in_sup_vat_rate,1,C190),0))+AO190*Z190/AB190+AW190*BA190+(BC190+BD190)*AW190/AY190+AZ190*AJ190/AL190+BN190*AD190/AF190+BO190*Z190/AB190</f>
        <v>6247.81472792204</v>
      </c>
      <c r="BR190" s="88" t="n">
        <f aca="false">AK190*(1+IF(K190=3,INDEX(in_sup_vat_rate,1,C190),0))+AO190*AA190/AB190+AX190*BA190+(BC190+BD190)*AX190/AY190+AZ190*AK190/AL190+BN190*AE190/AF190+BO190*AA190/AB190</f>
        <v>4966.74630168951</v>
      </c>
      <c r="BS190" s="89" t="n">
        <f aca="false">BP190+BQ190+BR190-BM190</f>
        <v>0</v>
      </c>
      <c r="BT190" s="85" t="n">
        <f aca="false">Y190*(1-R190)</f>
        <v>25413</v>
      </c>
      <c r="BU190" s="85" t="n">
        <f aca="false">Z190*(1-R190)</f>
        <v>25413</v>
      </c>
      <c r="BV190" s="85" t="n">
        <f aca="false">AA190*(1-R190)</f>
        <v>25413</v>
      </c>
      <c r="BW190" s="85" t="n">
        <f aca="false">BT190+BU190+BV190</f>
        <v>76239</v>
      </c>
      <c r="BX190" s="90" t="n">
        <f aca="false">IF(BT190&gt;0,BP190/BT190,0)</f>
        <v>0.235727186338218</v>
      </c>
      <c r="BY190" s="90" t="n">
        <f aca="false">IF(BU190&gt;0,BQ190/BU190,0)</f>
        <v>0.245851128474483</v>
      </c>
      <c r="BZ190" s="90" t="n">
        <f aca="false">IF(BV190&gt;0,BR190/BV190,0)</f>
        <v>0.195441164037678</v>
      </c>
      <c r="CA190" s="90" t="n">
        <f aca="false">INDEX(in_mkt_listing_3464,1,C190)*(1-IF(sku_flute_3464="B",T190,0))*(1-S190)*N190</f>
        <v>0.234</v>
      </c>
      <c r="CB190" s="90" t="n">
        <f aca="false">INDEX(in_mkt_listing_3463,1,C190)*(1-IF(sku_flute_3463="B",T190,0))*(1-S190)*N190</f>
        <v>0.27</v>
      </c>
      <c r="CC190" s="90" t="n">
        <f aca="false">INDEX(in_mkt_listing_3460,1,C190)*(1-IF(sku_flute_3460="B",T190,0))*(1-S190)*N190</f>
        <v>0.225</v>
      </c>
      <c r="CD190" s="88" t="n">
        <f aca="false">BT190*CA190+BU190*CB190+BV190*CC190</f>
        <v>18526.077</v>
      </c>
      <c r="CE190" s="88" t="n">
        <f aca="false">CD190-BM190</f>
        <v>1320.98098397531</v>
      </c>
      <c r="CF190" s="87" t="n">
        <f aca="false">IF(CD190&gt;0,CE190/CD190,0)</f>
        <v>0.0713038698897401</v>
      </c>
      <c r="CG190" s="87" t="n">
        <f aca="false">W190+INDEX(in_sel_processing,1,C190)+INDEX(in_sel_bad_debt,1,C190)</f>
        <v>0.058</v>
      </c>
      <c r="CH190" s="88" t="n">
        <f aca="false">CD190*CG190</f>
        <v>1074.512466</v>
      </c>
      <c r="CI190" s="88" t="n">
        <f aca="false">INDEX(in_sel_testing,1,C190)*X190+INDEX(in_sel_admin,1,C190)</f>
        <v>3000</v>
      </c>
      <c r="CJ190" s="79" t="n">
        <f aca="false">INDEX(in_sup_lead_days,1,C190)</f>
        <v>21</v>
      </c>
      <c r="CK190" s="79" t="n">
        <f aca="false">CJ190+INDEX(in_oce_transit,1,C190)+IF(F190=4,INDEX(in_oce_lcl_extra_days,1,C190),0)</f>
        <v>51</v>
      </c>
      <c r="CL190" s="79" t="n">
        <f aca="false">CK190+2+INDEX(in_cus_dem_days,1,C190)</f>
        <v>53</v>
      </c>
      <c r="CM190" s="79" t="n">
        <f aca="false">CL190+U190</f>
        <v>98</v>
      </c>
      <c r="CN190" s="79" t="n">
        <f aca="false">CJ190+INDEX(in_sup_vat_lag,1,C190)</f>
        <v>81</v>
      </c>
      <c r="CO190" s="91" t="n">
        <f aca="false">INDEX(in_sup_advance,1,C190)</f>
        <v>0.5</v>
      </c>
      <c r="CP190" s="88" t="n">
        <f aca="false">CO190*(AL190+AM190)+AO190+INDEX(in_sel_testing,1,C190)*X190</f>
        <v>7986.80083107847</v>
      </c>
      <c r="CQ190" s="88" t="n">
        <f aca="false">(1-CO190)*(AL190+AM190)+AR190+AU190+AZ190</f>
        <v>10969.7180188272</v>
      </c>
      <c r="CR190" s="88" t="n">
        <f aca="false">BB190+BC190+BD190+BF190+BJ190</f>
        <v>586.212457962891</v>
      </c>
      <c r="CS190" s="88" t="n">
        <f aca="false">BK190+BL190</f>
        <v>1510</v>
      </c>
      <c r="CT190" s="88" t="n">
        <f aca="false">IF(K190=2,AM190,0)</f>
        <v>1347.63529184383</v>
      </c>
      <c r="CU190" s="85" t="n">
        <f aca="false">IF(K190=2,CO190*AM190*(CN190-0)+(1-CO190)*AM190*(CN190-CJ190),0)</f>
        <v>95008.2880749903</v>
      </c>
      <c r="CV190" s="85" t="n">
        <f aca="false">(CP190-CO190*CT190)*(CM190-0)+(CQ190-(1-CO190)*CT190)*(CM190-CJ190)+CR190*(CM190-CK190)+CS190*(CM190-CL190)</f>
        <v>1604958.6663833</v>
      </c>
      <c r="CW190" s="88" t="n">
        <f aca="false">INDEX(in_sel_fin_rate,1,C190)/365*(CU190+CV190)</f>
        <v>465.744371084464</v>
      </c>
      <c r="CX190" s="85" t="n">
        <f aca="false">CP190-IF(CN190&lt;=0,CT190,0)</f>
        <v>7986.80083107847</v>
      </c>
      <c r="CY190" s="85" t="n">
        <f aca="false">CP190+CQ190-IF(CN190&lt;=CJ190,CT190,0)</f>
        <v>18956.5188499056</v>
      </c>
      <c r="CZ190" s="85" t="n">
        <f aca="false">CP190+CQ190+CR190-IF(CN190&lt;=CK190,CT190,0)</f>
        <v>19542.7313078685</v>
      </c>
      <c r="DA190" s="85" t="n">
        <f aca="false">CP190+CQ190+CR190+CS190-IF(CN190&lt;=CL190,CT190,0)</f>
        <v>21052.7313078685</v>
      </c>
      <c r="DB190" s="88" t="n">
        <f aca="false">MAX(CX190,CY190,CZ190,DA190)</f>
        <v>21052.7313078685</v>
      </c>
      <c r="DC190" s="88" t="n">
        <f aca="false">CP190+CQ190+CR190+CS190</f>
        <v>21052.7313078685</v>
      </c>
      <c r="DD190" s="88" t="n">
        <f aca="false">CE190-CH190-CI190-CW190</f>
        <v>-3219.27585310916</v>
      </c>
      <c r="DE190" s="87" t="n">
        <f aca="false">IF(CD190&gt;0,DD190/CD190,0)</f>
        <v>-0.17376997046429</v>
      </c>
      <c r="DF190" s="86" t="n">
        <f aca="false">IF(CD190&gt;0,(BM190+CI190+CW190)/(CD190*(1-CG190)),0)</f>
        <v>1.18446918308311</v>
      </c>
      <c r="DG190" s="90" t="n">
        <f aca="false">IF(BW190&gt;0,BM190/BW190,0)</f>
        <v>0.225673159616793</v>
      </c>
      <c r="DH190" s="90" t="n">
        <f aca="false">IF(BW190&gt;0,CD190/BW190,0)</f>
        <v>0.243</v>
      </c>
      <c r="DI190" s="90" t="n">
        <f aca="false">IF(AI190&gt;0,(AI190*IF(K190=3,INDEX(in_sup_vat_rate,1,C190),0)+AV190*BA190+(BC190+BD190)*AV190/AY190+AZ190*AI190/AL190)/AI190,0)</f>
        <v>0.0126337921081825</v>
      </c>
      <c r="DJ190" s="90" t="n">
        <f aca="false">IF(AJ190&gt;0,(AJ190*IF(K190=3,INDEX(in_sup_vat_rate,1,C190),0)+AW190*BA190+(BC190+BD190)*AW190/AY190+AZ190*AJ190/AL190)/AJ190,0)</f>
        <v>0.0126337921081825</v>
      </c>
      <c r="DK190" s="90" t="n">
        <f aca="false">IF(AK190&gt;0,(AK190*IF(K190=3,INDEX(in_sup_vat_rate,1,C190),0)+AX190*BA190+(BC190+BD190)*AX190/AY190+AZ190*AK190/AL190)/AK190,0)</f>
        <v>0.0126337921081825</v>
      </c>
      <c r="DL190" s="90" t="n">
        <f aca="false">IF(Y190&gt;0,(BP190-AI190*(1+DI190))/Y190,0)</f>
        <v>0.0957610235665805</v>
      </c>
      <c r="DM190" s="90" t="n">
        <f aca="false">IF(Z190&gt;0,(BQ190-AJ190*(1+DJ190))/Z190,0)</f>
        <v>0.113317095640031</v>
      </c>
      <c r="DN190" s="90" t="n">
        <f aca="false">IF(AA190&gt;0,(BR190-AK190*(1+DK190))/AA190,0)</f>
        <v>0.0799729345820983</v>
      </c>
      <c r="DO190" s="86" t="n">
        <f aca="false">IF(Y190&gt;0,(CA190*(1-thr_gm_go)*(1-R190)-DL190)/(1+DI190)*I190/((1+AH190)*J190),"")</f>
        <v>4.72765865222746</v>
      </c>
      <c r="DP190" s="86" t="n">
        <f aca="false">IF(Z190&gt;0,(CB190*(1-thr_gm_go)*(1-R190)-DM190)/(1+DJ190)*I190/((1+AH190)*J190),"")</f>
        <v>5.28186587054996</v>
      </c>
      <c r="DQ190" s="86" t="n">
        <f aca="false">IF(AA190&gt;0,(CC190*(1-thr_gm_go)*(1-R190)-DN190)/(1+DK190)*I190/((1+AH190)*J190),"")</f>
        <v>5.28802241185193</v>
      </c>
      <c r="DR190" s="92" t="n">
        <f aca="false">IF(AND(AY190*INDEX(in_cus_mpf_rate,1,C190)&gt;INDEX(in_cus_mpf_min,1,C190),AY190*INDEX(in_cus_mpf_rate,1,C190)&lt;INDEX(in_cus_mpf_max,1,C190)),INDEX(in_cus_mpf_rate,1,C190),0)</f>
        <v>0</v>
      </c>
      <c r="DS190" s="88" t="n">
        <f aca="false">IF(AZ190&gt;INDEX(in_oce_ins_min,1,C190),INDEX(in_oce_ins_rate,1,C190)*(1+INDEX(in_oce_ins_uplift,1,C190))*AL190,0)</f>
        <v>0</v>
      </c>
      <c r="DT190" s="88" t="n">
        <f aca="false">(AL190+AN190)*(1+BA190+INDEX(in_cus_hmf,1,C190)+DR190)+DS190</f>
        <v>9637.998828276</v>
      </c>
      <c r="DU190" s="86" t="n">
        <f aca="false">IF(DT190&gt;0,(CD190*(1-thr_gm_go)-(BM190-DT190))/DT190,0)</f>
        <v>0.656511862575432</v>
      </c>
      <c r="DV190" s="86" t="n">
        <f aca="false">IF(DT190&gt;0,(CD190-(BM190-DT190))/DT190,0)</f>
        <v>1.13705967468058</v>
      </c>
      <c r="DW190" s="87" t="n">
        <f aca="false">(1+AH190)*J190*DU190-1</f>
        <v>-0.441964916810883</v>
      </c>
      <c r="DX190" s="87" t="n">
        <f aca="false">(1+AH190)*J190*DV190-1</f>
        <v>-0.0334992765215081</v>
      </c>
      <c r="DY190" s="85" t="n">
        <f aca="false">IF(G190&gt;0,(CD190*(1-thr_gm_go)-(BM190-AT190))/G190,"")</f>
        <v>689.461733975306</v>
      </c>
      <c r="DZ190" s="90" t="n">
        <f aca="false">IF(AB190&gt;0,(AL190+AN190+BB190+BC190+BD190)/AB190,0)</f>
        <v>0.124968718711576</v>
      </c>
      <c r="EA190" s="88" t="n">
        <f aca="false">BM190-DZ190*AB190</f>
        <v>7532.5171877487</v>
      </c>
      <c r="EB190" s="90" t="n">
        <f aca="false">IF(AB190&gt;0,CD190/AB190,0)</f>
        <v>0.239355</v>
      </c>
      <c r="EC190" s="85" t="n">
        <f aca="false">IF(EB190*(1-thr_gm_go)-DZ190&gt;0,EA190/(EB190*(1-thr_gm_go)-DZ190),"n/a")</f>
        <v>138090.890821804</v>
      </c>
      <c r="ED190" s="85" t="n">
        <f aca="false">IF(EB190-DZ190&gt;0,EA190/(EB190-DZ190),"n/a")</f>
        <v>65851.5785538611</v>
      </c>
      <c r="EE190" s="93" t="b">
        <f aca="false">INDEX(cfg_fits,D190,C190)</f>
        <v>1</v>
      </c>
      <c r="EF190" s="87" t="n">
        <f aca="false">IF(F190=4,"",INDEX(cfg_lenutil,D190,C190))</f>
        <v>0.999580888516345</v>
      </c>
      <c r="EG190" s="31" t="str">
        <f aca="false">IF(O190&gt;1,"Check fit (units scaled up)","")</f>
        <v/>
      </c>
    </row>
    <row r="191" customFormat="false" ht="15" hidden="false" customHeight="false" outlineLevel="0" collapsed="false">
      <c r="A191" s="78" t="n">
        <v>950004</v>
      </c>
      <c r="B191" s="9" t="s">
        <v>3339</v>
      </c>
      <c r="C191" s="78" t="n">
        <v>2</v>
      </c>
      <c r="D191" s="78" t="n">
        <v>4</v>
      </c>
      <c r="E191" s="10" t="n">
        <f aca="false">sel_dest</f>
        <v>1</v>
      </c>
      <c r="F191" s="79" t="n">
        <f aca="false">INDEX(cfg_ct,D191)</f>
        <v>3</v>
      </c>
      <c r="G191" s="79" t="n">
        <f aca="false">INDEX(cfg_n,D191)</f>
        <v>1</v>
      </c>
      <c r="H191" s="79" t="n">
        <f aca="false">INDEX(dest_port,E191)</f>
        <v>1</v>
      </c>
      <c r="I191" s="80" t="n">
        <f aca="false">INDEX(in_fx_cbe,1,C191)*(1-INDEX(in_fx_spread,1,C191))</f>
        <v>52.7748</v>
      </c>
      <c r="J191" s="95" t="n">
        <v>0.85</v>
      </c>
      <c r="K191" s="82" t="n">
        <f aca="false">INDEX(in_sup_vat_mode,1,C191)</f>
        <v>2</v>
      </c>
      <c r="L191" s="28" t="n">
        <v>0</v>
      </c>
      <c r="M191" s="84" t="n">
        <f aca="false">1</f>
        <v>1</v>
      </c>
      <c r="N191" s="95" t="n">
        <v>1.15</v>
      </c>
      <c r="O191" s="81" t="n">
        <f aca="false">1</f>
        <v>1</v>
      </c>
      <c r="P191" s="81" t="n">
        <f aca="false">1</f>
        <v>1</v>
      </c>
      <c r="Q191" s="81" t="n">
        <f aca="false">1</f>
        <v>1</v>
      </c>
      <c r="R191" s="83" t="n">
        <f aca="false">INDEX(in_sel_damage,1,C191)</f>
        <v>0.015</v>
      </c>
      <c r="S191" s="83" t="n">
        <f aca="false">INDEX(in_mkt_dist_margin,1,C191)</f>
        <v>0.25</v>
      </c>
      <c r="T191" s="83" t="n">
        <f aca="false">INDEX(in_mkt_eflute_disc,1,C191)</f>
        <v>0.2</v>
      </c>
      <c r="U191" s="82" t="n">
        <f aca="false">INDEX(in_sel_credit_days,1,C191)</f>
        <v>45</v>
      </c>
      <c r="V191" s="81" t="n">
        <f aca="false">1</f>
        <v>1</v>
      </c>
      <c r="W191" s="83" t="n">
        <f aca="false">INDEX(in_sel_commission,1,C191)</f>
        <v>0.05</v>
      </c>
      <c r="X191" s="82" t="n">
        <f aca="false">1</f>
        <v>1</v>
      </c>
      <c r="Y191" s="85" t="n">
        <f aca="false">INDEX(cfg_u_3464,D191,C191)*O191</f>
        <v>25800</v>
      </c>
      <c r="Z191" s="85" t="n">
        <f aca="false">INDEX(cfg_u_3463,D191,C191)*O191</f>
        <v>25800</v>
      </c>
      <c r="AA191" s="85" t="n">
        <f aca="false">INDEX(cfg_u_3460,D191,C191)*O191</f>
        <v>25800</v>
      </c>
      <c r="AB191" s="85" t="n">
        <f aca="false">Y191+Z191+AA191</f>
        <v>77400</v>
      </c>
      <c r="AC191" s="86" t="n">
        <f aca="false">Y191*INDEX(lg_vpu_3464,C191)</f>
        <v>18.3539136</v>
      </c>
      <c r="AD191" s="86" t="n">
        <f aca="false">Z191*INDEX(lg_vpu_3463,C191)</f>
        <v>22.4530176</v>
      </c>
      <c r="AE191" s="86" t="n">
        <f aca="false">AA191*INDEX(lg_vpu_3460,C191)</f>
        <v>14.6676096</v>
      </c>
      <c r="AF191" s="86" t="n">
        <f aca="false">AC191+AD191+AE191</f>
        <v>55.4745408</v>
      </c>
      <c r="AG191" s="85" t="n">
        <f aca="false">Y191*INDEX(lg_kpu_3464,C191)+Z191*INDEX(lg_kpu_3463,C191)+AA191*INDEX(lg_kpu_3460,C191)</f>
        <v>13341.3537888</v>
      </c>
      <c r="AH191" s="87" t="n">
        <f aca="false">INDEX(in_sup_requote,1,C191)</f>
        <v>0</v>
      </c>
      <c r="AI191" s="88" t="n">
        <f aca="false">Y191*q_price_3464*(1+AH191)*J191/I191</f>
        <v>3475.98569771937</v>
      </c>
      <c r="AJ191" s="88" t="n">
        <f aca="false">Z191*q_price_3463*(1+AH191)*J191/I191</f>
        <v>3282.75995361423</v>
      </c>
      <c r="AK191" s="88" t="n">
        <f aca="false">AA191*q_price_3460*(1+AH191)*J191/I191</f>
        <v>2867.22071897951</v>
      </c>
      <c r="AL191" s="88" t="n">
        <f aca="false">AI191+AJ191+AK191</f>
        <v>9625.96637031311</v>
      </c>
      <c r="AM191" s="88" t="n">
        <f aca="false">IF(OR(K191=2,K191=3),AL191*INDEX(in_sup_vat_rate,1,C191),0)</f>
        <v>1347.63529184383</v>
      </c>
      <c r="AN191" s="88" t="n">
        <f aca="false">IF(K191=3,AM191,0)</f>
        <v>0</v>
      </c>
      <c r="AO191" s="88" t="n">
        <f aca="false">INDEX(in_sup_tooling_egp,1,C191)/I191</f>
        <v>0</v>
      </c>
      <c r="AP191" s="88" t="n">
        <f aca="false">IF(F191=4,INDEX(in_ori_lcl_truck,1,C191)*V191/I191+INDEX(in_ori_lcl_cfs_o,1,C191),G191*(IF(F191=1,INDEX(in_ori_truck_20,1,C191),INDEX(in_ori_truck_40,1,C191))*V191/I191+INDEX(in_ori_terminal,1,C191)+IF(F191=1,INDEX(in_ori_othc_20,1,C191),INDEX(in_ori_othc_40,1,C191))*(1-INDEX(in_ori_othc_in_freight,1,C191))+INDEX(in_ori_seal,1,C191)+INDEX(in_ori_inspection,1,C191)+INDEX(in_ori_dd_days,1,C191)*IF(F191=1,INDEX(in_ori_dd_20,1,C191),INDEX(in_ori_dd_40,1,C191))+INDEX(in_ori_loading_egp,1,C191)/I191))</f>
        <v>555.278125165799</v>
      </c>
      <c r="AQ191" s="88" t="n">
        <f aca="false">(INDEX(in_ori_clearance,1,C191)+INDEX(in_ori_coo,1,C191))/I191+INDEX(in_ori_bl_fee,1,C191)+INDEX(in_ori_fwd_fee,1,C191)+INDEX(in_ori_qc,1,C191)+INDEX(in_ori_wires,1,C191)*INDEX(in_ori_wire_fee,1,C191)</f>
        <v>817.639062582899</v>
      </c>
      <c r="AR191" s="88" t="n">
        <f aca="false">AP191+AQ191</f>
        <v>1372.9171877487</v>
      </c>
      <c r="AS191" s="85" t="n">
        <f aca="false">INDEX(tbl_port_diff,H191,C191)</f>
        <v>0</v>
      </c>
      <c r="AT191" s="88" t="n">
        <f aca="false">IF(F191=4,MAX(AF191*INDEX(in_oce_lcl_factor,1,C191),AG191/1000,1)*INDEX(in_oce_lcl_rate,1,C191)*M191,G191*(INDEX(tbl_ocean_rate,MIN(F191,3),C191)+AS191)*M191)</f>
        <v>4000</v>
      </c>
      <c r="AU191" s="88" t="n">
        <f aca="false">AT191+INDEX(in_oce_ams,1,C191)</f>
        <v>4035</v>
      </c>
      <c r="AV191" s="88" t="n">
        <f aca="false">AI191*(1+IF(K191=3,INDEX(in_sup_vat_rate,1,C191),0))+AO191*Y191/AB191</f>
        <v>3475.98569771937</v>
      </c>
      <c r="AW191" s="88" t="n">
        <f aca="false">AJ191*(1+IF(K191=3,INDEX(in_sup_vat_rate,1,C191),0))+AO191*Z191/AB191</f>
        <v>3282.75995361423</v>
      </c>
      <c r="AX191" s="88" t="n">
        <f aca="false">AK191*(1+IF(K191=3,INDEX(in_sup_vat_rate,1,C191),0))+AO191*AA191/AB191</f>
        <v>2867.22071897951</v>
      </c>
      <c r="AY191" s="88" t="n">
        <f aca="false">AV191+AW191+AX191</f>
        <v>9625.96637031311</v>
      </c>
      <c r="AZ191" s="88" t="n">
        <f aca="false">MAX(INDEX(in_oce_ins_min,1,C191),INDEX(in_oce_ins_rate,1,C191)*(1+INDEX(in_oce_ins_uplift,1,C191))*(AL191+AO191+AR191+AU191))*(1-INDEX(in_oce_ins_in_other,1,C191))</f>
        <v>75</v>
      </c>
      <c r="BA191" s="87" t="n">
        <f aca="false">INDEX(in_cus_mfn,1,C191)+L191</f>
        <v>0</v>
      </c>
      <c r="BB191" s="88" t="n">
        <f aca="false">AY191*BA191</f>
        <v>0</v>
      </c>
      <c r="BC191" s="88" t="n">
        <f aca="false">MIN(MAX(AY191*INDEX(in_cus_mpf_rate,1,C191),INDEX(in_cus_mpf_min,1,C191)),INDEX(in_cus_mpf_max,1,C191))</f>
        <v>34.58</v>
      </c>
      <c r="BD191" s="88" t="n">
        <f aca="false">AY191*INDEX(in_cus_hmf,1,C191)</f>
        <v>12.0324579628914</v>
      </c>
      <c r="BE191" s="88" t="n">
        <f aca="false">MAX(INDEX(in_cus_stb_min,1,C191),INDEX(in_cus_stb_rate,1,C191)/1000*(AY191+BB191+BC191+BD191))</f>
        <v>75</v>
      </c>
      <c r="BF191" s="88" t="n">
        <f aca="false">INDEX(in_cus_broker,1,C191)+INDEX(in_cus_isf,1,C191)+INDEX(in_cus_do_fee,1,C191)+BE191+INDEX(in_cus_isf_bond,1,C191)</f>
        <v>510</v>
      </c>
      <c r="BG191" s="88" t="n">
        <f aca="false">IF(H191=1,INDEX(in_cus_cfc,1,C191)*INDEX(ct_teu,F191)*G191*(1-INDEX(in_cus_cfc_in_freight,1,C191)),0)</f>
        <v>29.6</v>
      </c>
      <c r="BH191" s="88" t="n">
        <f aca="false">IF(F191=4,1,G191)*(INDEX(in_cus_exam,1,C191)+INDEX(in_cus_exam_dray,1,C191))</f>
        <v>0</v>
      </c>
      <c r="BI191" s="88" t="n">
        <f aca="false">IF(F191=4,1,G191)*INDEX(in_cus_dem_days,1,C191)*INDEX(in_cus_dem_rate,1,C191)</f>
        <v>0</v>
      </c>
      <c r="BJ191" s="88" t="n">
        <f aca="false">BG191+BH191+BI191</f>
        <v>29.6</v>
      </c>
      <c r="BK191" s="88" t="n">
        <f aca="false">IF(F191=4,(INDEX(in_dra_lcl_cfs_d,1,C191)+INDEX(in_dra_lcl_deliv,1,C191))*P191,G191*(INDEX(tbl_dest_line,E191,C191)*P191*(1+INDEX(in_dra_fsc,1,C191))+INDEX(tbl_dest_tolls,E191,C191)+INDEX(in_dra_chassis_days,1,C191)*INDEX(tbl_dest_chassis,E191,C191)*(1-INDEX(in_dra_chassis_in_dray,1,C191))+INDEX(in_dra_wait_hours,1,C191)*INDEX(in_dra_wait_rate,1,C191)+INDEX(in_dra_split,1,C191)+INDEX(in_dra_prepull,1,C191)+INDEX(in_dra_dryrun,1,C191)))</f>
        <v>1060</v>
      </c>
      <c r="BL191" s="88" t="n">
        <f aca="false">IF(F191=4,0,G191*IF(F191=1,INDEX(in_dra_unload_20,1,C191),INDEX(in_dra_unload_40,1,C191))*Q191*(1-INDEX(in_dra_unload_in_dray,1,C191)))</f>
        <v>450</v>
      </c>
      <c r="BM191" s="88" t="n">
        <f aca="false">AL191+AN191+AO191+AR191+AU191+AZ191+BB191+BC191+BD191+BF191+BJ191+BK191+BL191</f>
        <v>17205.0960160247</v>
      </c>
      <c r="BN191" s="88" t="n">
        <f aca="false">AP191+AU191+BJ191+BK191+BL191</f>
        <v>6129.8781251658</v>
      </c>
      <c r="BO191" s="88" t="n">
        <f aca="false">AQ191+BF191</f>
        <v>1327.6390625829</v>
      </c>
      <c r="BP191" s="88" t="n">
        <f aca="false">AI191*(1+IF(K191=3,INDEX(in_sup_vat_rate,1,C191),0))+AO191*Y191/AB191+AV191*BA191+(BC191+BD191)*AV191/AY191+AZ191*AI191/AL191+BN191*AC191/AF191+BO191*Y191/AB191</f>
        <v>5990.53498641315</v>
      </c>
      <c r="BQ191" s="88" t="n">
        <f aca="false">AJ191*(1+IF(K191=3,INDEX(in_sup_vat_rate,1,C191),0))+AO191*Z191/AB191+AW191*BA191+(BC191+BD191)*AW191/AY191+AZ191*AJ191/AL191+BN191*AD191/AF191+BO191*Z191/AB191</f>
        <v>6247.81472792204</v>
      </c>
      <c r="BR191" s="88" t="n">
        <f aca="false">AK191*(1+IF(K191=3,INDEX(in_sup_vat_rate,1,C191),0))+AO191*AA191/AB191+AX191*BA191+(BC191+BD191)*AX191/AY191+AZ191*AK191/AL191+BN191*AE191/AF191+BO191*AA191/AB191</f>
        <v>4966.74630168951</v>
      </c>
      <c r="BS191" s="89" t="n">
        <f aca="false">BP191+BQ191+BR191-BM191</f>
        <v>0</v>
      </c>
      <c r="BT191" s="85" t="n">
        <f aca="false">Y191*(1-R191)</f>
        <v>25413</v>
      </c>
      <c r="BU191" s="85" t="n">
        <f aca="false">Z191*(1-R191)</f>
        <v>25413</v>
      </c>
      <c r="BV191" s="85" t="n">
        <f aca="false">AA191*(1-R191)</f>
        <v>25413</v>
      </c>
      <c r="BW191" s="85" t="n">
        <f aca="false">BT191+BU191+BV191</f>
        <v>76239</v>
      </c>
      <c r="BX191" s="90" t="n">
        <f aca="false">IF(BT191&gt;0,BP191/BT191,0)</f>
        <v>0.235727186338218</v>
      </c>
      <c r="BY191" s="90" t="n">
        <f aca="false">IF(BU191&gt;0,BQ191/BU191,0)</f>
        <v>0.245851128474483</v>
      </c>
      <c r="BZ191" s="90" t="n">
        <f aca="false">IF(BV191&gt;0,BR191/BV191,0)</f>
        <v>0.195441164037678</v>
      </c>
      <c r="CA191" s="90" t="n">
        <f aca="false">INDEX(in_mkt_listing_3464,1,C191)*(1-IF(sku_flute_3464="B",T191,0))*(1-S191)*N191</f>
        <v>0.2691</v>
      </c>
      <c r="CB191" s="90" t="n">
        <f aca="false">INDEX(in_mkt_listing_3463,1,C191)*(1-IF(sku_flute_3463="B",T191,0))*(1-S191)*N191</f>
        <v>0.3105</v>
      </c>
      <c r="CC191" s="90" t="n">
        <f aca="false">INDEX(in_mkt_listing_3460,1,C191)*(1-IF(sku_flute_3460="B",T191,0))*(1-S191)*N191</f>
        <v>0.25875</v>
      </c>
      <c r="CD191" s="88" t="n">
        <f aca="false">BT191*CA191+BU191*CB191+BV191*CC191</f>
        <v>21304.98855</v>
      </c>
      <c r="CE191" s="88" t="n">
        <f aca="false">CD191-BM191</f>
        <v>4099.89253397531</v>
      </c>
      <c r="CF191" s="87" t="n">
        <f aca="false">IF(CD191&gt;0,CE191/CD191,0)</f>
        <v>0.192438147730209</v>
      </c>
      <c r="CG191" s="87" t="n">
        <f aca="false">W191+INDEX(in_sel_processing,1,C191)+INDEX(in_sel_bad_debt,1,C191)</f>
        <v>0.058</v>
      </c>
      <c r="CH191" s="88" t="n">
        <f aca="false">CD191*CG191</f>
        <v>1235.6893359</v>
      </c>
      <c r="CI191" s="88" t="n">
        <f aca="false">INDEX(in_sel_testing,1,C191)*X191+INDEX(in_sel_admin,1,C191)</f>
        <v>3000</v>
      </c>
      <c r="CJ191" s="79" t="n">
        <f aca="false">INDEX(in_sup_lead_days,1,C191)</f>
        <v>21</v>
      </c>
      <c r="CK191" s="79" t="n">
        <f aca="false">CJ191+INDEX(in_oce_transit,1,C191)+IF(F191=4,INDEX(in_oce_lcl_extra_days,1,C191),0)</f>
        <v>51</v>
      </c>
      <c r="CL191" s="79" t="n">
        <f aca="false">CK191+2+INDEX(in_cus_dem_days,1,C191)</f>
        <v>53</v>
      </c>
      <c r="CM191" s="79" t="n">
        <f aca="false">CL191+U191</f>
        <v>98</v>
      </c>
      <c r="CN191" s="79" t="n">
        <f aca="false">CJ191+INDEX(in_sup_vat_lag,1,C191)</f>
        <v>81</v>
      </c>
      <c r="CO191" s="91" t="n">
        <f aca="false">INDEX(in_sup_advance,1,C191)</f>
        <v>0.5</v>
      </c>
      <c r="CP191" s="88" t="n">
        <f aca="false">CO191*(AL191+AM191)+AO191+INDEX(in_sel_testing,1,C191)*X191</f>
        <v>7986.80083107847</v>
      </c>
      <c r="CQ191" s="88" t="n">
        <f aca="false">(1-CO191)*(AL191+AM191)+AR191+AU191+AZ191</f>
        <v>10969.7180188272</v>
      </c>
      <c r="CR191" s="88" t="n">
        <f aca="false">BB191+BC191+BD191+BF191+BJ191</f>
        <v>586.212457962891</v>
      </c>
      <c r="CS191" s="88" t="n">
        <f aca="false">BK191+BL191</f>
        <v>1510</v>
      </c>
      <c r="CT191" s="88" t="n">
        <f aca="false">IF(K191=2,AM191,0)</f>
        <v>1347.63529184383</v>
      </c>
      <c r="CU191" s="85" t="n">
        <f aca="false">IF(K191=2,CO191*AM191*(CN191-0)+(1-CO191)*AM191*(CN191-CJ191),0)</f>
        <v>95008.2880749903</v>
      </c>
      <c r="CV191" s="85" t="n">
        <f aca="false">(CP191-CO191*CT191)*(CM191-0)+(CQ191-(1-CO191)*CT191)*(CM191-CJ191)+CR191*(CM191-CK191)+CS191*(CM191-CL191)</f>
        <v>1604958.6663833</v>
      </c>
      <c r="CW191" s="88" t="n">
        <f aca="false">INDEX(in_sel_fin_rate,1,C191)/365*(CU191+CV191)</f>
        <v>465.744371084464</v>
      </c>
      <c r="CX191" s="85" t="n">
        <f aca="false">CP191-IF(CN191&lt;=0,CT191,0)</f>
        <v>7986.80083107847</v>
      </c>
      <c r="CY191" s="85" t="n">
        <f aca="false">CP191+CQ191-IF(CN191&lt;=CJ191,CT191,0)</f>
        <v>18956.5188499056</v>
      </c>
      <c r="CZ191" s="85" t="n">
        <f aca="false">CP191+CQ191+CR191-IF(CN191&lt;=CK191,CT191,0)</f>
        <v>19542.7313078685</v>
      </c>
      <c r="DA191" s="85" t="n">
        <f aca="false">CP191+CQ191+CR191+CS191-IF(CN191&lt;=CL191,CT191,0)</f>
        <v>21052.7313078685</v>
      </c>
      <c r="DB191" s="88" t="n">
        <f aca="false">MAX(CX191,CY191,CZ191,DA191)</f>
        <v>21052.7313078685</v>
      </c>
      <c r="DC191" s="88" t="n">
        <f aca="false">CP191+CQ191+CR191+CS191</f>
        <v>21052.7313078685</v>
      </c>
      <c r="DD191" s="88" t="n">
        <f aca="false">CE191-CH191-CI191-CW191</f>
        <v>-601.541173009156</v>
      </c>
      <c r="DE191" s="87" t="n">
        <f aca="false">IF(CD191&gt;0,DD191/CD191,0)</f>
        <v>-0.0282347569254693</v>
      </c>
      <c r="DF191" s="86" t="n">
        <f aca="false">IF(CD191&gt;0,(BM191+CI191+CW191)/(CD191*(1-CG191)),0)</f>
        <v>1.02997320268097</v>
      </c>
      <c r="DG191" s="90" t="n">
        <f aca="false">IF(BW191&gt;0,BM191/BW191,0)</f>
        <v>0.225673159616793</v>
      </c>
      <c r="DH191" s="90" t="n">
        <f aca="false">IF(BW191&gt;0,CD191/BW191,0)</f>
        <v>0.27945</v>
      </c>
      <c r="DI191" s="90" t="n">
        <f aca="false">IF(AI191&gt;0,(AI191*IF(K191=3,INDEX(in_sup_vat_rate,1,C191),0)+AV191*BA191+(BC191+BD191)*AV191/AY191+AZ191*AI191/AL191)/AI191,0)</f>
        <v>0.0126337921081825</v>
      </c>
      <c r="DJ191" s="90" t="n">
        <f aca="false">IF(AJ191&gt;0,(AJ191*IF(K191=3,INDEX(in_sup_vat_rate,1,C191),0)+AW191*BA191+(BC191+BD191)*AW191/AY191+AZ191*AJ191/AL191)/AJ191,0)</f>
        <v>0.0126337921081825</v>
      </c>
      <c r="DK191" s="90" t="n">
        <f aca="false">IF(AK191&gt;0,(AK191*IF(K191=3,INDEX(in_sup_vat_rate,1,C191),0)+AX191*BA191+(BC191+BD191)*AX191/AY191+AZ191*AK191/AL191)/AK191,0)</f>
        <v>0.0126337921081825</v>
      </c>
      <c r="DL191" s="90" t="n">
        <f aca="false">IF(Y191&gt;0,(BP191-AI191*(1+DI191))/Y191,0)</f>
        <v>0.0957610235665805</v>
      </c>
      <c r="DM191" s="90" t="n">
        <f aca="false">IF(Z191&gt;0,(BQ191-AJ191*(1+DJ191))/Z191,0)</f>
        <v>0.113317095640031</v>
      </c>
      <c r="DN191" s="90" t="n">
        <f aca="false">IF(AA191&gt;0,(BR191-AK191*(1+DK191))/AA191,0)</f>
        <v>0.0799729345820983</v>
      </c>
      <c r="DO191" s="86" t="n">
        <f aca="false">IF(Y191&gt;0,(CA191*(1-thr_gm_go)*(1-R191)-DL191)/(1+DI191)*I191/((1+AH191)*J191),"")</f>
        <v>6.3175222470896</v>
      </c>
      <c r="DP191" s="86" t="n">
        <f aca="false">IF(Z191&gt;0,(CB191*(1-thr_gm_go)*(1-R191)-DM191)/(1+DJ191)*I191/((1+AH191)*J191),"")</f>
        <v>7.11632386462166</v>
      </c>
      <c r="DQ191" s="86" t="n">
        <f aca="false">IF(AA191&gt;0,(CC191*(1-thr_gm_go)*(1-R191)-DN191)/(1+DK191)*I191/((1+AH191)*J191),"")</f>
        <v>6.81673740691169</v>
      </c>
      <c r="DR191" s="92" t="n">
        <f aca="false">IF(AND(AY191*INDEX(in_cus_mpf_rate,1,C191)&gt;INDEX(in_cus_mpf_min,1,C191),AY191*INDEX(in_cus_mpf_rate,1,C191)&lt;INDEX(in_cus_mpf_max,1,C191)),INDEX(in_cus_mpf_rate,1,C191),0)</f>
        <v>0</v>
      </c>
      <c r="DS191" s="88" t="n">
        <f aca="false">IF(AZ191&gt;INDEX(in_oce_ins_min,1,C191),INDEX(in_oce_ins_rate,1,C191)*(1+INDEX(in_oce_ins_uplift,1,C191))*AL191,0)</f>
        <v>0</v>
      </c>
      <c r="DT191" s="88" t="n">
        <f aca="false">(AL191+AN191)*(1+BA191+INDEX(in_cus_hmf,1,C191)+DR191)+DS191</f>
        <v>9637.998828276</v>
      </c>
      <c r="DU191" s="86" t="n">
        <f aca="false">IF(DT191&gt;0,(CD191*(1-thr_gm_go)-(BM191-DT191))/DT191,0)</f>
        <v>0.872758378022748</v>
      </c>
      <c r="DV191" s="86" t="n">
        <f aca="false">IF(DT191&gt;0,(CD191-(BM191-DT191))/DT191,0)</f>
        <v>1.42538836194367</v>
      </c>
      <c r="DW191" s="87" t="n">
        <f aca="false">(1+AH191)*J191*DU191-1</f>
        <v>-0.258155378680664</v>
      </c>
      <c r="DX191" s="87" t="n">
        <f aca="false">(1+AH191)*J191*DV191-1</f>
        <v>0.211580107652117</v>
      </c>
      <c r="DY191" s="85" t="n">
        <f aca="false">IF(G191&gt;0,(CD191*(1-thr_gm_go)-(BM191-AT191))/G191,"")</f>
        <v>2773.64539647531</v>
      </c>
      <c r="DZ191" s="90" t="n">
        <f aca="false">IF(AB191&gt;0,(AL191+AN191+BB191+BC191+BD191)/AB191,0)</f>
        <v>0.124968718711576</v>
      </c>
      <c r="EA191" s="88" t="n">
        <f aca="false">BM191-DZ191*AB191</f>
        <v>7532.5171877487</v>
      </c>
      <c r="EB191" s="90" t="n">
        <f aca="false">IF(AB191&gt;0,CD191/AB191,0)</f>
        <v>0.27525825</v>
      </c>
      <c r="EC191" s="85" t="n">
        <f aca="false">IF(EB191*(1-thr_gm_go)-DZ191&gt;0,EA191/(EB191*(1-thr_gm_go)-DZ191),"n/a")</f>
        <v>92451.9186660791</v>
      </c>
      <c r="ED191" s="85" t="n">
        <f aca="false">IF(EB191-DZ191&gt;0,EA191/(EB191-DZ191),"n/a")</f>
        <v>50120.0391216397</v>
      </c>
      <c r="EE191" s="93" t="b">
        <f aca="false">INDEX(cfg_fits,D191,C191)</f>
        <v>1</v>
      </c>
      <c r="EF191" s="87" t="n">
        <f aca="false">IF(F191=4,"",INDEX(cfg_lenutil,D191,C191))</f>
        <v>0.999580888516345</v>
      </c>
      <c r="EG191" s="31" t="str">
        <f aca="false">IF(O191&gt;1,"Check fit (units scaled up)","")</f>
        <v/>
      </c>
    </row>
    <row r="192" customFormat="false" ht="15" hidden="false" customHeight="false" outlineLevel="0" collapsed="false">
      <c r="A192" s="78" t="n">
        <v>950005</v>
      </c>
      <c r="B192" s="9" t="s">
        <v>3340</v>
      </c>
      <c r="C192" s="78" t="n">
        <v>2</v>
      </c>
      <c r="D192" s="78" t="n">
        <v>4</v>
      </c>
      <c r="E192" s="10" t="n">
        <f aca="false">sel_dest</f>
        <v>1</v>
      </c>
      <c r="F192" s="79" t="n">
        <f aca="false">INDEX(cfg_ct,D192)</f>
        <v>3</v>
      </c>
      <c r="G192" s="79" t="n">
        <f aca="false">INDEX(cfg_n,D192)</f>
        <v>1</v>
      </c>
      <c r="H192" s="79" t="n">
        <f aca="false">INDEX(dest_port,E192)</f>
        <v>1</v>
      </c>
      <c r="I192" s="80" t="n">
        <f aca="false">INDEX(in_fx_cbe,1,C192)*(1-INDEX(in_fx_spread,1,C192))</f>
        <v>52.7748</v>
      </c>
      <c r="J192" s="95" t="n">
        <v>0.85</v>
      </c>
      <c r="K192" s="82" t="n">
        <f aca="false">INDEX(in_sup_vat_mode,1,C192)</f>
        <v>2</v>
      </c>
      <c r="L192" s="28" t="n">
        <v>0</v>
      </c>
      <c r="M192" s="77" t="n">
        <f aca="false">INDEX(in_oce_rate_hc,1,1)/INDEX(in_oce_rate_hc,1,2)</f>
        <v>0.725</v>
      </c>
      <c r="N192" s="95" t="n">
        <v>1.15</v>
      </c>
      <c r="O192" s="81" t="n">
        <f aca="false">1</f>
        <v>1</v>
      </c>
      <c r="P192" s="81" t="n">
        <f aca="false">1</f>
        <v>1</v>
      </c>
      <c r="Q192" s="81" t="n">
        <f aca="false">1</f>
        <v>1</v>
      </c>
      <c r="R192" s="83" t="n">
        <f aca="false">INDEX(in_sel_damage,1,C192)</f>
        <v>0.015</v>
      </c>
      <c r="S192" s="83" t="n">
        <f aca="false">INDEX(in_mkt_dist_margin,1,C192)</f>
        <v>0.25</v>
      </c>
      <c r="T192" s="83" t="n">
        <f aca="false">INDEX(in_mkt_eflute_disc,1,C192)</f>
        <v>0.2</v>
      </c>
      <c r="U192" s="82" t="n">
        <f aca="false">INDEX(in_sel_credit_days,1,C192)</f>
        <v>45</v>
      </c>
      <c r="V192" s="81" t="n">
        <f aca="false">1</f>
        <v>1</v>
      </c>
      <c r="W192" s="83" t="n">
        <f aca="false">INDEX(in_sel_commission,1,C192)</f>
        <v>0.05</v>
      </c>
      <c r="X192" s="82" t="n">
        <f aca="false">1</f>
        <v>1</v>
      </c>
      <c r="Y192" s="85" t="n">
        <f aca="false">INDEX(cfg_u_3464,D192,C192)*O192</f>
        <v>25800</v>
      </c>
      <c r="Z192" s="85" t="n">
        <f aca="false">INDEX(cfg_u_3463,D192,C192)*O192</f>
        <v>25800</v>
      </c>
      <c r="AA192" s="85" t="n">
        <f aca="false">INDEX(cfg_u_3460,D192,C192)*O192</f>
        <v>25800</v>
      </c>
      <c r="AB192" s="85" t="n">
        <f aca="false">Y192+Z192+AA192</f>
        <v>77400</v>
      </c>
      <c r="AC192" s="86" t="n">
        <f aca="false">Y192*INDEX(lg_vpu_3464,C192)</f>
        <v>18.3539136</v>
      </c>
      <c r="AD192" s="86" t="n">
        <f aca="false">Z192*INDEX(lg_vpu_3463,C192)</f>
        <v>22.4530176</v>
      </c>
      <c r="AE192" s="86" t="n">
        <f aca="false">AA192*INDEX(lg_vpu_3460,C192)</f>
        <v>14.6676096</v>
      </c>
      <c r="AF192" s="86" t="n">
        <f aca="false">AC192+AD192+AE192</f>
        <v>55.4745408</v>
      </c>
      <c r="AG192" s="85" t="n">
        <f aca="false">Y192*INDEX(lg_kpu_3464,C192)+Z192*INDEX(lg_kpu_3463,C192)+AA192*INDEX(lg_kpu_3460,C192)</f>
        <v>13341.3537888</v>
      </c>
      <c r="AH192" s="87" t="n">
        <f aca="false">INDEX(in_sup_requote,1,C192)</f>
        <v>0</v>
      </c>
      <c r="AI192" s="88" t="n">
        <f aca="false">Y192*q_price_3464*(1+AH192)*J192/I192</f>
        <v>3475.98569771937</v>
      </c>
      <c r="AJ192" s="88" t="n">
        <f aca="false">Z192*q_price_3463*(1+AH192)*J192/I192</f>
        <v>3282.75995361423</v>
      </c>
      <c r="AK192" s="88" t="n">
        <f aca="false">AA192*q_price_3460*(1+AH192)*J192/I192</f>
        <v>2867.22071897951</v>
      </c>
      <c r="AL192" s="88" t="n">
        <f aca="false">AI192+AJ192+AK192</f>
        <v>9625.96637031311</v>
      </c>
      <c r="AM192" s="88" t="n">
        <f aca="false">IF(OR(K192=2,K192=3),AL192*INDEX(in_sup_vat_rate,1,C192),0)</f>
        <v>1347.63529184383</v>
      </c>
      <c r="AN192" s="88" t="n">
        <f aca="false">IF(K192=3,AM192,0)</f>
        <v>0</v>
      </c>
      <c r="AO192" s="88" t="n">
        <f aca="false">INDEX(in_sup_tooling_egp,1,C192)/I192</f>
        <v>0</v>
      </c>
      <c r="AP192" s="88" t="n">
        <f aca="false">IF(F192=4,INDEX(in_ori_lcl_truck,1,C192)*V192/I192+INDEX(in_ori_lcl_cfs_o,1,C192),G192*(IF(F192=1,INDEX(in_ori_truck_20,1,C192),INDEX(in_ori_truck_40,1,C192))*V192/I192+INDEX(in_ori_terminal,1,C192)+IF(F192=1,INDEX(in_ori_othc_20,1,C192),INDEX(in_ori_othc_40,1,C192))*(1-INDEX(in_ori_othc_in_freight,1,C192))+INDEX(in_ori_seal,1,C192)+INDEX(in_ori_inspection,1,C192)+INDEX(in_ori_dd_days,1,C192)*IF(F192=1,INDEX(in_ori_dd_20,1,C192),INDEX(in_ori_dd_40,1,C192))+INDEX(in_ori_loading_egp,1,C192)/I192))</f>
        <v>555.278125165799</v>
      </c>
      <c r="AQ192" s="88" t="n">
        <f aca="false">(INDEX(in_ori_clearance,1,C192)+INDEX(in_ori_coo,1,C192))/I192+INDEX(in_ori_bl_fee,1,C192)+INDEX(in_ori_fwd_fee,1,C192)+INDEX(in_ori_qc,1,C192)+INDEX(in_ori_wires,1,C192)*INDEX(in_ori_wire_fee,1,C192)</f>
        <v>817.639062582899</v>
      </c>
      <c r="AR192" s="88" t="n">
        <f aca="false">AP192+AQ192</f>
        <v>1372.9171877487</v>
      </c>
      <c r="AS192" s="85" t="n">
        <f aca="false">INDEX(tbl_port_diff,H192,C192)</f>
        <v>0</v>
      </c>
      <c r="AT192" s="88" t="n">
        <f aca="false">IF(F192=4,MAX(AF192*INDEX(in_oce_lcl_factor,1,C192),AG192/1000,1)*INDEX(in_oce_lcl_rate,1,C192)*M192,G192*(INDEX(tbl_ocean_rate,MIN(F192,3),C192)+AS192)*M192)</f>
        <v>2900</v>
      </c>
      <c r="AU192" s="88" t="n">
        <f aca="false">AT192+INDEX(in_oce_ams,1,C192)</f>
        <v>2935</v>
      </c>
      <c r="AV192" s="88" t="n">
        <f aca="false">AI192*(1+IF(K192=3,INDEX(in_sup_vat_rate,1,C192),0))+AO192*Y192/AB192</f>
        <v>3475.98569771937</v>
      </c>
      <c r="AW192" s="88" t="n">
        <f aca="false">AJ192*(1+IF(K192=3,INDEX(in_sup_vat_rate,1,C192),0))+AO192*Z192/AB192</f>
        <v>3282.75995361423</v>
      </c>
      <c r="AX192" s="88" t="n">
        <f aca="false">AK192*(1+IF(K192=3,INDEX(in_sup_vat_rate,1,C192),0))+AO192*AA192/AB192</f>
        <v>2867.22071897951</v>
      </c>
      <c r="AY192" s="88" t="n">
        <f aca="false">AV192+AW192+AX192</f>
        <v>9625.96637031311</v>
      </c>
      <c r="AZ192" s="88" t="n">
        <f aca="false">MAX(INDEX(in_oce_ins_min,1,C192),INDEX(in_oce_ins_rate,1,C192)*(1+INDEX(in_oce_ins_uplift,1,C192))*(AL192+AO192+AR192+AU192))*(1-INDEX(in_oce_ins_in_other,1,C192))</f>
        <v>75</v>
      </c>
      <c r="BA192" s="87" t="n">
        <f aca="false">INDEX(in_cus_mfn,1,C192)+L192</f>
        <v>0</v>
      </c>
      <c r="BB192" s="88" t="n">
        <f aca="false">AY192*BA192</f>
        <v>0</v>
      </c>
      <c r="BC192" s="88" t="n">
        <f aca="false">MIN(MAX(AY192*INDEX(in_cus_mpf_rate,1,C192),INDEX(in_cus_mpf_min,1,C192)),INDEX(in_cus_mpf_max,1,C192))</f>
        <v>34.58</v>
      </c>
      <c r="BD192" s="88" t="n">
        <f aca="false">AY192*INDEX(in_cus_hmf,1,C192)</f>
        <v>12.0324579628914</v>
      </c>
      <c r="BE192" s="88" t="n">
        <f aca="false">MAX(INDEX(in_cus_stb_min,1,C192),INDEX(in_cus_stb_rate,1,C192)/1000*(AY192+BB192+BC192+BD192))</f>
        <v>75</v>
      </c>
      <c r="BF192" s="88" t="n">
        <f aca="false">INDEX(in_cus_broker,1,C192)+INDEX(in_cus_isf,1,C192)+INDEX(in_cus_do_fee,1,C192)+BE192+INDEX(in_cus_isf_bond,1,C192)</f>
        <v>510</v>
      </c>
      <c r="BG192" s="88" t="n">
        <f aca="false">IF(H192=1,INDEX(in_cus_cfc,1,C192)*INDEX(ct_teu,F192)*G192*(1-INDEX(in_cus_cfc_in_freight,1,C192)),0)</f>
        <v>29.6</v>
      </c>
      <c r="BH192" s="88" t="n">
        <f aca="false">IF(F192=4,1,G192)*(INDEX(in_cus_exam,1,C192)+INDEX(in_cus_exam_dray,1,C192))</f>
        <v>0</v>
      </c>
      <c r="BI192" s="88" t="n">
        <f aca="false">IF(F192=4,1,G192)*INDEX(in_cus_dem_days,1,C192)*INDEX(in_cus_dem_rate,1,C192)</f>
        <v>0</v>
      </c>
      <c r="BJ192" s="88" t="n">
        <f aca="false">BG192+BH192+BI192</f>
        <v>29.6</v>
      </c>
      <c r="BK192" s="88" t="n">
        <f aca="false">IF(F192=4,(INDEX(in_dra_lcl_cfs_d,1,C192)+INDEX(in_dra_lcl_deliv,1,C192))*P192,G192*(INDEX(tbl_dest_line,E192,C192)*P192*(1+INDEX(in_dra_fsc,1,C192))+INDEX(tbl_dest_tolls,E192,C192)+INDEX(in_dra_chassis_days,1,C192)*INDEX(tbl_dest_chassis,E192,C192)*(1-INDEX(in_dra_chassis_in_dray,1,C192))+INDEX(in_dra_wait_hours,1,C192)*INDEX(in_dra_wait_rate,1,C192)+INDEX(in_dra_split,1,C192)+INDEX(in_dra_prepull,1,C192)+INDEX(in_dra_dryrun,1,C192)))</f>
        <v>1060</v>
      </c>
      <c r="BL192" s="88" t="n">
        <f aca="false">IF(F192=4,0,G192*IF(F192=1,INDEX(in_dra_unload_20,1,C192),INDEX(in_dra_unload_40,1,C192))*Q192*(1-INDEX(in_dra_unload_in_dray,1,C192)))</f>
        <v>450</v>
      </c>
      <c r="BM192" s="88" t="n">
        <f aca="false">AL192+AN192+AO192+AR192+AU192+AZ192+BB192+BC192+BD192+BF192+BJ192+BK192+BL192</f>
        <v>16105.0960160247</v>
      </c>
      <c r="BN192" s="88" t="n">
        <f aca="false">AP192+AU192+BJ192+BK192+BL192</f>
        <v>5029.8781251658</v>
      </c>
      <c r="BO192" s="88" t="n">
        <f aca="false">AQ192+BF192</f>
        <v>1327.6390625829</v>
      </c>
      <c r="BP192" s="88" t="n">
        <f aca="false">AI192*(1+IF(K192=3,INDEX(in_sup_vat_rate,1,C192),0))+AO192*Y192/AB192+AV192*BA192+(BC192+BD192)*AV192/AY192+AZ192*AI192/AL192+BN192*AC192/AF192+BO192*Y192/AB192</f>
        <v>5626.59677856411</v>
      </c>
      <c r="BQ192" s="88" t="n">
        <f aca="false">AJ192*(1+IF(K192=3,INDEX(in_sup_vat_rate,1,C192),0))+AO192*Z192/AB192+AW192*BA192+(BC192+BD192)*AW192/AY192+AZ192*AJ192/AL192+BN192*AD192/AF192+BO192*Z192/AB192</f>
        <v>5802.59573189567</v>
      </c>
      <c r="BR192" s="88" t="n">
        <f aca="false">AK192*(1+IF(K192=3,INDEX(in_sup_vat_rate,1,C192),0))+AO192*AA192/AB192+AX192*BA192+(BC192+BD192)*AX192/AY192+AZ192*AK192/AL192+BN192*AE192/AF192+BO192*AA192/AB192</f>
        <v>4675.90350556491</v>
      </c>
      <c r="BS192" s="89" t="n">
        <f aca="false">BP192+BQ192+BR192-BM192</f>
        <v>0</v>
      </c>
      <c r="BT192" s="85" t="n">
        <f aca="false">Y192*(1-R192)</f>
        <v>25413</v>
      </c>
      <c r="BU192" s="85" t="n">
        <f aca="false">Z192*(1-R192)</f>
        <v>25413</v>
      </c>
      <c r="BV192" s="85" t="n">
        <f aca="false">AA192*(1-R192)</f>
        <v>25413</v>
      </c>
      <c r="BW192" s="85" t="n">
        <f aca="false">BT192+BU192+BV192</f>
        <v>76239</v>
      </c>
      <c r="BX192" s="90" t="n">
        <f aca="false">IF(BT192&gt;0,BP192/BT192,0)</f>
        <v>0.221406240056826</v>
      </c>
      <c r="BY192" s="90" t="n">
        <f aca="false">IF(BU192&gt;0,BQ192/BU192,0)</f>
        <v>0.228331788135823</v>
      </c>
      <c r="BZ192" s="90" t="n">
        <f aca="false">IF(BV192&gt;0,BR192/BV192,0)</f>
        <v>0.183996517749377</v>
      </c>
      <c r="CA192" s="90" t="n">
        <f aca="false">INDEX(in_mkt_listing_3464,1,C192)*(1-IF(sku_flute_3464="B",T192,0))*(1-S192)*N192</f>
        <v>0.2691</v>
      </c>
      <c r="CB192" s="90" t="n">
        <f aca="false">INDEX(in_mkt_listing_3463,1,C192)*(1-IF(sku_flute_3463="B",T192,0))*(1-S192)*N192</f>
        <v>0.3105</v>
      </c>
      <c r="CC192" s="90" t="n">
        <f aca="false">INDEX(in_mkt_listing_3460,1,C192)*(1-IF(sku_flute_3460="B",T192,0))*(1-S192)*N192</f>
        <v>0.25875</v>
      </c>
      <c r="CD192" s="88" t="n">
        <f aca="false">BT192*CA192+BU192*CB192+BV192*CC192</f>
        <v>21304.98855</v>
      </c>
      <c r="CE192" s="88" t="n">
        <f aca="false">CD192-BM192</f>
        <v>5199.89253397531</v>
      </c>
      <c r="CF192" s="87" t="n">
        <f aca="false">IF(CD192&gt;0,CE192/CD192,0)</f>
        <v>0.24406924799663</v>
      </c>
      <c r="CG192" s="87" t="n">
        <f aca="false">W192+INDEX(in_sel_processing,1,C192)+INDEX(in_sel_bad_debt,1,C192)</f>
        <v>0.058</v>
      </c>
      <c r="CH192" s="88" t="n">
        <f aca="false">CD192*CG192</f>
        <v>1235.6893359</v>
      </c>
      <c r="CI192" s="88" t="n">
        <f aca="false">INDEX(in_sel_testing,1,C192)*X192+INDEX(in_sel_admin,1,C192)</f>
        <v>3000</v>
      </c>
      <c r="CJ192" s="79" t="n">
        <f aca="false">INDEX(in_sup_lead_days,1,C192)</f>
        <v>21</v>
      </c>
      <c r="CK192" s="79" t="n">
        <f aca="false">CJ192+INDEX(in_oce_transit,1,C192)+IF(F192=4,INDEX(in_oce_lcl_extra_days,1,C192),0)</f>
        <v>51</v>
      </c>
      <c r="CL192" s="79" t="n">
        <f aca="false">CK192+2+INDEX(in_cus_dem_days,1,C192)</f>
        <v>53</v>
      </c>
      <c r="CM192" s="79" t="n">
        <f aca="false">CL192+U192</f>
        <v>98</v>
      </c>
      <c r="CN192" s="79" t="n">
        <f aca="false">CJ192+INDEX(in_sup_vat_lag,1,C192)</f>
        <v>81</v>
      </c>
      <c r="CO192" s="91" t="n">
        <f aca="false">INDEX(in_sup_advance,1,C192)</f>
        <v>0.5</v>
      </c>
      <c r="CP192" s="88" t="n">
        <f aca="false">CO192*(AL192+AM192)+AO192+INDEX(in_sel_testing,1,C192)*X192</f>
        <v>7986.80083107847</v>
      </c>
      <c r="CQ192" s="88" t="n">
        <f aca="false">(1-CO192)*(AL192+AM192)+AR192+AU192+AZ192</f>
        <v>9869.71801882717</v>
      </c>
      <c r="CR192" s="88" t="n">
        <f aca="false">BB192+BC192+BD192+BF192+BJ192</f>
        <v>586.212457962891</v>
      </c>
      <c r="CS192" s="88" t="n">
        <f aca="false">BK192+BL192</f>
        <v>1510</v>
      </c>
      <c r="CT192" s="88" t="n">
        <f aca="false">IF(K192=2,AM192,0)</f>
        <v>1347.63529184383</v>
      </c>
      <c r="CU192" s="85" t="n">
        <f aca="false">IF(K192=2,CO192*AM192*(CN192-0)+(1-CO192)*AM192*(CN192-CJ192),0)</f>
        <v>95008.2880749903</v>
      </c>
      <c r="CV192" s="85" t="n">
        <f aca="false">(CP192-CO192*CT192)*(CM192-0)+(CQ192-(1-CO192)*CT192)*(CM192-CJ192)+CR192*(CM192-CK192)+CS192*(CM192-CL192)</f>
        <v>1520258.6663833</v>
      </c>
      <c r="CW192" s="88" t="n">
        <f aca="false">INDEX(in_sel_fin_rate,1,C192)/365*(CU192+CV192)</f>
        <v>442.538891632409</v>
      </c>
      <c r="CX192" s="85" t="n">
        <f aca="false">CP192-IF(CN192&lt;=0,CT192,0)</f>
        <v>7986.80083107847</v>
      </c>
      <c r="CY192" s="85" t="n">
        <f aca="false">CP192+CQ192-IF(CN192&lt;=CJ192,CT192,0)</f>
        <v>17856.5188499056</v>
      </c>
      <c r="CZ192" s="85" t="n">
        <f aca="false">CP192+CQ192+CR192-IF(CN192&lt;=CK192,CT192,0)</f>
        <v>18442.7313078685</v>
      </c>
      <c r="DA192" s="85" t="n">
        <f aca="false">CP192+CQ192+CR192+CS192-IF(CN192&lt;=CL192,CT192,0)</f>
        <v>19952.7313078685</v>
      </c>
      <c r="DB192" s="88" t="n">
        <f aca="false">MAX(CX192,CY192,CZ192,DA192)</f>
        <v>19952.7313078685</v>
      </c>
      <c r="DC192" s="88" t="n">
        <f aca="false">CP192+CQ192+CR192+CS192</f>
        <v>19952.7313078685</v>
      </c>
      <c r="DD192" s="88" t="n">
        <f aca="false">CE192-CH192-CI192-CW192</f>
        <v>521.664306442899</v>
      </c>
      <c r="DE192" s="87" t="n">
        <f aca="false">IF(CD192&gt;0,DD192/CD192,0)</f>
        <v>0.0244855473739693</v>
      </c>
      <c r="DF192" s="86" t="n">
        <f aca="false">IF(CD192&gt;0,(BM192+CI192+CW192)/(CD192*(1-CG192)),0)</f>
        <v>0.974006849921476</v>
      </c>
      <c r="DG192" s="90" t="n">
        <f aca="false">IF(BW192&gt;0,BM192/BW192,0)</f>
        <v>0.211244848647342</v>
      </c>
      <c r="DH192" s="90" t="n">
        <f aca="false">IF(BW192&gt;0,CD192/BW192,0)</f>
        <v>0.27945</v>
      </c>
      <c r="DI192" s="90" t="n">
        <f aca="false">IF(AI192&gt;0,(AI192*IF(K192=3,INDEX(in_sup_vat_rate,1,C192),0)+AV192*BA192+(BC192+BD192)*AV192/AY192+AZ192*AI192/AL192)/AI192,0)</f>
        <v>0.0126337921081825</v>
      </c>
      <c r="DJ192" s="90" t="n">
        <f aca="false">IF(AJ192&gt;0,(AJ192*IF(K192=3,INDEX(in_sup_vat_rate,1,C192),0)+AW192*BA192+(BC192+BD192)*AW192/AY192+AZ192*AJ192/AL192)/AJ192,0)</f>
        <v>0.0126337921081825</v>
      </c>
      <c r="DK192" s="90" t="n">
        <f aca="false">IF(AK192&gt;0,(AK192*IF(K192=3,INDEX(in_sup_vat_rate,1,C192),0)+AX192*BA192+(BC192+BD192)*AX192/AY192+AZ192*AK192/AL192)/AK192,0)</f>
        <v>0.0126337921081825</v>
      </c>
      <c r="DL192" s="90" t="n">
        <f aca="false">IF(Y192&gt;0,(BP192-AI192*(1+DI192))/Y192,0)</f>
        <v>0.0816548914794087</v>
      </c>
      <c r="DM192" s="90" t="n">
        <f aca="false">IF(Z192&gt;0,(BQ192-AJ192*(1+DJ192))/Z192,0)</f>
        <v>0.0960605454064502</v>
      </c>
      <c r="DN192" s="90" t="n">
        <f aca="false">IF(AA192&gt;0,(BR192-AK192*(1+DK192))/AA192,0)</f>
        <v>0.0686999579881217</v>
      </c>
      <c r="DO192" s="86" t="n">
        <f aca="false">IF(Y192&gt;0,(CA192*(1-thr_gm_go)*(1-R192)-DL192)/(1+DI192)*I192/((1+AH192)*J192),"")</f>
        <v>7.18241687716606</v>
      </c>
      <c r="DP192" s="86" t="n">
        <f aca="false">IF(Z192&gt;0,(CB192*(1-thr_gm_go)*(1-R192)-DM192)/(1+DJ192)*I192/((1+AH192)*J192),"")</f>
        <v>8.17438127812349</v>
      </c>
      <c r="DQ192" s="86" t="n">
        <f aca="false">IF(AA192&gt;0,(CC192*(1-thr_gm_go)*(1-R192)-DN192)/(1+DK192)*I192/((1+AH192)*J192),"")</f>
        <v>7.50792169902352</v>
      </c>
      <c r="DR192" s="92" t="n">
        <f aca="false">IF(AND(AY192*INDEX(in_cus_mpf_rate,1,C192)&gt;INDEX(in_cus_mpf_min,1,C192),AY192*INDEX(in_cus_mpf_rate,1,C192)&lt;INDEX(in_cus_mpf_max,1,C192)),INDEX(in_cus_mpf_rate,1,C192),0)</f>
        <v>0</v>
      </c>
      <c r="DS192" s="88" t="n">
        <f aca="false">IF(AZ192&gt;INDEX(in_oce_ins_min,1,C192),INDEX(in_oce_ins_rate,1,C192)*(1+INDEX(in_oce_ins_uplift,1,C192))*AL192,0)</f>
        <v>0</v>
      </c>
      <c r="DT192" s="88" t="n">
        <f aca="false">(AL192+AN192)*(1+BA192+INDEX(in_cus_hmf,1,C192)+DR192)+DS192</f>
        <v>9637.998828276</v>
      </c>
      <c r="DU192" s="86" t="n">
        <f aca="false">IF(DT192&gt;0,(CD192*(1-thr_gm_go)-(BM192-DT192))/DT192,0)</f>
        <v>0.986889954462954</v>
      </c>
      <c r="DV192" s="86" t="n">
        <f aca="false">IF(DT192&gt;0,(CD192-(BM192-DT192))/DT192,0)</f>
        <v>1.53951993838387</v>
      </c>
      <c r="DW192" s="87" t="n">
        <f aca="false">(1+AH192)*J192*DU192-1</f>
        <v>-0.161143538706489</v>
      </c>
      <c r="DX192" s="87" t="n">
        <f aca="false">(1+AH192)*J192*DV192-1</f>
        <v>0.308591947626292</v>
      </c>
      <c r="DY192" s="85" t="n">
        <f aca="false">IF(G192&gt;0,(CD192*(1-thr_gm_go)-(BM192-AT192))/G192,"")</f>
        <v>2773.64539647531</v>
      </c>
      <c r="DZ192" s="90" t="n">
        <f aca="false">IF(AB192&gt;0,(AL192+AN192+BB192+BC192+BD192)/AB192,0)</f>
        <v>0.124968718711576</v>
      </c>
      <c r="EA192" s="88" t="n">
        <f aca="false">BM192-DZ192*AB192</f>
        <v>6432.5171877487</v>
      </c>
      <c r="EB192" s="90" t="n">
        <f aca="false">IF(AB192&gt;0,CD192/AB192,0)</f>
        <v>0.27525825</v>
      </c>
      <c r="EC192" s="85" t="n">
        <f aca="false">IF(EB192*(1-thr_gm_go)-DZ192&gt;0,EA192/(EB192*(1-thr_gm_go)-DZ192),"n/a")</f>
        <v>78950.8395449996</v>
      </c>
      <c r="ED192" s="85" t="n">
        <f aca="false">IF(EB192-DZ192&gt;0,EA192/(EB192-DZ192),"n/a")</f>
        <v>42800.8333820931</v>
      </c>
      <c r="EE192" s="93" t="b">
        <f aca="false">INDEX(cfg_fits,D192,C192)</f>
        <v>1</v>
      </c>
      <c r="EF192" s="87" t="n">
        <f aca="false">IF(F192=4,"",INDEX(cfg_lenutil,D192,C192))</f>
        <v>0.999580888516345</v>
      </c>
      <c r="EG192" s="31" t="str">
        <f aca="false">IF(O192&gt;1,"Check fit (units scaled up)","")</f>
        <v/>
      </c>
    </row>
    <row r="193" customFormat="false" ht="15" hidden="false" customHeight="false" outlineLevel="0" collapsed="false">
      <c r="A193" s="78" t="n">
        <v>950006</v>
      </c>
      <c r="B193" s="9" t="s">
        <v>3341</v>
      </c>
      <c r="C193" s="78" t="n">
        <v>2</v>
      </c>
      <c r="D193" s="78" t="n">
        <v>4</v>
      </c>
      <c r="E193" s="10" t="n">
        <f aca="false">sel_dest</f>
        <v>1</v>
      </c>
      <c r="F193" s="79" t="n">
        <f aca="false">INDEX(cfg_ct,D193)</f>
        <v>3</v>
      </c>
      <c r="G193" s="79" t="n">
        <f aca="false">INDEX(cfg_n,D193)</f>
        <v>1</v>
      </c>
      <c r="H193" s="79" t="n">
        <f aca="false">INDEX(dest_port,E193)</f>
        <v>1</v>
      </c>
      <c r="I193" s="80" t="n">
        <f aca="false">INDEX(in_fx_cbe,1,C193)*(1-INDEX(in_fx_spread,1,C193))</f>
        <v>52.7748</v>
      </c>
      <c r="J193" s="95" t="n">
        <v>0.85</v>
      </c>
      <c r="K193" s="82" t="n">
        <f aca="false">INDEX(in_sup_vat_mode,1,C193)</f>
        <v>2</v>
      </c>
      <c r="L193" s="28" t="n">
        <v>0</v>
      </c>
      <c r="M193" s="77" t="n">
        <f aca="false">INDEX(in_oce_rate_hc,1,1)/INDEX(in_oce_rate_hc,1,2)</f>
        <v>0.725</v>
      </c>
      <c r="N193" s="95" t="n">
        <v>1.15</v>
      </c>
      <c r="O193" s="81" t="n">
        <f aca="false">1</f>
        <v>1</v>
      </c>
      <c r="P193" s="81" t="n">
        <f aca="false">1</f>
        <v>1</v>
      </c>
      <c r="Q193" s="81" t="n">
        <f aca="false">1</f>
        <v>1</v>
      </c>
      <c r="R193" s="83" t="n">
        <f aca="false">INDEX(in_sel_damage,1,C193)</f>
        <v>0.015</v>
      </c>
      <c r="S193" s="83" t="n">
        <f aca="false">INDEX(in_mkt_dist_margin,1,C193)</f>
        <v>0.25</v>
      </c>
      <c r="T193" s="83" t="n">
        <f aca="false">INDEX(in_mkt_eflute_disc,1,C193)</f>
        <v>0.2</v>
      </c>
      <c r="U193" s="82" t="n">
        <f aca="false">INDEX(in_sel_credit_days,1,C193)</f>
        <v>45</v>
      </c>
      <c r="V193" s="81" t="n">
        <f aca="false">1</f>
        <v>1</v>
      </c>
      <c r="W193" s="83" t="n">
        <f aca="false">INDEX(in_sel_commission,1,C193)</f>
        <v>0.05</v>
      </c>
      <c r="X193" s="6" t="n">
        <v>0</v>
      </c>
      <c r="Y193" s="85" t="n">
        <f aca="false">INDEX(cfg_u_3464,D193,C193)*O193</f>
        <v>25800</v>
      </c>
      <c r="Z193" s="85" t="n">
        <f aca="false">INDEX(cfg_u_3463,D193,C193)*O193</f>
        <v>25800</v>
      </c>
      <c r="AA193" s="85" t="n">
        <f aca="false">INDEX(cfg_u_3460,D193,C193)*O193</f>
        <v>25800</v>
      </c>
      <c r="AB193" s="85" t="n">
        <f aca="false">Y193+Z193+AA193</f>
        <v>77400</v>
      </c>
      <c r="AC193" s="86" t="n">
        <f aca="false">Y193*INDEX(lg_vpu_3464,C193)</f>
        <v>18.3539136</v>
      </c>
      <c r="AD193" s="86" t="n">
        <f aca="false">Z193*INDEX(lg_vpu_3463,C193)</f>
        <v>22.4530176</v>
      </c>
      <c r="AE193" s="86" t="n">
        <f aca="false">AA193*INDEX(lg_vpu_3460,C193)</f>
        <v>14.6676096</v>
      </c>
      <c r="AF193" s="86" t="n">
        <f aca="false">AC193+AD193+AE193</f>
        <v>55.4745408</v>
      </c>
      <c r="AG193" s="85" t="n">
        <f aca="false">Y193*INDEX(lg_kpu_3464,C193)+Z193*INDEX(lg_kpu_3463,C193)+AA193*INDEX(lg_kpu_3460,C193)</f>
        <v>13341.3537888</v>
      </c>
      <c r="AH193" s="87" t="n">
        <f aca="false">INDEX(in_sup_requote,1,C193)</f>
        <v>0</v>
      </c>
      <c r="AI193" s="88" t="n">
        <f aca="false">Y193*q_price_3464*(1+AH193)*J193/I193</f>
        <v>3475.98569771937</v>
      </c>
      <c r="AJ193" s="88" t="n">
        <f aca="false">Z193*q_price_3463*(1+AH193)*J193/I193</f>
        <v>3282.75995361423</v>
      </c>
      <c r="AK193" s="88" t="n">
        <f aca="false">AA193*q_price_3460*(1+AH193)*J193/I193</f>
        <v>2867.22071897951</v>
      </c>
      <c r="AL193" s="88" t="n">
        <f aca="false">AI193+AJ193+AK193</f>
        <v>9625.96637031311</v>
      </c>
      <c r="AM193" s="88" t="n">
        <f aca="false">IF(OR(K193=2,K193=3),AL193*INDEX(in_sup_vat_rate,1,C193),0)</f>
        <v>1347.63529184383</v>
      </c>
      <c r="AN193" s="88" t="n">
        <f aca="false">IF(K193=3,AM193,0)</f>
        <v>0</v>
      </c>
      <c r="AO193" s="88" t="n">
        <f aca="false">INDEX(in_sup_tooling_egp,1,C193)/I193</f>
        <v>0</v>
      </c>
      <c r="AP193" s="88" t="n">
        <f aca="false">IF(F193=4,INDEX(in_ori_lcl_truck,1,C193)*V193/I193+INDEX(in_ori_lcl_cfs_o,1,C193),G193*(IF(F193=1,INDEX(in_ori_truck_20,1,C193),INDEX(in_ori_truck_40,1,C193))*V193/I193+INDEX(in_ori_terminal,1,C193)+IF(F193=1,INDEX(in_ori_othc_20,1,C193),INDEX(in_ori_othc_40,1,C193))*(1-INDEX(in_ori_othc_in_freight,1,C193))+INDEX(in_ori_seal,1,C193)+INDEX(in_ori_inspection,1,C193)+INDEX(in_ori_dd_days,1,C193)*IF(F193=1,INDEX(in_ori_dd_20,1,C193),INDEX(in_ori_dd_40,1,C193))+INDEX(in_ori_loading_egp,1,C193)/I193))</f>
        <v>555.278125165799</v>
      </c>
      <c r="AQ193" s="88" t="n">
        <f aca="false">(INDEX(in_ori_clearance,1,C193)+INDEX(in_ori_coo,1,C193))/I193+INDEX(in_ori_bl_fee,1,C193)+INDEX(in_ori_fwd_fee,1,C193)+INDEX(in_ori_qc,1,C193)+INDEX(in_ori_wires,1,C193)*INDEX(in_ori_wire_fee,1,C193)</f>
        <v>817.639062582899</v>
      </c>
      <c r="AR193" s="88" t="n">
        <f aca="false">AP193+AQ193</f>
        <v>1372.9171877487</v>
      </c>
      <c r="AS193" s="85" t="n">
        <f aca="false">INDEX(tbl_port_diff,H193,C193)</f>
        <v>0</v>
      </c>
      <c r="AT193" s="88" t="n">
        <f aca="false">IF(F193=4,MAX(AF193*INDEX(in_oce_lcl_factor,1,C193),AG193/1000,1)*INDEX(in_oce_lcl_rate,1,C193)*M193,G193*(INDEX(tbl_ocean_rate,MIN(F193,3),C193)+AS193)*M193)</f>
        <v>2900</v>
      </c>
      <c r="AU193" s="88" t="n">
        <f aca="false">AT193+INDEX(in_oce_ams,1,C193)</f>
        <v>2935</v>
      </c>
      <c r="AV193" s="88" t="n">
        <f aca="false">AI193*(1+IF(K193=3,INDEX(in_sup_vat_rate,1,C193),0))+AO193*Y193/AB193</f>
        <v>3475.98569771937</v>
      </c>
      <c r="AW193" s="88" t="n">
        <f aca="false">AJ193*(1+IF(K193=3,INDEX(in_sup_vat_rate,1,C193),0))+AO193*Z193/AB193</f>
        <v>3282.75995361423</v>
      </c>
      <c r="AX193" s="88" t="n">
        <f aca="false">AK193*(1+IF(K193=3,INDEX(in_sup_vat_rate,1,C193),0))+AO193*AA193/AB193</f>
        <v>2867.22071897951</v>
      </c>
      <c r="AY193" s="88" t="n">
        <f aca="false">AV193+AW193+AX193</f>
        <v>9625.96637031311</v>
      </c>
      <c r="AZ193" s="88" t="n">
        <f aca="false">MAX(INDEX(in_oce_ins_min,1,C193),INDEX(in_oce_ins_rate,1,C193)*(1+INDEX(in_oce_ins_uplift,1,C193))*(AL193+AO193+AR193+AU193))*(1-INDEX(in_oce_ins_in_other,1,C193))</f>
        <v>75</v>
      </c>
      <c r="BA193" s="87" t="n">
        <f aca="false">INDEX(in_cus_mfn,1,C193)+L193</f>
        <v>0</v>
      </c>
      <c r="BB193" s="88" t="n">
        <f aca="false">AY193*BA193</f>
        <v>0</v>
      </c>
      <c r="BC193" s="88" t="n">
        <f aca="false">MIN(MAX(AY193*INDEX(in_cus_mpf_rate,1,C193),INDEX(in_cus_mpf_min,1,C193)),INDEX(in_cus_mpf_max,1,C193))</f>
        <v>34.58</v>
      </c>
      <c r="BD193" s="88" t="n">
        <f aca="false">AY193*INDEX(in_cus_hmf,1,C193)</f>
        <v>12.0324579628914</v>
      </c>
      <c r="BE193" s="88" t="n">
        <f aca="false">MAX(INDEX(in_cus_stb_min,1,C193),INDEX(in_cus_stb_rate,1,C193)/1000*(AY193+BB193+BC193+BD193))</f>
        <v>75</v>
      </c>
      <c r="BF193" s="88" t="n">
        <f aca="false">INDEX(in_cus_broker,1,C193)+INDEX(in_cus_isf,1,C193)+INDEX(in_cus_do_fee,1,C193)+BE193+INDEX(in_cus_isf_bond,1,C193)</f>
        <v>510</v>
      </c>
      <c r="BG193" s="88" t="n">
        <f aca="false">IF(H193=1,INDEX(in_cus_cfc,1,C193)*INDEX(ct_teu,F193)*G193*(1-INDEX(in_cus_cfc_in_freight,1,C193)),0)</f>
        <v>29.6</v>
      </c>
      <c r="BH193" s="88" t="n">
        <f aca="false">IF(F193=4,1,G193)*(INDEX(in_cus_exam,1,C193)+INDEX(in_cus_exam_dray,1,C193))</f>
        <v>0</v>
      </c>
      <c r="BI193" s="88" t="n">
        <f aca="false">IF(F193=4,1,G193)*INDEX(in_cus_dem_days,1,C193)*INDEX(in_cus_dem_rate,1,C193)</f>
        <v>0</v>
      </c>
      <c r="BJ193" s="88" t="n">
        <f aca="false">BG193+BH193+BI193</f>
        <v>29.6</v>
      </c>
      <c r="BK193" s="88" t="n">
        <f aca="false">IF(F193=4,(INDEX(in_dra_lcl_cfs_d,1,C193)+INDEX(in_dra_lcl_deliv,1,C193))*P193,G193*(INDEX(tbl_dest_line,E193,C193)*P193*(1+INDEX(in_dra_fsc,1,C193))+INDEX(tbl_dest_tolls,E193,C193)+INDEX(in_dra_chassis_days,1,C193)*INDEX(tbl_dest_chassis,E193,C193)*(1-INDEX(in_dra_chassis_in_dray,1,C193))+INDEX(in_dra_wait_hours,1,C193)*INDEX(in_dra_wait_rate,1,C193)+INDEX(in_dra_split,1,C193)+INDEX(in_dra_prepull,1,C193)+INDEX(in_dra_dryrun,1,C193)))</f>
        <v>1060</v>
      </c>
      <c r="BL193" s="88" t="n">
        <f aca="false">IF(F193=4,0,G193*IF(F193=1,INDEX(in_dra_unload_20,1,C193),INDEX(in_dra_unload_40,1,C193))*Q193*(1-INDEX(in_dra_unload_in_dray,1,C193)))</f>
        <v>450</v>
      </c>
      <c r="BM193" s="88" t="n">
        <f aca="false">AL193+AN193+AO193+AR193+AU193+AZ193+BB193+BC193+BD193+BF193+BJ193+BK193+BL193</f>
        <v>16105.0960160247</v>
      </c>
      <c r="BN193" s="88" t="n">
        <f aca="false">AP193+AU193+BJ193+BK193+BL193</f>
        <v>5029.8781251658</v>
      </c>
      <c r="BO193" s="88" t="n">
        <f aca="false">AQ193+BF193</f>
        <v>1327.6390625829</v>
      </c>
      <c r="BP193" s="88" t="n">
        <f aca="false">AI193*(1+IF(K193=3,INDEX(in_sup_vat_rate,1,C193),0))+AO193*Y193/AB193+AV193*BA193+(BC193+BD193)*AV193/AY193+AZ193*AI193/AL193+BN193*AC193/AF193+BO193*Y193/AB193</f>
        <v>5626.59677856411</v>
      </c>
      <c r="BQ193" s="88" t="n">
        <f aca="false">AJ193*(1+IF(K193=3,INDEX(in_sup_vat_rate,1,C193),0))+AO193*Z193/AB193+AW193*BA193+(BC193+BD193)*AW193/AY193+AZ193*AJ193/AL193+BN193*AD193/AF193+BO193*Z193/AB193</f>
        <v>5802.59573189567</v>
      </c>
      <c r="BR193" s="88" t="n">
        <f aca="false">AK193*(1+IF(K193=3,INDEX(in_sup_vat_rate,1,C193),0))+AO193*AA193/AB193+AX193*BA193+(BC193+BD193)*AX193/AY193+AZ193*AK193/AL193+BN193*AE193/AF193+BO193*AA193/AB193</f>
        <v>4675.90350556491</v>
      </c>
      <c r="BS193" s="89" t="n">
        <f aca="false">BP193+BQ193+BR193-BM193</f>
        <v>0</v>
      </c>
      <c r="BT193" s="85" t="n">
        <f aca="false">Y193*(1-R193)</f>
        <v>25413</v>
      </c>
      <c r="BU193" s="85" t="n">
        <f aca="false">Z193*(1-R193)</f>
        <v>25413</v>
      </c>
      <c r="BV193" s="85" t="n">
        <f aca="false">AA193*(1-R193)</f>
        <v>25413</v>
      </c>
      <c r="BW193" s="85" t="n">
        <f aca="false">BT193+BU193+BV193</f>
        <v>76239</v>
      </c>
      <c r="BX193" s="90" t="n">
        <f aca="false">IF(BT193&gt;0,BP193/BT193,0)</f>
        <v>0.221406240056826</v>
      </c>
      <c r="BY193" s="90" t="n">
        <f aca="false">IF(BU193&gt;0,BQ193/BU193,0)</f>
        <v>0.228331788135823</v>
      </c>
      <c r="BZ193" s="90" t="n">
        <f aca="false">IF(BV193&gt;0,BR193/BV193,0)</f>
        <v>0.183996517749377</v>
      </c>
      <c r="CA193" s="90" t="n">
        <f aca="false">INDEX(in_mkt_listing_3464,1,C193)*(1-IF(sku_flute_3464="B",T193,0))*(1-S193)*N193</f>
        <v>0.2691</v>
      </c>
      <c r="CB193" s="90" t="n">
        <f aca="false">INDEX(in_mkt_listing_3463,1,C193)*(1-IF(sku_flute_3463="B",T193,0))*(1-S193)*N193</f>
        <v>0.3105</v>
      </c>
      <c r="CC193" s="90" t="n">
        <f aca="false">INDEX(in_mkt_listing_3460,1,C193)*(1-IF(sku_flute_3460="B",T193,0))*(1-S193)*N193</f>
        <v>0.25875</v>
      </c>
      <c r="CD193" s="88" t="n">
        <f aca="false">BT193*CA193+BU193*CB193+BV193*CC193</f>
        <v>21304.98855</v>
      </c>
      <c r="CE193" s="88" t="n">
        <f aca="false">CD193-BM193</f>
        <v>5199.89253397531</v>
      </c>
      <c r="CF193" s="87" t="n">
        <f aca="false">IF(CD193&gt;0,CE193/CD193,0)</f>
        <v>0.24406924799663</v>
      </c>
      <c r="CG193" s="87" t="n">
        <f aca="false">W193+INDEX(in_sel_processing,1,C193)+INDEX(in_sel_bad_debt,1,C193)</f>
        <v>0.058</v>
      </c>
      <c r="CH193" s="88" t="n">
        <f aca="false">CD193*CG193</f>
        <v>1235.6893359</v>
      </c>
      <c r="CI193" s="88" t="n">
        <f aca="false">INDEX(in_sel_testing,1,C193)*X193+INDEX(in_sel_admin,1,C193)</f>
        <v>500</v>
      </c>
      <c r="CJ193" s="79" t="n">
        <f aca="false">INDEX(in_sup_lead_days,1,C193)</f>
        <v>21</v>
      </c>
      <c r="CK193" s="79" t="n">
        <f aca="false">CJ193+INDEX(in_oce_transit,1,C193)+IF(F193=4,INDEX(in_oce_lcl_extra_days,1,C193),0)</f>
        <v>51</v>
      </c>
      <c r="CL193" s="79" t="n">
        <f aca="false">CK193+2+INDEX(in_cus_dem_days,1,C193)</f>
        <v>53</v>
      </c>
      <c r="CM193" s="79" t="n">
        <f aca="false">CL193+U193</f>
        <v>98</v>
      </c>
      <c r="CN193" s="79" t="n">
        <f aca="false">CJ193+INDEX(in_sup_vat_lag,1,C193)</f>
        <v>81</v>
      </c>
      <c r="CO193" s="91" t="n">
        <f aca="false">INDEX(in_sup_advance,1,C193)</f>
        <v>0.5</v>
      </c>
      <c r="CP193" s="88" t="n">
        <f aca="false">CO193*(AL193+AM193)+AO193+INDEX(in_sel_testing,1,C193)*X193</f>
        <v>5486.80083107847</v>
      </c>
      <c r="CQ193" s="88" t="n">
        <f aca="false">(1-CO193)*(AL193+AM193)+AR193+AU193+AZ193</f>
        <v>9869.71801882717</v>
      </c>
      <c r="CR193" s="88" t="n">
        <f aca="false">BB193+BC193+BD193+BF193+BJ193</f>
        <v>586.212457962891</v>
      </c>
      <c r="CS193" s="88" t="n">
        <f aca="false">BK193+BL193</f>
        <v>1510</v>
      </c>
      <c r="CT193" s="88" t="n">
        <f aca="false">IF(K193=2,AM193,0)</f>
        <v>1347.63529184383</v>
      </c>
      <c r="CU193" s="85" t="n">
        <f aca="false">IF(K193=2,CO193*AM193*(CN193-0)+(1-CO193)*AM193*(CN193-CJ193),0)</f>
        <v>95008.2880749903</v>
      </c>
      <c r="CV193" s="85" t="n">
        <f aca="false">(CP193-CO193*CT193)*(CM193-0)+(CQ193-(1-CO193)*CT193)*(CM193-CJ193)+CR193*(CM193-CK193)+CS193*(CM193-CL193)</f>
        <v>1275258.6663833</v>
      </c>
      <c r="CW193" s="88" t="n">
        <f aca="false">INDEX(in_sel_fin_rate,1,C193)/365*(CU193+CV193)</f>
        <v>375.415603961176</v>
      </c>
      <c r="CX193" s="85" t="n">
        <f aca="false">CP193-IF(CN193&lt;=0,CT193,0)</f>
        <v>5486.80083107847</v>
      </c>
      <c r="CY193" s="85" t="n">
        <f aca="false">CP193+CQ193-IF(CN193&lt;=CJ193,CT193,0)</f>
        <v>15356.5188499056</v>
      </c>
      <c r="CZ193" s="85" t="n">
        <f aca="false">CP193+CQ193+CR193-IF(CN193&lt;=CK193,CT193,0)</f>
        <v>15942.7313078685</v>
      </c>
      <c r="DA193" s="85" t="n">
        <f aca="false">CP193+CQ193+CR193+CS193-IF(CN193&lt;=CL193,CT193,0)</f>
        <v>17452.7313078685</v>
      </c>
      <c r="DB193" s="88" t="n">
        <f aca="false">MAX(CX193,CY193,CZ193,DA193)</f>
        <v>17452.7313078685</v>
      </c>
      <c r="DC193" s="88" t="n">
        <f aca="false">CP193+CQ193+CR193+CS193</f>
        <v>17452.7313078685</v>
      </c>
      <c r="DD193" s="88" t="n">
        <f aca="false">CE193-CH193-CI193-CW193</f>
        <v>3088.78759411413</v>
      </c>
      <c r="DE193" s="87" t="n">
        <f aca="false">IF(CD193&gt;0,DD193/CD193,0)</f>
        <v>0.144979547248531</v>
      </c>
      <c r="DF193" s="86" t="n">
        <f aca="false">IF(CD193&gt;0,(BM193+CI193+CW193)/(CD193*(1-CG193)),0)</f>
        <v>0.84609389888691</v>
      </c>
      <c r="DG193" s="90" t="n">
        <f aca="false">IF(BW193&gt;0,BM193/BW193,0)</f>
        <v>0.211244848647342</v>
      </c>
      <c r="DH193" s="90" t="n">
        <f aca="false">IF(BW193&gt;0,CD193/BW193,0)</f>
        <v>0.27945</v>
      </c>
      <c r="DI193" s="90" t="n">
        <f aca="false">IF(AI193&gt;0,(AI193*IF(K193=3,INDEX(in_sup_vat_rate,1,C193),0)+AV193*BA193+(BC193+BD193)*AV193/AY193+AZ193*AI193/AL193)/AI193,0)</f>
        <v>0.0126337921081825</v>
      </c>
      <c r="DJ193" s="90" t="n">
        <f aca="false">IF(AJ193&gt;0,(AJ193*IF(K193=3,INDEX(in_sup_vat_rate,1,C193),0)+AW193*BA193+(BC193+BD193)*AW193/AY193+AZ193*AJ193/AL193)/AJ193,0)</f>
        <v>0.0126337921081825</v>
      </c>
      <c r="DK193" s="90" t="n">
        <f aca="false">IF(AK193&gt;0,(AK193*IF(K193=3,INDEX(in_sup_vat_rate,1,C193),0)+AX193*BA193+(BC193+BD193)*AX193/AY193+AZ193*AK193/AL193)/AK193,0)</f>
        <v>0.0126337921081825</v>
      </c>
      <c r="DL193" s="90" t="n">
        <f aca="false">IF(Y193&gt;0,(BP193-AI193*(1+DI193))/Y193,0)</f>
        <v>0.0816548914794087</v>
      </c>
      <c r="DM193" s="90" t="n">
        <f aca="false">IF(Z193&gt;0,(BQ193-AJ193*(1+DJ193))/Z193,0)</f>
        <v>0.0960605454064502</v>
      </c>
      <c r="DN193" s="90" t="n">
        <f aca="false">IF(AA193&gt;0,(BR193-AK193*(1+DK193))/AA193,0)</f>
        <v>0.0686999579881217</v>
      </c>
      <c r="DO193" s="86" t="n">
        <f aca="false">IF(Y193&gt;0,(CA193*(1-thr_gm_go)*(1-R193)-DL193)/(1+DI193)*I193/((1+AH193)*J193),"")</f>
        <v>7.18241687716606</v>
      </c>
      <c r="DP193" s="86" t="n">
        <f aca="false">IF(Z193&gt;0,(CB193*(1-thr_gm_go)*(1-R193)-DM193)/(1+DJ193)*I193/((1+AH193)*J193),"")</f>
        <v>8.17438127812349</v>
      </c>
      <c r="DQ193" s="86" t="n">
        <f aca="false">IF(AA193&gt;0,(CC193*(1-thr_gm_go)*(1-R193)-DN193)/(1+DK193)*I193/((1+AH193)*J193),"")</f>
        <v>7.50792169902352</v>
      </c>
      <c r="DR193" s="92" t="n">
        <f aca="false">IF(AND(AY193*INDEX(in_cus_mpf_rate,1,C193)&gt;INDEX(in_cus_mpf_min,1,C193),AY193*INDEX(in_cus_mpf_rate,1,C193)&lt;INDEX(in_cus_mpf_max,1,C193)),INDEX(in_cus_mpf_rate,1,C193),0)</f>
        <v>0</v>
      </c>
      <c r="DS193" s="88" t="n">
        <f aca="false">IF(AZ193&gt;INDEX(in_oce_ins_min,1,C193),INDEX(in_oce_ins_rate,1,C193)*(1+INDEX(in_oce_ins_uplift,1,C193))*AL193,0)</f>
        <v>0</v>
      </c>
      <c r="DT193" s="88" t="n">
        <f aca="false">(AL193+AN193)*(1+BA193+INDEX(in_cus_hmf,1,C193)+DR193)+DS193</f>
        <v>9637.998828276</v>
      </c>
      <c r="DU193" s="86" t="n">
        <f aca="false">IF(DT193&gt;0,(CD193*(1-thr_gm_go)-(BM193-DT193))/DT193,0)</f>
        <v>0.986889954462954</v>
      </c>
      <c r="DV193" s="86" t="n">
        <f aca="false">IF(DT193&gt;0,(CD193-(BM193-DT193))/DT193,0)</f>
        <v>1.53951993838387</v>
      </c>
      <c r="DW193" s="87" t="n">
        <f aca="false">(1+AH193)*J193*DU193-1</f>
        <v>-0.161143538706489</v>
      </c>
      <c r="DX193" s="87" t="n">
        <f aca="false">(1+AH193)*J193*DV193-1</f>
        <v>0.308591947626292</v>
      </c>
      <c r="DY193" s="85" t="n">
        <f aca="false">IF(G193&gt;0,(CD193*(1-thr_gm_go)-(BM193-AT193))/G193,"")</f>
        <v>2773.64539647531</v>
      </c>
      <c r="DZ193" s="90" t="n">
        <f aca="false">IF(AB193&gt;0,(AL193+AN193+BB193+BC193+BD193)/AB193,0)</f>
        <v>0.124968718711576</v>
      </c>
      <c r="EA193" s="88" t="n">
        <f aca="false">BM193-DZ193*AB193</f>
        <v>6432.5171877487</v>
      </c>
      <c r="EB193" s="90" t="n">
        <f aca="false">IF(AB193&gt;0,CD193/AB193,0)</f>
        <v>0.27525825</v>
      </c>
      <c r="EC193" s="85" t="n">
        <f aca="false">IF(EB193*(1-thr_gm_go)-DZ193&gt;0,EA193/(EB193*(1-thr_gm_go)-DZ193),"n/a")</f>
        <v>78950.8395449996</v>
      </c>
      <c r="ED193" s="85" t="n">
        <f aca="false">IF(EB193-DZ193&gt;0,EA193/(EB193-DZ193),"n/a")</f>
        <v>42800.8333820931</v>
      </c>
      <c r="EE193" s="93" t="b">
        <f aca="false">INDEX(cfg_fits,D193,C193)</f>
        <v>1</v>
      </c>
      <c r="EF193" s="87" t="n">
        <f aca="false">IF(F193=4,"",INDEX(cfg_lenutil,D193,C193))</f>
        <v>0.999580888516345</v>
      </c>
      <c r="EG193" s="31" t="str">
        <f aca="false">IF(O193&gt;1,"Check fit (units scaled up)","")</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40"/>
    <col collapsed="false" customWidth="true" hidden="false" outlineLevel="0" max="4" min="4" style="0" width="60"/>
  </cols>
  <sheetData>
    <row r="1" customFormat="false" ht="18.55" hidden="false" customHeight="false" outlineLevel="0" collapsed="false">
      <c r="A1" s="1" t="s">
        <v>3342</v>
      </c>
    </row>
    <row r="2" customFormat="false" ht="15" hidden="false" customHeight="false" outlineLevel="0" collapsed="false">
      <c r="A2" s="2" t="s">
        <v>3343</v>
      </c>
    </row>
    <row r="4" customFormat="false" ht="15" hidden="false" customHeight="false" outlineLevel="0" collapsed="false">
      <c r="A4" s="13" t="s">
        <v>356</v>
      </c>
      <c r="B4" s="13" t="s">
        <v>261</v>
      </c>
      <c r="C4" s="13" t="s">
        <v>264</v>
      </c>
      <c r="D4" s="13" t="s">
        <v>3344</v>
      </c>
    </row>
    <row r="5" customFormat="false" ht="15" hidden="false" customHeight="false" outlineLevel="0" collapsed="false">
      <c r="A5" s="9" t="n">
        <v>1</v>
      </c>
      <c r="B5" s="16" t="s">
        <v>3345</v>
      </c>
      <c r="C5" s="8" t="str">
        <f aca="false">IF(SUMPRODUCT(ABS(q_diff))&lt;0.01,"OK","FAIL")</f>
        <v>OK</v>
      </c>
      <c r="D5" s="16" t="s">
        <v>3346</v>
      </c>
    </row>
    <row r="6" customFormat="false" ht="15" hidden="false" customHeight="false" outlineLevel="0" collapsed="false">
      <c r="A6" s="9" t="n">
        <v>2</v>
      </c>
      <c r="B6" s="16" t="s">
        <v>3347</v>
      </c>
      <c r="C6" s="8" t="str">
        <f aca="false">q_chk_subtotal</f>
        <v>OK</v>
      </c>
      <c r="D6" s="16" t="s">
        <v>3348</v>
      </c>
    </row>
    <row r="7" customFormat="false" ht="15" hidden="false" customHeight="false" outlineLevel="0" collapsed="false">
      <c r="A7" s="9" t="n">
        <v>3</v>
      </c>
      <c r="B7" s="16" t="s">
        <v>3349</v>
      </c>
      <c r="C7" s="8" t="str">
        <f aca="false">q_chk_tax</f>
        <v>OK</v>
      </c>
      <c r="D7" s="16" t="s">
        <v>3350</v>
      </c>
    </row>
    <row r="8" customFormat="false" ht="15" hidden="false" customHeight="false" outlineLevel="0" collapsed="false">
      <c r="A8" s="9" t="n">
        <v>4</v>
      </c>
      <c r="B8" s="16" t="s">
        <v>3351</v>
      </c>
      <c r="C8" s="8" t="str">
        <f aca="false">q_chk_total</f>
        <v>OK</v>
      </c>
      <c r="D8" s="16" t="s">
        <v>3352</v>
      </c>
    </row>
    <row r="9" customFormat="false" ht="15" hidden="false" customHeight="false" outlineLevel="0" collapsed="false">
      <c r="A9" s="9" t="n">
        <v>5</v>
      </c>
      <c r="B9" s="16" t="s">
        <v>3353</v>
      </c>
      <c r="C9" s="8" t="str">
        <f aca="false">q_chk_qty</f>
        <v>OK</v>
      </c>
      <c r="D9" s="16" t="s">
        <v>3354</v>
      </c>
    </row>
    <row r="10" customFormat="false" ht="15" hidden="false" customHeight="false" outlineLevel="0" collapsed="false">
      <c r="A10" s="9" t="n">
        <v>6</v>
      </c>
      <c r="B10" s="16" t="s">
        <v>3355</v>
      </c>
      <c r="C10" s="8" t="str">
        <f aca="false">IF(AND(INDEX(cfg_total,1,1)=60000,INDEX(cfg_total,1,2)=60000,INDEX(cfg_total,1,3)=60000,INDEX(cfg_total,2,2)=60000,INDEX(cfg_total,3,2)=60000),"OK","FAIL")</f>
        <v>OK</v>
      </c>
      <c r="D10" s="16" t="s">
        <v>3356</v>
      </c>
    </row>
    <row r="11" customFormat="false" ht="15" hidden="false" customHeight="false" outlineLevel="0" collapsed="false">
      <c r="A11" s="9" t="n">
        <v>7</v>
      </c>
      <c r="B11" s="16" t="s">
        <v>3357</v>
      </c>
      <c r="C11" s="8" t="str">
        <f aca="false">IF(SUMPRODUCT((ABS(eng_alloc_chk)&gt;0.01)*1)=0,"OK","FAIL")</f>
        <v>OK</v>
      </c>
      <c r="D11" s="16" t="s">
        <v>3358</v>
      </c>
    </row>
    <row r="12" customFormat="false" ht="15" hidden="false" customHeight="false" outlineLevel="0" collapsed="false">
      <c r="A12" s="9" t="n">
        <v>8</v>
      </c>
      <c r="B12" s="16" t="s">
        <v>3359</v>
      </c>
      <c r="C12" s="8" t="str">
        <f aca="false">led_chk_cogs</f>
        <v>OK</v>
      </c>
      <c r="D12" s="16" t="s">
        <v>3360</v>
      </c>
    </row>
    <row r="13" customFormat="false" ht="15" hidden="false" customHeight="false" outlineLevel="0" collapsed="false">
      <c r="A13" s="9" t="n">
        <v>9</v>
      </c>
      <c r="B13" s="16" t="s">
        <v>3361</v>
      </c>
      <c r="C13" s="8" t="str">
        <f aca="false">led_chk_dup</f>
        <v>OK</v>
      </c>
      <c r="D13" s="16" t="s">
        <v>3362</v>
      </c>
    </row>
    <row r="14" customFormat="false" ht="15" hidden="false" customHeight="false" outlineLevel="0" collapsed="false">
      <c r="A14" s="9" t="n">
        <v>10</v>
      </c>
      <c r="B14" s="16" t="s">
        <v>3363</v>
      </c>
      <c r="C14" s="8" t="str">
        <f aca="false">led_chk_origin</f>
        <v>OK</v>
      </c>
      <c r="D14" s="16" t="s">
        <v>3364</v>
      </c>
    </row>
    <row r="15" customFormat="false" ht="15" hidden="false" customHeight="false" outlineLevel="0" collapsed="false">
      <c r="A15" s="9" t="n">
        <v>11</v>
      </c>
      <c r="B15" s="16" t="s">
        <v>3365</v>
      </c>
      <c r="C15" s="8" t="str">
        <f aca="false">led_chk_ocean</f>
        <v>OK</v>
      </c>
      <c r="D15" s="16" t="s">
        <v>3366</v>
      </c>
    </row>
    <row r="16" customFormat="false" ht="15" hidden="false" customHeight="false" outlineLevel="0" collapsed="false">
      <c r="A16" s="9" t="n">
        <v>12</v>
      </c>
      <c r="B16" s="16" t="s">
        <v>3367</v>
      </c>
      <c r="C16" s="8" t="str">
        <f aca="false">led_chk_duty</f>
        <v>OK</v>
      </c>
      <c r="D16" s="16" t="s">
        <v>3368</v>
      </c>
    </row>
    <row r="17" customFormat="false" ht="15" hidden="false" customHeight="false" outlineLevel="0" collapsed="false">
      <c r="A17" s="9" t="n">
        <v>13</v>
      </c>
      <c r="B17" s="16" t="s">
        <v>3369</v>
      </c>
      <c r="C17" s="8" t="str">
        <f aca="false">led_chk_delivery</f>
        <v>OK</v>
      </c>
      <c r="D17" s="16" t="s">
        <v>3370</v>
      </c>
    </row>
    <row r="18" customFormat="false" ht="15" hidden="false" customHeight="false" outlineLevel="0" collapsed="false">
      <c r="A18" s="9" t="n">
        <v>14</v>
      </c>
      <c r="B18" s="16" t="s">
        <v>3371</v>
      </c>
      <c r="C18" s="8" t="str">
        <f aca="false">led_chk_alloc</f>
        <v>OK</v>
      </c>
      <c r="D18" s="16" t="s">
        <v>3372</v>
      </c>
    </row>
    <row r="19" customFormat="false" ht="15" hidden="false" customHeight="false" outlineLevel="0" collapsed="false">
      <c r="A19" s="9" t="n">
        <v>15</v>
      </c>
      <c r="B19" s="16" t="s">
        <v>3373</v>
      </c>
      <c r="C19" s="8" t="str">
        <f aca="false">led_chk_recon</f>
        <v>n/a – configuration differs from quoted mix</v>
      </c>
      <c r="D19" s="16" t="s">
        <v>3374</v>
      </c>
    </row>
    <row r="20" customFormat="false" ht="15" hidden="false" customHeight="false" outlineLevel="0" collapsed="false">
      <c r="A20" s="9" t="n">
        <v>16</v>
      </c>
      <c r="B20" s="16" t="s">
        <v>3375</v>
      </c>
      <c r="C20" s="8" t="str">
        <f aca="false">tar_cv_check</f>
        <v>OK</v>
      </c>
      <c r="D20" s="16" t="s">
        <v>1568</v>
      </c>
    </row>
    <row r="21" customFormat="false" ht="15" hidden="false" customHeight="false" outlineLevel="0" collapsed="false">
      <c r="A21" s="9" t="n">
        <v>17</v>
      </c>
      <c r="B21" s="16" t="s">
        <v>3376</v>
      </c>
      <c r="C21" s="8" t="str">
        <f aca="false">IF(INDEX(in_ori_othc_in_freight,1,sel_scen)=0,"OK – THC charged once (ocean estimate excludes OTHC)","OK – THC excluded (in freight)")</f>
        <v>OK – THC charged once (ocean estimate excludes OTHC)</v>
      </c>
      <c r="D21" s="16" t="s">
        <v>3377</v>
      </c>
    </row>
    <row r="22" customFormat="false" ht="15" hidden="false" customHeight="false" outlineLevel="0" collapsed="false">
      <c r="A22" s="9" t="n">
        <v>18</v>
      </c>
      <c r="B22" s="16" t="s">
        <v>3378</v>
      </c>
      <c r="C22" s="8" t="str">
        <f aca="false">IF(AND(INDEX(in_cus_cfc_in_freight,1,sel_scen)&lt;=1,INDEX(in_oce_ins_in_other,1,sel_scen)&lt;=1,INDEX(in_dra_chassis_in_dray,1,sel_scen)&lt;=1,INDEX(in_dra_unload_in_dray,1,sel_scen)&lt;=1),"OK – flags set (each item once)","FAIL")</f>
        <v>OK – flags set (each item once)</v>
      </c>
      <c r="D22" s="16" t="s">
        <v>3379</v>
      </c>
    </row>
    <row r="23" customFormat="false" ht="15" hidden="false" customHeight="false" outlineLevel="0" collapsed="false">
      <c r="A23" s="9" t="n">
        <v>19</v>
      </c>
      <c r="B23" s="16" t="s">
        <v>3380</v>
      </c>
      <c r="C23" s="8" t="str">
        <f aca="false">IF(SUMPRODUCT((eng_vatmode&lt;&gt;3)*(ABS(eng_VAT_ECON)&gt;0.0001))=0,"OK","FAIL")</f>
        <v>OK</v>
      </c>
      <c r="D23" s="16" t="s">
        <v>3381</v>
      </c>
    </row>
    <row r="24" customFormat="false" ht="15" hidden="false" customHeight="false" outlineLevel="0" collapsed="false">
      <c r="A24" s="9" t="n">
        <v>20</v>
      </c>
      <c r="B24" s="16" t="s">
        <v>3382</v>
      </c>
      <c r="C24" s="8" t="str">
        <f aca="false">IF(AND(INDEX(cfg_fits,4,1),INDEX(cfg_fits,4,2),INDEX(cfg_fits,4,3),INDEX(cfg_fits,8,1),INDEX(cfg_fits,8,2),INDEX(cfg_fits,8,3),INDEX(cfg_fits,9,1),INDEX(cfg_fits,9,2),INDEX(cfg_fits,9,3)),"OK","WARN – re-run scripts/build_all.py (geometry inputs changed)")</f>
        <v>OK</v>
      </c>
      <c r="D24" s="16" t="s">
        <v>3383</v>
      </c>
    </row>
    <row r="25" customFormat="false" ht="15" hidden="false" customHeight="false" outlineLevel="0" collapsed="false">
      <c r="A25" s="9" t="n">
        <v>21</v>
      </c>
      <c r="B25" s="16" t="s">
        <v>3384</v>
      </c>
      <c r="C25" s="8" t="str">
        <f aca="false">IF(COUNTIF(lg_validation,"OK*")=ROWS(lg_validation),"OK","WARN – see Loading Geometry col AH")</f>
        <v>OK</v>
      </c>
      <c r="D25" s="16" t="s">
        <v>3385</v>
      </c>
    </row>
    <row r="26" customFormat="false" ht="15" hidden="false" customHeight="false" outlineLevel="0" collapsed="false">
      <c r="A26" s="9" t="n">
        <v>22</v>
      </c>
      <c r="B26" s="16" t="s">
        <v>3386</v>
      </c>
      <c r="C26" s="8" t="str">
        <f aca="false">IF(SUMPRODUCT(ISERROR(eng_COGS)*1)+SUMPRODUCT(ISERROR(eng_REV)*1)+SUMPRODUCT(ISERROR(eng_CONTRIB)*1)+SUMPRODUCT(ISERROR(eng_PEAK)*1)=0,"OK","ERROR")</f>
        <v>OK</v>
      </c>
      <c r="D26" s="16" t="s">
        <v>3387</v>
      </c>
    </row>
    <row r="27" customFormat="false" ht="15" hidden="false" customHeight="false" outlineLevel="0" collapsed="false">
      <c r="A27" s="9" t="n">
        <v>23</v>
      </c>
      <c r="B27" s="16" t="s">
        <v>3388</v>
      </c>
      <c r="C27" s="8" t="str">
        <f aca="false">IF(val_date&gt;q_valid_until,"WARN – expired quote used as historical reference","OK")</f>
        <v>WARN – expired quote used as historical reference</v>
      </c>
      <c r="D27" s="16" t="s">
        <v>3389</v>
      </c>
    </row>
    <row r="28" customFormat="false" ht="15" hidden="false" customHeight="false" outlineLevel="0" collapsed="false">
      <c r="A28" s="9" t="n">
        <v>24</v>
      </c>
      <c r="B28" s="16" t="s">
        <v>3390</v>
      </c>
      <c r="C28" s="8" t="str">
        <f aca="false">IF(ABS(val_date-DATE(2026,10,15))&lt;=7,"OK","WARN – refresh FX")</f>
        <v>OK</v>
      </c>
      <c r="D28" s="16" t="s">
        <v>3391</v>
      </c>
    </row>
    <row r="30" customFormat="false" ht="15" hidden="false" customHeight="false" outlineLevel="0" collapsed="false">
      <c r="B30" s="5" t="s">
        <v>3392</v>
      </c>
      <c r="C30" s="7" t="str">
        <f aca="false">IF(COUNTIF(C5:C28,"FAIL*")+COUNTIF(C5:C28,"ERROR*")&gt;0,"FAIL – see Model Checks",IF(COUNTIF(C5:C28,"WARN*")&gt;0,"WARN – "&amp;COUNTIF(C5:C28,"WARN*")&amp;" warning(s), no failures","OK – all checks pass"))</f>
        <v>WARN – 1 warning(s), no failures</v>
      </c>
    </row>
  </sheetData>
  <conditionalFormatting sqref="C5:C28">
    <cfRule type="expression" priority="2" aboveAverage="0" equalAverage="0" bottom="0" percent="0" rank="0" text="" dxfId="0">
      <formula>LEFT(C5,2)="OK"</formula>
    </cfRule>
    <cfRule type="expression" priority="3" aboveAverage="0" equalAverage="0" bottom="0" percent="0" rank="0" text="" dxfId="1">
      <formula>OR(LEFT(C5,4)="FAIL",LEFT(C5,5)="ERROR")</formula>
    </cfRule>
    <cfRule type="expression" priority="4" aboveAverage="0" equalAverage="0" bottom="0" percent="0" rank="0" text="" dxfId="2">
      <formula>LEFT(C5,4)="WARN"</formula>
    </cfRule>
  </conditionalFormatting>
  <conditionalFormatting sqref="C30">
    <cfRule type="expression" priority="5" aboveAverage="0" equalAverage="0" bottom="0" percent="0" rank="0" text="" dxfId="0">
      <formula>LEFT(C30,2)="OK"</formula>
    </cfRule>
    <cfRule type="expression" priority="6" aboveAverage="0" equalAverage="0" bottom="0" percent="0" rank="0" text="" dxfId="1">
      <formula>OR(LEFT(C30,4)="FAIL",LEFT(C30,5)="ERROR")</formula>
    </cfRule>
    <cfRule type="expression" priority="7" aboveAverage="0" equalAverage="0" bottom="0" percent="0" rank="0" text="" dxfId="2">
      <formula>LEFT(C30,4)="WARN"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2026-10-16T13:12:34Z</dcterms:created>
  <dc:creator>openpyxl</dc:creator>
  <dc:description/>
  <dc:language>en-US</dc:language>
  <cp:lastModifiedBy/>
  <dcterms:modified xsi:type="dcterms:W3CDTF">2026-10-16T13:12:34Z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