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79258\Documents\Хохряков\"/>
    </mc:Choice>
  </mc:AlternateContent>
  <xr:revisionPtr revIDLastSave="0" documentId="13_ncr:1_{051BAB9C-5522-4AB0-989A-ABFF7E6CE5E3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Данные" sheetId="1" r:id="rId1"/>
    <sheet name="Зарплата" sheetId="3" r:id="rId2"/>
    <sheet name="План платежей" sheetId="2" r:id="rId3"/>
    <sheet name="Реестр" sheetId="4" r:id="rId4"/>
    <sheet name="Предложения по доработке" sheetId="5" r:id="rId5"/>
  </sheets>
  <definedNames>
    <definedName name="_xlnm._FilterDatabase" localSheetId="3" hidden="1">Реестр!$A$2:$AB$116</definedName>
    <definedName name="_xlnm.Print_Area" localSheetId="2">'План платежей'!$A$1:$AJ$96</definedName>
    <definedName name="_xlnm.Print_Area" localSheetId="3">Реестр!$A$2:$I$21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2" l="1"/>
  <c r="S3" i="2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D80" i="2"/>
  <c r="AH56" i="2"/>
  <c r="N104" i="4"/>
  <c r="N105" i="4"/>
  <c r="N106" i="4"/>
  <c r="N107" i="4"/>
  <c r="N108" i="4"/>
  <c r="N109" i="4"/>
  <c r="N110" i="4"/>
  <c r="N111" i="4"/>
  <c r="N112" i="4"/>
  <c r="N113" i="4"/>
  <c r="N114" i="4"/>
  <c r="N115" i="4"/>
  <c r="N103" i="4"/>
  <c r="R95" i="2"/>
  <c r="R91" i="2"/>
  <c r="R90" i="2" s="1"/>
  <c r="R94" i="2"/>
  <c r="R16" i="2"/>
  <c r="R13" i="2"/>
  <c r="R85" i="2"/>
  <c r="R84" i="2" s="1"/>
  <c r="R7" i="2"/>
  <c r="R82" i="2"/>
  <c r="R81" i="2"/>
  <c r="R4" i="2"/>
  <c r="R88" i="2"/>
  <c r="R87" i="2" s="1"/>
  <c r="R19" i="2"/>
  <c r="R20" i="2"/>
  <c r="R10" i="2"/>
  <c r="N131" i="4"/>
  <c r="M131" i="4"/>
  <c r="J131" i="4"/>
  <c r="E131" i="4"/>
  <c r="N98" i="4"/>
  <c r="D97" i="4"/>
  <c r="N93" i="4"/>
  <c r="N94" i="4"/>
  <c r="N95" i="4"/>
  <c r="N96" i="4"/>
  <c r="N97" i="4"/>
  <c r="N99" i="4"/>
  <c r="N100" i="4"/>
  <c r="D95" i="4"/>
  <c r="D96" i="4" s="1"/>
  <c r="R25" i="2"/>
  <c r="N92" i="4"/>
  <c r="N91" i="4"/>
  <c r="Q96" i="2"/>
  <c r="Q7" i="2"/>
  <c r="Q10" i="2"/>
  <c r="Q13" i="2"/>
  <c r="Q85" i="2"/>
  <c r="Q88" i="2"/>
  <c r="Q91" i="2"/>
  <c r="Q94" i="2"/>
  <c r="Q16" i="2"/>
  <c r="Q82" i="2"/>
  <c r="Q4" i="2"/>
  <c r="Q19" i="2"/>
  <c r="Q20" i="2"/>
  <c r="P19" i="2"/>
  <c r="P20" i="2"/>
  <c r="P3" i="2" s="1"/>
  <c r="P7" i="2"/>
  <c r="P85" i="2"/>
  <c r="P88" i="2"/>
  <c r="P10" i="2"/>
  <c r="P82" i="2"/>
  <c r="P4" i="2"/>
  <c r="P94" i="2"/>
  <c r="P16" i="2"/>
  <c r="P91" i="2"/>
  <c r="P13" i="2"/>
  <c r="O85" i="2"/>
  <c r="O7" i="2"/>
  <c r="O88" i="2"/>
  <c r="O10" i="2"/>
  <c r="O82" i="2"/>
  <c r="O4" i="2"/>
  <c r="O94" i="2"/>
  <c r="O16" i="2"/>
  <c r="O91" i="2"/>
  <c r="O13" i="2"/>
  <c r="N94" i="2"/>
  <c r="N16" i="2"/>
  <c r="N82" i="2"/>
  <c r="N81" i="2" s="1"/>
  <c r="N4" i="2"/>
  <c r="N85" i="2"/>
  <c r="N7" i="2"/>
  <c r="N91" i="2"/>
  <c r="N13" i="2"/>
  <c r="N88" i="2"/>
  <c r="N10" i="2"/>
  <c r="N19" i="2"/>
  <c r="O19" i="2"/>
  <c r="O3" i="2" s="1"/>
  <c r="N20" i="2"/>
  <c r="O20" i="2"/>
  <c r="M19" i="2"/>
  <c r="M20" i="2"/>
  <c r="M94" i="2"/>
  <c r="M16" i="2"/>
  <c r="M88" i="2"/>
  <c r="M10" i="2"/>
  <c r="M82" i="2"/>
  <c r="M81" i="2" s="1"/>
  <c r="M4" i="2"/>
  <c r="M91" i="2"/>
  <c r="M13" i="2"/>
  <c r="M85" i="2"/>
  <c r="M7" i="2"/>
  <c r="N90" i="4"/>
  <c r="D90" i="4"/>
  <c r="N87" i="4"/>
  <c r="N88" i="4"/>
  <c r="D87" i="4"/>
  <c r="D88" i="4" s="1"/>
  <c r="N83" i="4"/>
  <c r="N66" i="4"/>
  <c r="D66" i="4"/>
  <c r="J82" i="4"/>
  <c r="N82" i="4" s="1"/>
  <c r="F3" i="2"/>
  <c r="F4" i="2"/>
  <c r="F13" i="2"/>
  <c r="AI3" i="2" l="1"/>
  <c r="R93" i="2"/>
  <c r="R96" i="2" s="1"/>
  <c r="R3" i="2"/>
  <c r="O81" i="2"/>
  <c r="Q3" i="2"/>
  <c r="N3" i="2"/>
  <c r="N89" i="4"/>
  <c r="N86" i="4"/>
  <c r="J73" i="4"/>
  <c r="D78" i="4"/>
  <c r="N76" i="4"/>
  <c r="N77" i="4"/>
  <c r="N78" i="4"/>
  <c r="N79" i="4"/>
  <c r="N80" i="4"/>
  <c r="N81" i="4"/>
  <c r="N75" i="4"/>
  <c r="H94" i="2"/>
  <c r="I94" i="2"/>
  <c r="J94" i="2"/>
  <c r="K94" i="2"/>
  <c r="L94" i="2"/>
  <c r="G94" i="2"/>
  <c r="H91" i="2"/>
  <c r="I91" i="2"/>
  <c r="J91" i="2"/>
  <c r="K91" i="2"/>
  <c r="L91" i="2"/>
  <c r="G91" i="2"/>
  <c r="H88" i="2"/>
  <c r="I88" i="2"/>
  <c r="J88" i="2"/>
  <c r="K88" i="2"/>
  <c r="L88" i="2"/>
  <c r="G88" i="2"/>
  <c r="L85" i="2"/>
  <c r="H85" i="2"/>
  <c r="I85" i="2"/>
  <c r="J85" i="2"/>
  <c r="K85" i="2"/>
  <c r="G85" i="2"/>
  <c r="H82" i="2"/>
  <c r="I82" i="2"/>
  <c r="J82" i="2"/>
  <c r="K82" i="2"/>
  <c r="L82" i="2"/>
  <c r="G82" i="2"/>
  <c r="K16" i="2"/>
  <c r="L16" i="2"/>
  <c r="L4" i="2"/>
  <c r="L7" i="2"/>
  <c r="L10" i="2"/>
  <c r="L13" i="2"/>
  <c r="L19" i="2"/>
  <c r="L20" i="2"/>
  <c r="N65" i="4"/>
  <c r="N67" i="4"/>
  <c r="N68" i="4"/>
  <c r="N69" i="4"/>
  <c r="N70" i="4"/>
  <c r="N71" i="4"/>
  <c r="N72" i="4"/>
  <c r="N64" i="4"/>
  <c r="M3" i="2"/>
  <c r="G55" i="2"/>
  <c r="N116" i="4"/>
  <c r="M116" i="4"/>
  <c r="J116" i="4"/>
  <c r="E116" i="4"/>
  <c r="M101" i="4"/>
  <c r="J101" i="4"/>
  <c r="E101" i="4"/>
  <c r="M84" i="4"/>
  <c r="J84" i="4"/>
  <c r="E84" i="4"/>
  <c r="M73" i="4"/>
  <c r="E73" i="4"/>
  <c r="E62" i="4"/>
  <c r="J35" i="4"/>
  <c r="E35" i="4"/>
  <c r="M22" i="4"/>
  <c r="J22" i="4"/>
  <c r="E22" i="4"/>
  <c r="M16" i="4"/>
  <c r="J16" i="4"/>
  <c r="E16" i="4"/>
  <c r="M11" i="4"/>
  <c r="J11" i="4"/>
  <c r="E11" i="4"/>
  <c r="N7" i="4"/>
  <c r="J61" i="4"/>
  <c r="N61" i="4" s="1"/>
  <c r="J60" i="4"/>
  <c r="N60" i="4" s="1"/>
  <c r="P81" i="2" l="1"/>
  <c r="N101" i="4"/>
  <c r="N84" i="4"/>
  <c r="L3" i="2"/>
  <c r="N73" i="4"/>
  <c r="N58" i="4"/>
  <c r="J59" i="4"/>
  <c r="N59" i="4" s="1"/>
  <c r="J53" i="4"/>
  <c r="N53" i="4" s="1"/>
  <c r="J54" i="4"/>
  <c r="N54" i="4" s="1"/>
  <c r="J55" i="4"/>
  <c r="N55" i="4" s="1"/>
  <c r="J56" i="4"/>
  <c r="N56" i="4" s="1"/>
  <c r="J57" i="4"/>
  <c r="N57" i="4" s="1"/>
  <c r="N49" i="4"/>
  <c r="N50" i="4"/>
  <c r="N51" i="4"/>
  <c r="J52" i="4"/>
  <c r="M52" i="4"/>
  <c r="M62" i="4" s="1"/>
  <c r="Q81" i="2" l="1"/>
  <c r="J62" i="4"/>
  <c r="N52" i="4"/>
  <c r="AH60" i="2"/>
  <c r="AI60" i="2"/>
  <c r="D69" i="4"/>
  <c r="G96" i="2"/>
  <c r="H93" i="2"/>
  <c r="I93" i="2" s="1"/>
  <c r="J93" i="2" s="1"/>
  <c r="K93" i="2" s="1"/>
  <c r="L93" i="2" s="1"/>
  <c r="M93" i="2" s="1"/>
  <c r="N93" i="2" s="1"/>
  <c r="O93" i="2" s="1"/>
  <c r="P93" i="2" s="1"/>
  <c r="Q93" i="2" s="1"/>
  <c r="H90" i="2"/>
  <c r="I90" i="2" s="1"/>
  <c r="J90" i="2" s="1"/>
  <c r="K90" i="2" s="1"/>
  <c r="L90" i="2" s="1"/>
  <c r="M90" i="2" s="1"/>
  <c r="N90" i="2" s="1"/>
  <c r="O90" i="2" s="1"/>
  <c r="P90" i="2" s="1"/>
  <c r="Q90" i="2" s="1"/>
  <c r="H87" i="2"/>
  <c r="I87" i="2" s="1"/>
  <c r="J87" i="2" s="1"/>
  <c r="K87" i="2" s="1"/>
  <c r="L87" i="2" s="1"/>
  <c r="M87" i="2" s="1"/>
  <c r="N87" i="2" s="1"/>
  <c r="O87" i="2" s="1"/>
  <c r="P87" i="2" s="1"/>
  <c r="Q87" i="2" s="1"/>
  <c r="H84" i="2"/>
  <c r="I84" i="2" s="1"/>
  <c r="J84" i="2" s="1"/>
  <c r="K84" i="2" s="1"/>
  <c r="L84" i="2" s="1"/>
  <c r="M84" i="2" s="1"/>
  <c r="H81" i="2"/>
  <c r="I81" i="2" s="1"/>
  <c r="J81" i="2" s="1"/>
  <c r="K81" i="2" s="1"/>
  <c r="L81" i="2" s="1"/>
  <c r="G95" i="2"/>
  <c r="AH76" i="2"/>
  <c r="AI76" i="2"/>
  <c r="AH70" i="2"/>
  <c r="AI70" i="2"/>
  <c r="AH71" i="2"/>
  <c r="AI71" i="2"/>
  <c r="AH72" i="2"/>
  <c r="AI72" i="2"/>
  <c r="AH73" i="2"/>
  <c r="AI73" i="2"/>
  <c r="AH74" i="2"/>
  <c r="AI74" i="2"/>
  <c r="AH75" i="2"/>
  <c r="AI75" i="2"/>
  <c r="AH77" i="2"/>
  <c r="AI77" i="2"/>
  <c r="AH78" i="2"/>
  <c r="AI78" i="2"/>
  <c r="AH79" i="2"/>
  <c r="AI79" i="2"/>
  <c r="AI69" i="2"/>
  <c r="AH69" i="2"/>
  <c r="AI68" i="2"/>
  <c r="AH68" i="2"/>
  <c r="K19" i="2"/>
  <c r="K20" i="2"/>
  <c r="K13" i="2"/>
  <c r="K10" i="2"/>
  <c r="K7" i="2"/>
  <c r="K4" i="2"/>
  <c r="AH54" i="2"/>
  <c r="AI54" i="2"/>
  <c r="D46" i="4"/>
  <c r="D45" i="4"/>
  <c r="AH65" i="2"/>
  <c r="AI65" i="2"/>
  <c r="AH66" i="2"/>
  <c r="AI66" i="2"/>
  <c r="N38" i="4"/>
  <c r="N39" i="4"/>
  <c r="N40" i="4"/>
  <c r="N41" i="4"/>
  <c r="N42" i="4"/>
  <c r="N43" i="4"/>
  <c r="N44" i="4"/>
  <c r="N45" i="4"/>
  <c r="N46" i="4"/>
  <c r="N47" i="4"/>
  <c r="N48" i="4"/>
  <c r="N37" i="4"/>
  <c r="N25" i="4"/>
  <c r="N27" i="4"/>
  <c r="N28" i="4"/>
  <c r="N29" i="4"/>
  <c r="N31" i="4"/>
  <c r="N32" i="4"/>
  <c r="N33" i="4"/>
  <c r="N34" i="4"/>
  <c r="N24" i="4"/>
  <c r="N19" i="4"/>
  <c r="N20" i="4"/>
  <c r="N21" i="4"/>
  <c r="N18" i="4"/>
  <c r="N14" i="4"/>
  <c r="N15" i="4"/>
  <c r="N13" i="4"/>
  <c r="N5" i="4"/>
  <c r="N6" i="4"/>
  <c r="N8" i="4"/>
  <c r="N9" i="4"/>
  <c r="N10" i="4"/>
  <c r="N4" i="4"/>
  <c r="M26" i="4"/>
  <c r="M30" i="4"/>
  <c r="N30" i="4" s="1"/>
  <c r="H19" i="2"/>
  <c r="I19" i="2"/>
  <c r="J19" i="2"/>
  <c r="H20" i="2"/>
  <c r="I20" i="2"/>
  <c r="J20" i="2"/>
  <c r="H16" i="2"/>
  <c r="I16" i="2"/>
  <c r="J16" i="2"/>
  <c r="H13" i="2"/>
  <c r="I13" i="2"/>
  <c r="J13" i="2"/>
  <c r="H10" i="2"/>
  <c r="I10" i="2"/>
  <c r="J10" i="2"/>
  <c r="H7" i="2"/>
  <c r="I7" i="2"/>
  <c r="J7" i="2"/>
  <c r="H4" i="2"/>
  <c r="I4" i="2"/>
  <c r="J4" i="2"/>
  <c r="D19" i="2"/>
  <c r="E19" i="2"/>
  <c r="F19" i="2"/>
  <c r="G19" i="2"/>
  <c r="D20" i="2"/>
  <c r="E20" i="2"/>
  <c r="F20" i="2"/>
  <c r="G20" i="2"/>
  <c r="C20" i="2"/>
  <c r="C19" i="2"/>
  <c r="AI21" i="2"/>
  <c r="AI22" i="2"/>
  <c r="AI5" i="2"/>
  <c r="AI6" i="2"/>
  <c r="AI8" i="2"/>
  <c r="AI9" i="2"/>
  <c r="AI11" i="2"/>
  <c r="AI12" i="2"/>
  <c r="AI14" i="2"/>
  <c r="AI15" i="2"/>
  <c r="AI17" i="2"/>
  <c r="AI18" i="2"/>
  <c r="G16" i="2"/>
  <c r="F16" i="2"/>
  <c r="E16" i="2"/>
  <c r="D16" i="2"/>
  <c r="C16" i="2"/>
  <c r="G13" i="2"/>
  <c r="E13" i="2"/>
  <c r="D13" i="2"/>
  <c r="C13" i="2"/>
  <c r="G10" i="2"/>
  <c r="F10" i="2"/>
  <c r="E10" i="2"/>
  <c r="D10" i="2"/>
  <c r="C10" i="2"/>
  <c r="G7" i="2"/>
  <c r="F7" i="2"/>
  <c r="E7" i="2"/>
  <c r="D7" i="2"/>
  <c r="C7" i="2"/>
  <c r="D4" i="2"/>
  <c r="E4" i="2"/>
  <c r="G4" i="2"/>
  <c r="C4" i="2"/>
  <c r="D34" i="4"/>
  <c r="AH58" i="2"/>
  <c r="AJ58" i="2" s="1"/>
  <c r="AH59" i="2"/>
  <c r="AJ59" i="2" s="1"/>
  <c r="AH61" i="2"/>
  <c r="AJ61" i="2" s="1"/>
  <c r="AH62" i="2"/>
  <c r="AI25" i="2"/>
  <c r="N14" i="1"/>
  <c r="AI26" i="2"/>
  <c r="AH26" i="2"/>
  <c r="AH57" i="2"/>
  <c r="AJ57" i="2" s="1"/>
  <c r="AH63" i="2"/>
  <c r="AH64" i="2"/>
  <c r="AH53" i="2"/>
  <c r="AH49" i="2"/>
  <c r="AJ49" i="2" s="1"/>
  <c r="AH50" i="2"/>
  <c r="AJ50" i="2" s="1"/>
  <c r="AH51" i="2"/>
  <c r="AJ51" i="2" s="1"/>
  <c r="AH52" i="2"/>
  <c r="AJ52" i="2" s="1"/>
  <c r="AH48" i="2"/>
  <c r="AJ48" i="2" s="1"/>
  <c r="AH41" i="2"/>
  <c r="AJ41" i="2" s="1"/>
  <c r="AH42" i="2"/>
  <c r="AJ42" i="2" s="1"/>
  <c r="AH43" i="2"/>
  <c r="AJ43" i="2" s="1"/>
  <c r="AH44" i="2"/>
  <c r="AJ44" i="2" s="1"/>
  <c r="AH45" i="2"/>
  <c r="AJ45" i="2" s="1"/>
  <c r="AH46" i="2"/>
  <c r="AJ46" i="2" s="1"/>
  <c r="AH40" i="2"/>
  <c r="AJ40" i="2" s="1"/>
  <c r="AI62" i="2"/>
  <c r="AI61" i="2"/>
  <c r="D26" i="4"/>
  <c r="D27" i="4" s="1"/>
  <c r="D29" i="4" s="1"/>
  <c r="D30" i="4" s="1"/>
  <c r="AI63" i="2"/>
  <c r="AI58" i="2"/>
  <c r="AI59" i="2"/>
  <c r="AH24" i="2"/>
  <c r="AI64" i="2"/>
  <c r="C5" i="3"/>
  <c r="C6" i="3"/>
  <c r="C7" i="3"/>
  <c r="C8" i="3"/>
  <c r="C9" i="3"/>
  <c r="C10" i="3"/>
  <c r="C11" i="3"/>
  <c r="C12" i="3"/>
  <c r="C13" i="3"/>
  <c r="C14" i="3"/>
  <c r="C15" i="3"/>
  <c r="C4" i="3"/>
  <c r="K5" i="3"/>
  <c r="K6" i="3"/>
  <c r="K7" i="3"/>
  <c r="K8" i="3"/>
  <c r="K9" i="3"/>
  <c r="K10" i="3"/>
  <c r="K11" i="3"/>
  <c r="K12" i="3"/>
  <c r="K13" i="3"/>
  <c r="K14" i="3"/>
  <c r="K15" i="3"/>
  <c r="K4" i="3"/>
  <c r="I5" i="3"/>
  <c r="I6" i="3"/>
  <c r="I7" i="3"/>
  <c r="I8" i="3"/>
  <c r="J8" i="3" s="1"/>
  <c r="I9" i="3"/>
  <c r="I10" i="3"/>
  <c r="I11" i="3"/>
  <c r="J11" i="3" s="1"/>
  <c r="I12" i="3"/>
  <c r="J12" i="3" s="1"/>
  <c r="I13" i="3"/>
  <c r="I14" i="3"/>
  <c r="J14" i="3" s="1"/>
  <c r="I15" i="3"/>
  <c r="I4" i="3"/>
  <c r="J4" i="3" s="1"/>
  <c r="G4" i="3"/>
  <c r="G6" i="3"/>
  <c r="H6" i="3" s="1"/>
  <c r="G7" i="3"/>
  <c r="G8" i="3"/>
  <c r="G9" i="3"/>
  <c r="G10" i="3"/>
  <c r="H10" i="3" s="1"/>
  <c r="G11" i="3"/>
  <c r="G12" i="3"/>
  <c r="G13" i="3"/>
  <c r="H13" i="3" s="1"/>
  <c r="G14" i="3"/>
  <c r="H14" i="3" s="1"/>
  <c r="G15" i="3"/>
  <c r="G5" i="3"/>
  <c r="J5" i="3"/>
  <c r="J10" i="3"/>
  <c r="F10" i="3"/>
  <c r="F5" i="3"/>
  <c r="F6" i="3"/>
  <c r="F7" i="3"/>
  <c r="F8" i="3"/>
  <c r="F9" i="3"/>
  <c r="F11" i="3"/>
  <c r="F12" i="3"/>
  <c r="F13" i="3"/>
  <c r="F14" i="3"/>
  <c r="F15" i="3"/>
  <c r="F4" i="3"/>
  <c r="M96" i="2" l="1"/>
  <c r="N84" i="2"/>
  <c r="N22" i="4"/>
  <c r="N16" i="4"/>
  <c r="N62" i="4"/>
  <c r="N26" i="4"/>
  <c r="N35" i="4" s="1"/>
  <c r="M35" i="4"/>
  <c r="N11" i="4"/>
  <c r="I96" i="2"/>
  <c r="H96" i="2"/>
  <c r="L96" i="2"/>
  <c r="K96" i="2"/>
  <c r="J96" i="2"/>
  <c r="J3" i="2"/>
  <c r="H3" i="2"/>
  <c r="I3" i="2"/>
  <c r="K3" i="2"/>
  <c r="D3" i="2"/>
  <c r="C3" i="2"/>
  <c r="C80" i="2" s="1"/>
  <c r="E80" i="2" s="1"/>
  <c r="F80" i="2" s="1"/>
  <c r="G80" i="2" s="1"/>
  <c r="H80" i="2" s="1"/>
  <c r="I80" i="2" s="1"/>
  <c r="E3" i="2"/>
  <c r="AI13" i="2"/>
  <c r="AI19" i="2"/>
  <c r="AI20" i="2"/>
  <c r="AI4" i="2"/>
  <c r="AI7" i="2"/>
  <c r="AI16" i="2"/>
  <c r="AI10" i="2"/>
  <c r="G3" i="2"/>
  <c r="AJ56" i="2"/>
  <c r="AH25" i="2"/>
  <c r="J13" i="3"/>
  <c r="S13" i="3" s="1"/>
  <c r="D12" i="1" s="1"/>
  <c r="AH37" i="2" s="1"/>
  <c r="AJ37" i="2" s="1"/>
  <c r="J9" i="3"/>
  <c r="H4" i="3"/>
  <c r="S4" i="3" s="1"/>
  <c r="D3" i="1" s="1"/>
  <c r="AH28" i="2" s="1"/>
  <c r="AJ28" i="2" s="1"/>
  <c r="H5" i="3"/>
  <c r="S5" i="3" s="1"/>
  <c r="D4" i="1" s="1"/>
  <c r="AH29" i="2" s="1"/>
  <c r="AJ29" i="2" s="1"/>
  <c r="H9" i="3"/>
  <c r="H15" i="3"/>
  <c r="J6" i="3"/>
  <c r="S6" i="3" s="1"/>
  <c r="D5" i="1" s="1"/>
  <c r="AH30" i="2" s="1"/>
  <c r="AJ30" i="2" s="1"/>
  <c r="J7" i="3"/>
  <c r="J15" i="3"/>
  <c r="S14" i="3"/>
  <c r="D13" i="1" s="1"/>
  <c r="AH38" i="2" s="1"/>
  <c r="AJ38" i="2" s="1"/>
  <c r="S10" i="3"/>
  <c r="D9" i="1" s="1"/>
  <c r="AH34" i="2" s="1"/>
  <c r="AJ34" i="2" s="1"/>
  <c r="H12" i="3"/>
  <c r="S12" i="3" s="1"/>
  <c r="D11" i="1" s="1"/>
  <c r="AH36" i="2" s="1"/>
  <c r="AJ36" i="2" s="1"/>
  <c r="H8" i="3"/>
  <c r="S8" i="3" s="1"/>
  <c r="D7" i="1" s="1"/>
  <c r="AH32" i="2" s="1"/>
  <c r="AJ32" i="2" s="1"/>
  <c r="H7" i="3"/>
  <c r="S7" i="3" s="1"/>
  <c r="D6" i="1" s="1"/>
  <c r="AH31" i="2" s="1"/>
  <c r="AJ31" i="2" s="1"/>
  <c r="H11" i="3"/>
  <c r="S11" i="3" s="1"/>
  <c r="D10" i="1" s="1"/>
  <c r="AH35" i="2" s="1"/>
  <c r="AJ35" i="2" s="1"/>
  <c r="N96" i="2" l="1"/>
  <c r="O84" i="2"/>
  <c r="J80" i="2"/>
  <c r="K80" i="2" s="1"/>
  <c r="L80" i="2" s="1"/>
  <c r="S9" i="3"/>
  <c r="D8" i="1" s="1"/>
  <c r="AH33" i="2" s="1"/>
  <c r="AJ33" i="2" s="1"/>
  <c r="S15" i="3"/>
  <c r="D14" i="1" s="1"/>
  <c r="AH39" i="2" s="1"/>
  <c r="AJ39" i="2" s="1"/>
  <c r="A43" i="2"/>
  <c r="A44" i="2"/>
  <c r="A40" i="2"/>
  <c r="P84" i="2" l="1"/>
  <c r="O96" i="2"/>
  <c r="AH55" i="2"/>
  <c r="AI57" i="2"/>
  <c r="AI48" i="2"/>
  <c r="AI49" i="2"/>
  <c r="AI44" i="2"/>
  <c r="AI40" i="2"/>
  <c r="AI43" i="2"/>
  <c r="Q84" i="2" l="1"/>
  <c r="P96" i="2"/>
  <c r="AJ55" i="2"/>
  <c r="AJ80" i="2" s="1"/>
  <c r="A49" i="2"/>
  <c r="A50" i="2"/>
  <c r="A51" i="2"/>
  <c r="A52" i="2"/>
  <c r="A48" i="2"/>
  <c r="A29" i="2"/>
  <c r="A30" i="2"/>
  <c r="A31" i="2"/>
  <c r="A32" i="2"/>
  <c r="A33" i="2"/>
  <c r="A34" i="2"/>
  <c r="A35" i="2"/>
  <c r="A36" i="2"/>
  <c r="A37" i="2"/>
  <c r="A38" i="2"/>
  <c r="A39" i="2"/>
  <c r="A41" i="2"/>
  <c r="A42" i="2"/>
  <c r="A45" i="2"/>
  <c r="A46" i="2"/>
  <c r="A28" i="2"/>
  <c r="AI53" i="2"/>
  <c r="AI55" i="2"/>
  <c r="AI56" i="2"/>
  <c r="N11" i="1"/>
  <c r="AI50" i="2"/>
  <c r="AI51" i="2"/>
  <c r="AI52" i="2"/>
  <c r="AI42" i="2" l="1"/>
  <c r="AI46" i="2"/>
  <c r="AI39" i="2"/>
  <c r="M80" i="2"/>
  <c r="AI45" i="2"/>
  <c r="AI41" i="2"/>
  <c r="N80" i="2" l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AE80" i="2" s="1"/>
  <c r="AF80" i="2" s="1"/>
  <c r="AG80" i="2" s="1"/>
  <c r="AI29" i="2"/>
  <c r="AI28" i="2"/>
  <c r="AI33" i="2"/>
  <c r="AI35" i="2"/>
  <c r="AI36" i="2"/>
  <c r="AI31" i="2"/>
  <c r="AI38" i="2"/>
  <c r="AI37" i="2"/>
  <c r="AI30" i="2"/>
  <c r="AI34" i="2"/>
  <c r="AI32" i="2"/>
  <c r="AH80" i="2" l="1"/>
  <c r="AI24" i="2" l="1"/>
  <c r="AI8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79258</author>
  </authors>
  <commentList>
    <comment ref="J95" authorId="0" shapeId="0" xr:uid="{EEED2469-8FAB-4BC9-AFC7-9411526EBAC9}">
      <text>
        <r>
          <rPr>
            <b/>
            <sz val="9"/>
            <color indexed="81"/>
            <rFont val="Tahoma"/>
            <family val="2"/>
            <charset val="204"/>
          </rPr>
          <t>Нет информации, куда делись 2 т.р.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79258</author>
    <author>Андрей</author>
  </authors>
  <commentList>
    <comment ref="I7" authorId="0" shapeId="0" xr:uid="{B2448431-0481-4740-AD28-5CCC40FE8C79}">
      <text>
        <r>
          <rPr>
            <b/>
            <sz val="9"/>
            <color indexed="81"/>
            <rFont val="Tahoma"/>
            <family val="2"/>
            <charset val="204"/>
          </rPr>
          <t>Перенос на 16 июня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 xr:uid="{98023A0D-74A7-417D-A76E-98D4BE011B34}">
      <text>
        <r>
          <rPr>
            <b/>
            <sz val="9"/>
            <color indexed="81"/>
            <rFont val="Tahoma"/>
            <family val="2"/>
            <charset val="204"/>
          </rPr>
          <t>Перенос на 9 июня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4" authorId="0" shapeId="0" xr:uid="{E3823C10-0561-46F9-B79F-4B4C350A8313}">
      <text>
        <r>
          <rPr>
            <b/>
            <sz val="9"/>
            <color indexed="81"/>
            <rFont val="Tahoma"/>
            <family val="2"/>
            <charset val="204"/>
          </rPr>
          <t>На 12.06.25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33" authorId="0" shapeId="0" xr:uid="{433756D8-BEC8-4F95-A71F-6F6E04BFB841}">
      <text>
        <r>
          <rPr>
            <b/>
            <sz val="9"/>
            <color indexed="81"/>
            <rFont val="Tahoma"/>
            <family val="2"/>
            <charset val="204"/>
          </rPr>
          <t>На 11.06.25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65" authorId="1" shapeId="0" xr:uid="{D343B7B7-ACC6-4966-9EAC-372DD724EB4C}">
      <text>
        <r>
          <rPr>
            <sz val="9"/>
            <color indexed="81"/>
            <rFont val="Tahoma"/>
            <family val="2"/>
            <charset val="204"/>
          </rPr>
          <t>должно быть 88500, перенос на 20 числа полной выплаты, до этого буду выдавать частями</t>
        </r>
      </text>
    </comment>
    <comment ref="I68" authorId="1" shapeId="0" xr:uid="{D4BB3DFB-BCC8-418B-AF0E-3F284485B7A7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на 20 число</t>
        </r>
      </text>
    </comment>
    <comment ref="I69" authorId="1" shapeId="0" xr:uid="{5017B250-963F-4840-A353-5DFE9E7080F8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На 17 число</t>
        </r>
      </text>
    </comment>
    <comment ref="I70" authorId="1" shapeId="0" xr:uid="{3DE4BD1D-3310-42E6-8817-B033F17748E4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на 17.6</t>
        </r>
      </text>
    </comment>
  </commentList>
</comments>
</file>

<file path=xl/sharedStrings.xml><?xml version="1.0" encoding="utf-8"?>
<sst xmlns="http://schemas.openxmlformats.org/spreadsheetml/2006/main" count="824" uniqueCount="249">
  <si>
    <t>ФОТ</t>
  </si>
  <si>
    <t>Аренда</t>
  </si>
  <si>
    <t>Бронницы</t>
  </si>
  <si>
    <t>Павелецкая</t>
  </si>
  <si>
    <t>Курская</t>
  </si>
  <si>
    <t>Щукинская</t>
  </si>
  <si>
    <t>Юго-Западная</t>
  </si>
  <si>
    <t>Эквайринг</t>
  </si>
  <si>
    <t>Агентское вознаграждение</t>
  </si>
  <si>
    <t>Налоги</t>
  </si>
  <si>
    <t>Патенты</t>
  </si>
  <si>
    <t>Поступления ДС</t>
  </si>
  <si>
    <t>Выплаты ДС</t>
  </si>
  <si>
    <t>ТМЦ, ПФ, камни</t>
  </si>
  <si>
    <t>Остаток ДС</t>
  </si>
  <si>
    <t>ИТОГО</t>
  </si>
  <si>
    <t>Ситникова Вера Ивановна</t>
  </si>
  <si>
    <t>Куликов Александр Леонидович</t>
  </si>
  <si>
    <t>Исаева Надежда Фёдоровна</t>
  </si>
  <si>
    <t>Курочкин Андрей Олегович</t>
  </si>
  <si>
    <t>Розин Игнатий Юрьевич</t>
  </si>
  <si>
    <t>Вартанов Никита</t>
  </si>
  <si>
    <t>Сорвачев Борис</t>
  </si>
  <si>
    <t>Нестерова Анастасия Артёмовна</t>
  </si>
  <si>
    <t>Тюрников Сергей Сергеевич</t>
  </si>
  <si>
    <t>Зеленков Андрей Владимирович</t>
  </si>
  <si>
    <t>Ларенцев Алексей Викторович</t>
  </si>
  <si>
    <t>Канцтовары</t>
  </si>
  <si>
    <t>ССЦ бухгалтер</t>
  </si>
  <si>
    <t>Главный бухгалтер</t>
  </si>
  <si>
    <t>Администратор мастерских</t>
  </si>
  <si>
    <t>Маркетолог - МИЗ</t>
  </si>
  <si>
    <t>Директор</t>
  </si>
  <si>
    <t>Системный администратор</t>
  </si>
  <si>
    <t>Юрисконсульт</t>
  </si>
  <si>
    <t>Наименование статьи</t>
  </si>
  <si>
    <t>МАСТЕРА</t>
  </si>
  <si>
    <t>ВЫРАБОТКА</t>
  </si>
  <si>
    <t>ОКЛАД</t>
  </si>
  <si>
    <t>СДЕЛКА</t>
  </si>
  <si>
    <t>ЗАРПЛАТА</t>
  </si>
  <si>
    <t>АДМИНИСТРАЦИЯ</t>
  </si>
  <si>
    <t>АРЕНДА</t>
  </si>
  <si>
    <t>ПОКАЗАТЕЛИ</t>
  </si>
  <si>
    <t>Мастер 1</t>
  </si>
  <si>
    <t>УСЛОВИЯ</t>
  </si>
  <si>
    <t>Мастер 2</t>
  </si>
  <si>
    <t>ПОРОГ</t>
  </si>
  <si>
    <t>Минимальный порог</t>
  </si>
  <si>
    <t>План выработки</t>
  </si>
  <si>
    <t>СОВМЕЩЕНИЕ</t>
  </si>
  <si>
    <t>нет</t>
  </si>
  <si>
    <t>ПЛАН</t>
  </si>
  <si>
    <t>ПРЕМИЯ</t>
  </si>
  <si>
    <t>ПРОСРОЧКА</t>
  </si>
  <si>
    <t>РАЗМЕР</t>
  </si>
  <si>
    <t>Просрочка</t>
  </si>
  <si>
    <t>Брак ОТК</t>
  </si>
  <si>
    <t>Брак Клиента</t>
  </si>
  <si>
    <t>Ошибки в ЗН</t>
  </si>
  <si>
    <t>Опоздание на 15 мин</t>
  </si>
  <si>
    <t>Нет реакции на претензию</t>
  </si>
  <si>
    <t>Нет согласования стоимости</t>
  </si>
  <si>
    <t>ШТРАФЫ МАСТЕРОВ</t>
  </si>
  <si>
    <t>БРАК ОТК</t>
  </si>
  <si>
    <t>БРАК КЛИЕНТА</t>
  </si>
  <si>
    <t>ОШИБКА ЗН</t>
  </si>
  <si>
    <t>ОПОЗДАЛ</t>
  </si>
  <si>
    <t>НЕТ РЕАКЦИИ</t>
  </si>
  <si>
    <t>НЕТ СОГЛАСИЯ</t>
  </si>
  <si>
    <t>Примечание: указывается только количество нарушений в течение месяца</t>
  </si>
  <si>
    <t>снабженец</t>
  </si>
  <si>
    <t>ОТК</t>
  </si>
  <si>
    <t>НАДБАВКА</t>
  </si>
  <si>
    <t>РЕЕСТР НА ОПЛАТУ</t>
  </si>
  <si>
    <t>Инициатор</t>
  </si>
  <si>
    <t>Статья бюджета</t>
  </si>
  <si>
    <t>Лимит</t>
  </si>
  <si>
    <t>Контрагент</t>
  </si>
  <si>
    <t>Наименование платежа</t>
  </si>
  <si>
    <t>Вартанов</t>
  </si>
  <si>
    <t>ИТОГО:</t>
  </si>
  <si>
    <t>Булышев</t>
  </si>
  <si>
    <t>Хохряков</t>
  </si>
  <si>
    <t>Не согласовано</t>
  </si>
  <si>
    <t>Согласовано</t>
  </si>
  <si>
    <t>Долг</t>
  </si>
  <si>
    <t>Поверка весов</t>
  </si>
  <si>
    <t>Статус КА</t>
  </si>
  <si>
    <t>Оплачено</t>
  </si>
  <si>
    <t>Перенесено</t>
  </si>
  <si>
    <t>Нестерова</t>
  </si>
  <si>
    <t>Зеленков</t>
  </si>
  <si>
    <t>Сапфир</t>
  </si>
  <si>
    <t>Весовые технологии</t>
  </si>
  <si>
    <t>Инструменты, расходники</t>
  </si>
  <si>
    <t>ЛИМИТ</t>
  </si>
  <si>
    <t>Новые концепции</t>
  </si>
  <si>
    <t>Аренда мастерской в Бронницах</t>
  </si>
  <si>
    <t>ФНС</t>
  </si>
  <si>
    <t>Единый налоговый платеж</t>
  </si>
  <si>
    <t>Вода</t>
  </si>
  <si>
    <t>Хваловские воды</t>
  </si>
  <si>
    <t>3 бутылки воды</t>
  </si>
  <si>
    <t>Продвижение в соцсетях</t>
  </si>
  <si>
    <t>Реклама</t>
  </si>
  <si>
    <t>РНКБ</t>
  </si>
  <si>
    <t>Публикация постов</t>
  </si>
  <si>
    <t>Мария К</t>
  </si>
  <si>
    <t>Разработка баннера</t>
  </si>
  <si>
    <t>Куликов</t>
  </si>
  <si>
    <t>ДОЛГ</t>
  </si>
  <si>
    <t>Ларенцев</t>
  </si>
  <si>
    <t>Соль родия 1 литр с содержанием в 2 г.</t>
  </si>
  <si>
    <t>Расходники и инструменты</t>
  </si>
  <si>
    <t>Gems Market</t>
  </si>
  <si>
    <t>Камень</t>
  </si>
  <si>
    <t>Золото и Стиль</t>
  </si>
  <si>
    <t>Металл</t>
  </si>
  <si>
    <t>Канцелярия</t>
  </si>
  <si>
    <t>WildBerried</t>
  </si>
  <si>
    <t>1 бр, 1 танз. окт., 1 танз. ов., 1 изум., 1 зел. агат, 1 иол., 1раух.</t>
  </si>
  <si>
    <t>Интернет, телефония</t>
  </si>
  <si>
    <t>Билайн</t>
  </si>
  <si>
    <t>Услуги связи</t>
  </si>
  <si>
    <t>8 Карат</t>
  </si>
  <si>
    <t>Подрядные работы</t>
  </si>
  <si>
    <t>Услуги литья под ИЗ: серьги, замок, серьга и серьги</t>
  </si>
  <si>
    <t>ЗАТРАТЫ</t>
  </si>
  <si>
    <t>Программное обеспечение</t>
  </si>
  <si>
    <t>1С Кострома</t>
  </si>
  <si>
    <t>Облако 1С УЮП + 3 рабочих места</t>
  </si>
  <si>
    <t>НДФЛ</t>
  </si>
  <si>
    <t>Количество трудоустроенных</t>
  </si>
  <si>
    <t>Оклад</t>
  </si>
  <si>
    <t>Пенсионный Фонд</t>
  </si>
  <si>
    <t>Медицинское страхование</t>
  </si>
  <si>
    <t>Социальное страхование</t>
  </si>
  <si>
    <t>Несчастные случаи</t>
  </si>
  <si>
    <t>Сорвачев</t>
  </si>
  <si>
    <t>Заработная плата</t>
  </si>
  <si>
    <t>Гришанова</t>
  </si>
  <si>
    <t>Час Пик</t>
  </si>
  <si>
    <t>Ссылки</t>
  </si>
  <si>
    <t>Счета</t>
  </si>
  <si>
    <t>Нал</t>
  </si>
  <si>
    <t>Безнал</t>
  </si>
  <si>
    <t>Итого нал</t>
  </si>
  <si>
    <t>Итого безнал</t>
  </si>
  <si>
    <t>Остаток Курская</t>
  </si>
  <si>
    <t>Выемка</t>
  </si>
  <si>
    <t>Заявлено</t>
  </si>
  <si>
    <t>Био-Фабрика</t>
  </si>
  <si>
    <t>ИП Попова</t>
  </si>
  <si>
    <t>Оплата связи</t>
  </si>
  <si>
    <t>Уборщица</t>
  </si>
  <si>
    <t>Распечатка договора на ИЗ</t>
  </si>
  <si>
    <t>Лупиногов</t>
  </si>
  <si>
    <t>Такси при перевозке весов</t>
  </si>
  <si>
    <t>Айроян</t>
  </si>
  <si>
    <t>Уборка помещений</t>
  </si>
  <si>
    <t>ОПЕРАЦИОННАЯ ДЕЯТЕЛЬНОСТЬ</t>
  </si>
  <si>
    <t>Безвозмездные взносы ИП</t>
  </si>
  <si>
    <t>Оплата за ИЗ</t>
  </si>
  <si>
    <t>Расходы на ИЗ</t>
  </si>
  <si>
    <t>ИЗ Металл</t>
  </si>
  <si>
    <t>ИЗ Камни</t>
  </si>
  <si>
    <t>ИЗ Подряд</t>
  </si>
  <si>
    <t>Инвестиционная/проектная деятельность</t>
  </si>
  <si>
    <t>Остаток Бронницы</t>
  </si>
  <si>
    <t>Остаток Павелецкая</t>
  </si>
  <si>
    <t>Остаток Щукинская</t>
  </si>
  <si>
    <t>Остаток Юго-Западная</t>
  </si>
  <si>
    <t>ИЗ 3D</t>
  </si>
  <si>
    <t>ИЗ Восковка</t>
  </si>
  <si>
    <t>ИЗ Литье</t>
  </si>
  <si>
    <t>Безвозмездные выемки ИП</t>
  </si>
  <si>
    <t>Восковок.Нет</t>
  </si>
  <si>
    <t>Закупка цепочек для ЗН238290 и ЗН 238524</t>
  </si>
  <si>
    <t>Доставка</t>
  </si>
  <si>
    <t>Остаток ДС в кассе</t>
  </si>
  <si>
    <t>Пополнение</t>
  </si>
  <si>
    <t>Такси в пробирную палату</t>
  </si>
  <si>
    <t>Яндекс Гоу</t>
  </si>
  <si>
    <t>Петер-Сервис</t>
  </si>
  <si>
    <t>Облачная касса</t>
  </si>
  <si>
    <t>Джемс Маркет</t>
  </si>
  <si>
    <t>Выращивание бриллианта</t>
  </si>
  <si>
    <t>Упаковка</t>
  </si>
  <si>
    <t>Озон Маркет</t>
  </si>
  <si>
    <t>2 коробочки для упаковки</t>
  </si>
  <si>
    <t>Прибор для фотосъемки изделий</t>
  </si>
  <si>
    <t>Дата</t>
  </si>
  <si>
    <t>Примечание</t>
  </si>
  <si>
    <t>Вид оплаты:</t>
  </si>
  <si>
    <t>Айроян Эрик Гамлетович</t>
  </si>
  <si>
    <t>Степанова</t>
  </si>
  <si>
    <t>Долг по налогам принудительное списание за несколько дней</t>
  </si>
  <si>
    <t>Снятие с карты КА</t>
  </si>
  <si>
    <t>№</t>
  </si>
  <si>
    <t>Предложение КА</t>
  </si>
  <si>
    <t>Согласие ХД</t>
  </si>
  <si>
    <t>Срок внедрения</t>
  </si>
  <si>
    <t>Оставить шапку реестра только вверху и закрепить строки при перемотке вниз</t>
  </si>
  <si>
    <t>Сделать вкладку реестра фильтруемой</t>
  </si>
  <si>
    <t>Добавить в реестр поля с датами фактической оплаты</t>
  </si>
  <si>
    <t>Добавить в реестр поля с указанием способа передачи на выбор из списка</t>
  </si>
  <si>
    <t>+</t>
  </si>
  <si>
    <t>Бондарев</t>
  </si>
  <si>
    <t>Заново заявки в новые дни не заводить - при оплате статус будет изменён и дата оплаты факт поставлена</t>
  </si>
  <si>
    <t>Наличные 10, выемка 6</t>
  </si>
  <si>
    <t>Автоплатёж за интернет по сим</t>
  </si>
  <si>
    <t>Мегафон</t>
  </si>
  <si>
    <t>Статус ХД</t>
  </si>
  <si>
    <t>Тип Данных ХД:</t>
  </si>
  <si>
    <t>Тип Данных КА:</t>
  </si>
  <si>
    <t>Отчет</t>
  </si>
  <si>
    <t>Оплата</t>
  </si>
  <si>
    <t>Выемка из кассы</t>
  </si>
  <si>
    <t>ЗП на карту</t>
  </si>
  <si>
    <t>Наличные</t>
  </si>
  <si>
    <t>Оплата со счёта</t>
  </si>
  <si>
    <t>Перевод на карту</t>
  </si>
  <si>
    <t>Пополнение Т</t>
  </si>
  <si>
    <t>Оплата 1 рабочего места</t>
  </si>
  <si>
    <t>ИП Баженов</t>
  </si>
  <si>
    <t>Изготовление модели из восковки</t>
  </si>
  <si>
    <t>Повторные заявки удалил, оставил первоначальные</t>
  </si>
  <si>
    <t>Результат ХД</t>
  </si>
  <si>
    <t xml:space="preserve">Колонка "J" - фактически произведенная оплата </t>
  </si>
  <si>
    <t>Колонка "К" - фактическая дата оплаты</t>
  </si>
  <si>
    <t>Вид оплаты</t>
  </si>
  <si>
    <t>Колонка "М" - подтверждание отчетными док-ми</t>
  </si>
  <si>
    <t>Замена батарейки</t>
  </si>
  <si>
    <t>Расходники и лазер</t>
  </si>
  <si>
    <t>Тюрников</t>
  </si>
  <si>
    <t>ИП Абрамова</t>
  </si>
  <si>
    <t>Крацовка радиальная 10 шт.</t>
  </si>
  <si>
    <t>Курьер</t>
  </si>
  <si>
    <t>Аниканов</t>
  </si>
  <si>
    <t>Курочкин</t>
  </si>
  <si>
    <t>Налог</t>
  </si>
  <si>
    <t>ЗН 71021</t>
  </si>
  <si>
    <t>Припой</t>
  </si>
  <si>
    <t>Бриллиант</t>
  </si>
  <si>
    <t>Аренда Бронницы</t>
  </si>
  <si>
    <t>Стоянка в Бронницах</t>
  </si>
  <si>
    <t>Взносы НС и ПЗ</t>
  </si>
  <si>
    <t>Страховые взносы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</si>
</sst>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\ [$₽-419]_-;\-* #,##0\ [$₽-419]_-;_-* &quot;-&quot;??\ [$₽-419]_-;_-@_-"/>
    <numFmt numFmtId="166" formatCode="#,##0\ &quot;₽&quot;"/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4"/>
      <color theme="4" tint="-0.499984740745262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theme="1"/>
      <name val="Calibri"/>
      <family val="2"/>
      <scheme val="minor"/>
    </font>
    <font>
      <i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 style="thin">
        <color indexed="64"/>
      </bottom>
      <diagonal/>
    </border>
    <border>
      <left style="thick">
        <color theme="4" tint="-0.24994659260841701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ck">
        <color theme="4" tint="-0.2499465926084170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theme="4" tint="-0.24994659260841701"/>
      </left>
      <right/>
      <top style="thin">
        <color auto="1"/>
      </top>
      <bottom style="thick">
        <color theme="4" tint="-0.24994659260841701"/>
      </bottom>
      <diagonal/>
    </border>
    <border>
      <left/>
      <right/>
      <top style="thin">
        <color auto="1"/>
      </top>
      <bottom style="thick">
        <color theme="4" tint="-0.2499465926084170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ck">
        <color theme="4" tint="-0.2499465926084170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ck">
        <color theme="4" tint="-0.2499465926084170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thick">
        <color theme="4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5" fillId="0" borderId="5" xfId="1" applyNumberFormat="1" applyFont="1" applyBorder="1" applyAlignment="1">
      <alignment horizontal="left" indent="1"/>
    </xf>
    <xf numFmtId="164" fontId="5" fillId="0" borderId="6" xfId="1" applyNumberFormat="1" applyFont="1" applyBorder="1"/>
    <xf numFmtId="164" fontId="5" fillId="0" borderId="8" xfId="1" applyNumberFormat="1" applyFont="1" applyBorder="1" applyAlignment="1">
      <alignment horizontal="left" indent="1"/>
    </xf>
    <xf numFmtId="164" fontId="5" fillId="0" borderId="9" xfId="1" applyNumberFormat="1" applyFont="1" applyBorder="1"/>
    <xf numFmtId="164" fontId="5" fillId="0" borderId="11" xfId="1" applyNumberFormat="1" applyFont="1" applyBorder="1" applyAlignment="1">
      <alignment horizontal="left" indent="1"/>
    </xf>
    <xf numFmtId="164" fontId="5" fillId="0" borderId="12" xfId="1" applyNumberFormat="1" applyFont="1" applyBorder="1"/>
    <xf numFmtId="164" fontId="5" fillId="0" borderId="6" xfId="1" applyNumberFormat="1" applyFont="1" applyBorder="1" applyAlignment="1">
      <alignment horizontal="left" indent="1"/>
    </xf>
    <xf numFmtId="164" fontId="5" fillId="0" borderId="9" xfId="1" applyNumberFormat="1" applyFont="1" applyBorder="1" applyAlignment="1">
      <alignment horizontal="left" indent="1"/>
    </xf>
    <xf numFmtId="164" fontId="5" fillId="0" borderId="12" xfId="1" applyNumberFormat="1" applyFont="1" applyBorder="1" applyAlignment="1">
      <alignment horizontal="left" indent="1"/>
    </xf>
    <xf numFmtId="0" fontId="7" fillId="0" borderId="4" xfId="0" applyFont="1" applyBorder="1" applyAlignment="1">
      <alignment horizontal="left" indent="1"/>
    </xf>
    <xf numFmtId="0" fontId="7" fillId="0" borderId="4" xfId="0" applyFont="1" applyBorder="1" applyAlignment="1">
      <alignment horizontal="left" indent="2"/>
    </xf>
    <xf numFmtId="0" fontId="7" fillId="0" borderId="10" xfId="0" applyFont="1" applyBorder="1" applyAlignment="1">
      <alignment horizontal="left" indent="1"/>
    </xf>
    <xf numFmtId="0" fontId="7" fillId="0" borderId="7" xfId="0" applyFont="1" applyBorder="1" applyAlignment="1">
      <alignment horizontal="left" indent="1"/>
    </xf>
    <xf numFmtId="0" fontId="7" fillId="0" borderId="14" xfId="0" applyFont="1" applyBorder="1" applyAlignment="1">
      <alignment horizontal="left" indent="2"/>
    </xf>
    <xf numFmtId="0" fontId="7" fillId="0" borderId="18" xfId="0" applyFont="1" applyBorder="1" applyAlignment="1">
      <alignment horizontal="left" indent="1"/>
    </xf>
    <xf numFmtId="0" fontId="7" fillId="0" borderId="7" xfId="0" applyFont="1" applyBorder="1" applyAlignment="1">
      <alignment horizontal="left" indent="2"/>
    </xf>
    <xf numFmtId="0" fontId="0" fillId="2" borderId="13" xfId="0" applyFill="1" applyBorder="1"/>
    <xf numFmtId="0" fontId="0" fillId="2" borderId="2" xfId="0" applyFill="1" applyBorder="1" applyAlignment="1">
      <alignment horizontal="left" indent="1"/>
    </xf>
    <xf numFmtId="0" fontId="0" fillId="2" borderId="17" xfId="0" applyFill="1" applyBorder="1" applyAlignment="1">
      <alignment horizontal="left" indent="1"/>
    </xf>
    <xf numFmtId="0" fontId="2" fillId="2" borderId="1" xfId="0" applyFont="1" applyFill="1" applyBorder="1" applyAlignment="1">
      <alignment horizontal="left" indent="1"/>
    </xf>
    <xf numFmtId="0" fontId="7" fillId="2" borderId="2" xfId="0" applyFont="1" applyFill="1" applyBorder="1" applyAlignment="1">
      <alignment horizontal="left" indent="2"/>
    </xf>
    <xf numFmtId="0" fontId="7" fillId="2" borderId="3" xfId="0" applyFont="1" applyFill="1" applyBorder="1" applyAlignment="1">
      <alignment horizontal="left" indent="2"/>
    </xf>
    <xf numFmtId="0" fontId="2" fillId="2" borderId="13" xfId="0" applyFont="1" applyFill="1" applyBorder="1" applyAlignment="1">
      <alignment horizontal="left" indent="1"/>
    </xf>
    <xf numFmtId="0" fontId="7" fillId="2" borderId="17" xfId="0" applyFont="1" applyFill="1" applyBorder="1" applyAlignment="1">
      <alignment horizontal="left" indent="2"/>
    </xf>
    <xf numFmtId="0" fontId="0" fillId="2" borderId="1" xfId="0" applyFill="1" applyBorder="1" applyAlignment="1">
      <alignment horizontal="left" indent="1"/>
    </xf>
    <xf numFmtId="3" fontId="4" fillId="2" borderId="21" xfId="0" applyNumberFormat="1" applyFont="1" applyFill="1" applyBorder="1"/>
    <xf numFmtId="0" fontId="7" fillId="2" borderId="19" xfId="0" applyFont="1" applyFill="1" applyBorder="1"/>
    <xf numFmtId="0" fontId="7" fillId="2" borderId="20" xfId="0" applyFont="1" applyFill="1" applyBorder="1"/>
    <xf numFmtId="3" fontId="4" fillId="2" borderId="1" xfId="0" applyNumberFormat="1" applyFont="1" applyFill="1" applyBorder="1"/>
    <xf numFmtId="0" fontId="7" fillId="2" borderId="5" xfId="0" applyFont="1" applyFill="1" applyBorder="1"/>
    <xf numFmtId="0" fontId="7" fillId="2" borderId="6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2" borderId="11" xfId="0" applyFont="1" applyFill="1" applyBorder="1"/>
    <xf numFmtId="0" fontId="7" fillId="2" borderId="12" xfId="0" applyFont="1" applyFill="1" applyBorder="1"/>
    <xf numFmtId="0" fontId="7" fillId="2" borderId="15" xfId="0" applyFont="1" applyFill="1" applyBorder="1"/>
    <xf numFmtId="0" fontId="7" fillId="2" borderId="16" xfId="0" applyFont="1" applyFill="1" applyBorder="1"/>
    <xf numFmtId="0" fontId="5" fillId="2" borderId="10" xfId="0" applyFont="1" applyFill="1" applyBorder="1" applyAlignment="1">
      <alignment horizontal="left" indent="2"/>
    </xf>
    <xf numFmtId="0" fontId="5" fillId="2" borderId="4" xfId="0" applyFont="1" applyFill="1" applyBorder="1" applyAlignment="1">
      <alignment horizontal="left" indent="2"/>
    </xf>
    <xf numFmtId="0" fontId="5" fillId="2" borderId="7" xfId="0" applyFont="1" applyFill="1" applyBorder="1" applyAlignment="1">
      <alignment horizontal="left" indent="2"/>
    </xf>
    <xf numFmtId="164" fontId="5" fillId="2" borderId="12" xfId="1" applyNumberFormat="1" applyFont="1" applyFill="1" applyBorder="1"/>
    <xf numFmtId="164" fontId="5" fillId="2" borderId="5" xfId="1" applyNumberFormat="1" applyFont="1" applyFill="1" applyBorder="1" applyAlignment="1">
      <alignment horizontal="left" indent="1"/>
    </xf>
    <xf numFmtId="164" fontId="5" fillId="2" borderId="6" xfId="1" applyNumberFormat="1" applyFont="1" applyFill="1" applyBorder="1"/>
    <xf numFmtId="164" fontId="5" fillId="2" borderId="8" xfId="1" applyNumberFormat="1" applyFont="1" applyFill="1" applyBorder="1" applyAlignment="1">
      <alignment horizontal="left" indent="1"/>
    </xf>
    <xf numFmtId="164" fontId="5" fillId="2" borderId="9" xfId="1" applyNumberFormat="1" applyFont="1" applyFill="1" applyBorder="1"/>
    <xf numFmtId="0" fontId="5" fillId="2" borderId="10" xfId="0" applyFont="1" applyFill="1" applyBorder="1" applyAlignment="1">
      <alignment horizontal="left" indent="1"/>
    </xf>
    <xf numFmtId="0" fontId="5" fillId="2" borderId="4" xfId="0" applyFont="1" applyFill="1" applyBorder="1" applyAlignment="1">
      <alignment horizontal="left" indent="1"/>
    </xf>
    <xf numFmtId="0" fontId="5" fillId="2" borderId="7" xfId="0" applyFont="1" applyFill="1" applyBorder="1" applyAlignment="1">
      <alignment horizontal="left" indent="1"/>
    </xf>
    <xf numFmtId="0" fontId="5" fillId="2" borderId="30" xfId="0" applyFont="1" applyFill="1" applyBorder="1" applyAlignment="1">
      <alignment horizontal="left" indent="2"/>
    </xf>
    <xf numFmtId="164" fontId="5" fillId="3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9" fillId="4" borderId="27" xfId="0" applyFont="1" applyFill="1" applyBorder="1" applyAlignment="1">
      <alignment horizontal="left" indent="1"/>
    </xf>
    <xf numFmtId="0" fontId="9" fillId="4" borderId="28" xfId="0" applyFont="1" applyFill="1" applyBorder="1"/>
    <xf numFmtId="164" fontId="9" fillId="4" borderId="29" xfId="1" applyNumberFormat="1" applyFont="1" applyFill="1" applyBorder="1"/>
    <xf numFmtId="164" fontId="10" fillId="4" borderId="29" xfId="1" applyNumberFormat="1" applyFont="1" applyFill="1" applyBorder="1" applyAlignment="1">
      <alignment horizontal="left" indent="1"/>
    </xf>
    <xf numFmtId="0" fontId="9" fillId="4" borderId="27" xfId="0" applyFont="1" applyFill="1" applyBorder="1" applyAlignment="1">
      <alignment horizontal="left"/>
    </xf>
    <xf numFmtId="0" fontId="9" fillId="4" borderId="18" xfId="0" applyFont="1" applyFill="1" applyBorder="1" applyAlignment="1">
      <alignment horizontal="left"/>
    </xf>
    <xf numFmtId="0" fontId="9" fillId="4" borderId="19" xfId="0" applyFont="1" applyFill="1" applyBorder="1" applyAlignment="1">
      <alignment horizontal="left"/>
    </xf>
    <xf numFmtId="164" fontId="5" fillId="2" borderId="4" xfId="1" applyNumberFormat="1" applyFont="1" applyFill="1" applyBorder="1" applyAlignment="1">
      <alignment horizontal="left" indent="1"/>
    </xf>
    <xf numFmtId="0" fontId="9" fillId="4" borderId="20" xfId="0" applyFont="1" applyFill="1" applyBorder="1" applyAlignment="1">
      <alignment horizontal="left"/>
    </xf>
    <xf numFmtId="164" fontId="5" fillId="0" borderId="5" xfId="1" applyNumberFormat="1" applyFont="1" applyFill="1" applyBorder="1" applyAlignment="1">
      <alignment horizontal="left" indent="1"/>
    </xf>
    <xf numFmtId="164" fontId="5" fillId="0" borderId="8" xfId="1" applyNumberFormat="1" applyFont="1" applyFill="1" applyBorder="1" applyAlignment="1">
      <alignment horizontal="left" indent="1"/>
    </xf>
    <xf numFmtId="0" fontId="7" fillId="0" borderId="0" xfId="0" applyFont="1"/>
    <xf numFmtId="164" fontId="5" fillId="0" borderId="5" xfId="1" applyNumberFormat="1" applyFont="1" applyBorder="1"/>
    <xf numFmtId="9" fontId="5" fillId="0" borderId="5" xfId="2" applyFont="1" applyBorder="1"/>
    <xf numFmtId="9" fontId="5" fillId="0" borderId="6" xfId="2" applyFont="1" applyBorder="1"/>
    <xf numFmtId="165" fontId="5" fillId="0" borderId="5" xfId="1" applyNumberFormat="1" applyFont="1" applyFill="1" applyBorder="1"/>
    <xf numFmtId="165" fontId="5" fillId="0" borderId="8" xfId="1" applyNumberFormat="1" applyFont="1" applyFill="1" applyBorder="1"/>
    <xf numFmtId="164" fontId="5" fillId="2" borderId="31" xfId="1" applyNumberFormat="1" applyFont="1" applyFill="1" applyBorder="1"/>
    <xf numFmtId="0" fontId="9" fillId="4" borderId="34" xfId="0" applyFont="1" applyFill="1" applyBorder="1" applyAlignment="1">
      <alignment horizontal="left" indent="1"/>
    </xf>
    <xf numFmtId="0" fontId="9" fillId="4" borderId="35" xfId="0" applyFont="1" applyFill="1" applyBorder="1"/>
    <xf numFmtId="0" fontId="9" fillId="5" borderId="35" xfId="0" applyFont="1" applyFill="1" applyBorder="1"/>
    <xf numFmtId="164" fontId="9" fillId="4" borderId="36" xfId="1" applyNumberFormat="1" applyFont="1" applyFill="1" applyBorder="1"/>
    <xf numFmtId="0" fontId="5" fillId="2" borderId="18" xfId="0" applyFont="1" applyFill="1" applyBorder="1" applyAlignment="1">
      <alignment horizontal="left" indent="2"/>
    </xf>
    <xf numFmtId="164" fontId="5" fillId="0" borderId="19" xfId="1" applyNumberFormat="1" applyFont="1" applyBorder="1" applyAlignment="1">
      <alignment horizontal="left" indent="1"/>
    </xf>
    <xf numFmtId="164" fontId="5" fillId="2" borderId="19" xfId="1" applyNumberFormat="1" applyFont="1" applyFill="1" applyBorder="1" applyAlignment="1">
      <alignment horizontal="left" indent="1"/>
    </xf>
    <xf numFmtId="164" fontId="5" fillId="0" borderId="19" xfId="1" applyNumberFormat="1" applyFont="1" applyFill="1" applyBorder="1" applyAlignment="1">
      <alignment horizontal="left" indent="1"/>
    </xf>
    <xf numFmtId="164" fontId="5" fillId="2" borderId="20" xfId="1" applyNumberFormat="1" applyFont="1" applyFill="1" applyBorder="1"/>
    <xf numFmtId="165" fontId="5" fillId="2" borderId="6" xfId="1" applyNumberFormat="1" applyFont="1" applyFill="1" applyBorder="1"/>
    <xf numFmtId="165" fontId="5" fillId="2" borderId="9" xfId="1" applyNumberFormat="1" applyFont="1" applyFill="1" applyBorder="1"/>
    <xf numFmtId="0" fontId="7" fillId="3" borderId="0" xfId="0" applyFont="1" applyFill="1"/>
    <xf numFmtId="0" fontId="4" fillId="3" borderId="0" xfId="0" applyFont="1" applyFill="1"/>
    <xf numFmtId="0" fontId="0" fillId="2" borderId="0" xfId="0" applyFill="1"/>
    <xf numFmtId="0" fontId="7" fillId="7" borderId="5" xfId="0" applyFont="1" applyFill="1" applyBorder="1"/>
    <xf numFmtId="0" fontId="7" fillId="7" borderId="8" xfId="0" applyFont="1" applyFill="1" applyBorder="1"/>
    <xf numFmtId="0" fontId="7" fillId="7" borderId="11" xfId="0" applyFont="1" applyFill="1" applyBorder="1"/>
    <xf numFmtId="0" fontId="7" fillId="7" borderId="15" xfId="0" applyFont="1" applyFill="1" applyBorder="1"/>
    <xf numFmtId="0" fontId="8" fillId="7" borderId="19" xfId="0" applyFont="1" applyFill="1" applyBorder="1"/>
    <xf numFmtId="164" fontId="8" fillId="7" borderId="19" xfId="1" applyNumberFormat="1" applyFont="1" applyFill="1" applyBorder="1"/>
    <xf numFmtId="0" fontId="9" fillId="4" borderId="42" xfId="0" applyFont="1" applyFill="1" applyBorder="1" applyAlignment="1">
      <alignment horizontal="center"/>
    </xf>
    <xf numFmtId="0" fontId="9" fillId="4" borderId="46" xfId="0" applyFont="1" applyFill="1" applyBorder="1" applyAlignment="1">
      <alignment horizontal="left"/>
    </xf>
    <xf numFmtId="166" fontId="9" fillId="4" borderId="47" xfId="0" applyNumberFormat="1" applyFont="1" applyFill="1" applyBorder="1" applyAlignment="1">
      <alignment horizontal="left"/>
    </xf>
    <xf numFmtId="0" fontId="15" fillId="6" borderId="4" xfId="0" applyFont="1" applyFill="1" applyBorder="1"/>
    <xf numFmtId="0" fontId="15" fillId="6" borderId="5" xfId="0" applyFont="1" applyFill="1" applyBorder="1"/>
    <xf numFmtId="166" fontId="15" fillId="6" borderId="5" xfId="0" applyNumberFormat="1" applyFont="1" applyFill="1" applyBorder="1"/>
    <xf numFmtId="0" fontId="15" fillId="0" borderId="5" xfId="0" applyFont="1" applyBorder="1"/>
    <xf numFmtId="0" fontId="15" fillId="6" borderId="39" xfId="0" applyFont="1" applyFill="1" applyBorder="1"/>
    <xf numFmtId="0" fontId="4" fillId="2" borderId="48" xfId="0" applyFont="1" applyFill="1" applyBorder="1"/>
    <xf numFmtId="0" fontId="0" fillId="2" borderId="49" xfId="0" applyFill="1" applyBorder="1"/>
    <xf numFmtId="0" fontId="0" fillId="2" borderId="50" xfId="0" applyFill="1" applyBorder="1"/>
    <xf numFmtId="0" fontId="12" fillId="9" borderId="40" xfId="0" applyFont="1" applyFill="1" applyBorder="1" applyAlignment="1">
      <alignment horizontal="center"/>
    </xf>
    <xf numFmtId="0" fontId="12" fillId="9" borderId="41" xfId="0" applyFont="1" applyFill="1" applyBorder="1" applyAlignment="1"/>
    <xf numFmtId="14" fontId="12" fillId="9" borderId="41" xfId="0" applyNumberFormat="1" applyFont="1" applyFill="1" applyBorder="1" applyAlignment="1">
      <alignment horizontal="center"/>
    </xf>
    <xf numFmtId="0" fontId="0" fillId="9" borderId="45" xfId="0" applyFill="1" applyBorder="1"/>
    <xf numFmtId="0" fontId="4" fillId="9" borderId="44" xfId="0" applyFont="1" applyFill="1" applyBorder="1"/>
    <xf numFmtId="0" fontId="7" fillId="2" borderId="52" xfId="0" applyFont="1" applyFill="1" applyBorder="1"/>
    <xf numFmtId="0" fontId="7" fillId="2" borderId="53" xfId="0" applyFont="1" applyFill="1" applyBorder="1"/>
    <xf numFmtId="0" fontId="0" fillId="2" borderId="13" xfId="0" applyFill="1" applyBorder="1" applyAlignment="1">
      <alignment horizontal="left" indent="1"/>
    </xf>
    <xf numFmtId="0" fontId="7" fillId="2" borderId="1" xfId="0" applyFont="1" applyFill="1" applyBorder="1"/>
    <xf numFmtId="0" fontId="12" fillId="3" borderId="41" xfId="0" applyFont="1" applyFill="1" applyBorder="1" applyAlignment="1"/>
    <xf numFmtId="0" fontId="12" fillId="3" borderId="40" xfId="0" applyFont="1" applyFill="1" applyBorder="1" applyAlignment="1">
      <alignment horizontal="center"/>
    </xf>
    <xf numFmtId="9" fontId="5" fillId="0" borderId="20" xfId="2" applyFont="1" applyBorder="1" applyAlignment="1">
      <alignment horizontal="right" indent="1"/>
    </xf>
    <xf numFmtId="9" fontId="5" fillId="0" borderId="9" xfId="2" applyFont="1" applyBorder="1" applyAlignment="1">
      <alignment horizontal="right" indent="1"/>
    </xf>
    <xf numFmtId="9" fontId="5" fillId="0" borderId="6" xfId="2" applyFont="1" applyBorder="1" applyAlignment="1">
      <alignment horizontal="right" indent="1"/>
    </xf>
    <xf numFmtId="0" fontId="5" fillId="0" borderId="6" xfId="2" applyNumberFormat="1" applyFont="1" applyBorder="1" applyAlignment="1">
      <alignment horizontal="right" indent="1"/>
    </xf>
    <xf numFmtId="3" fontId="5" fillId="0" borderId="6" xfId="2" applyNumberFormat="1" applyFont="1" applyBorder="1" applyAlignment="1">
      <alignment horizontal="right" indent="1"/>
    </xf>
    <xf numFmtId="167" fontId="7" fillId="2" borderId="2" xfId="0" applyNumberFormat="1" applyFont="1" applyFill="1" applyBorder="1"/>
    <xf numFmtId="167" fontId="7" fillId="2" borderId="3" xfId="0" applyNumberFormat="1" applyFont="1" applyFill="1" applyBorder="1"/>
    <xf numFmtId="167" fontId="7" fillId="2" borderId="52" xfId="0" applyNumberFormat="1" applyFont="1" applyFill="1" applyBorder="1"/>
    <xf numFmtId="167" fontId="4" fillId="2" borderId="2" xfId="0" applyNumberFormat="1" applyFont="1" applyFill="1" applyBorder="1"/>
    <xf numFmtId="167" fontId="7" fillId="2" borderId="53" xfId="0" applyNumberFormat="1" applyFont="1" applyFill="1" applyBorder="1"/>
    <xf numFmtId="167" fontId="4" fillId="2" borderId="3" xfId="0" applyNumberFormat="1" applyFont="1" applyFill="1" applyBorder="1"/>
    <xf numFmtId="167" fontId="7" fillId="2" borderId="54" xfId="0" applyNumberFormat="1" applyFont="1" applyFill="1" applyBorder="1"/>
    <xf numFmtId="167" fontId="4" fillId="2" borderId="13" xfId="0" applyNumberFormat="1" applyFont="1" applyFill="1" applyBorder="1"/>
    <xf numFmtId="167" fontId="6" fillId="2" borderId="2" xfId="0" applyNumberFormat="1" applyFont="1" applyFill="1" applyBorder="1"/>
    <xf numFmtId="167" fontId="6" fillId="2" borderId="17" xfId="0" applyNumberFormat="1" applyFont="1" applyFill="1" applyBorder="1"/>
    <xf numFmtId="167" fontId="7" fillId="2" borderId="1" xfId="0" applyNumberFormat="1" applyFont="1" applyFill="1" applyBorder="1"/>
    <xf numFmtId="167" fontId="4" fillId="2" borderId="1" xfId="0" applyNumberFormat="1" applyFont="1" applyFill="1" applyBorder="1"/>
    <xf numFmtId="167" fontId="6" fillId="2" borderId="3" xfId="0" applyNumberFormat="1" applyFont="1" applyFill="1" applyBorder="1"/>
    <xf numFmtId="167" fontId="6" fillId="2" borderId="13" xfId="0" applyNumberFormat="1" applyFont="1" applyFill="1" applyBorder="1"/>
    <xf numFmtId="3" fontId="7" fillId="2" borderId="2" xfId="0" applyNumberFormat="1" applyFont="1" applyFill="1" applyBorder="1"/>
    <xf numFmtId="3" fontId="7" fillId="2" borderId="3" xfId="0" applyNumberFormat="1" applyFont="1" applyFill="1" applyBorder="1"/>
    <xf numFmtId="3" fontId="7" fillId="2" borderId="13" xfId="0" applyNumberFormat="1" applyFont="1" applyFill="1" applyBorder="1"/>
    <xf numFmtId="0" fontId="7" fillId="0" borderId="10" xfId="0" applyFont="1" applyBorder="1"/>
    <xf numFmtId="0" fontId="7" fillId="2" borderId="54" xfId="0" applyFont="1" applyFill="1" applyBorder="1"/>
    <xf numFmtId="3" fontId="4" fillId="2" borderId="13" xfId="0" applyNumberFormat="1" applyFont="1" applyFill="1" applyBorder="1"/>
    <xf numFmtId="0" fontId="0" fillId="2" borderId="18" xfId="0" applyFill="1" applyBorder="1"/>
    <xf numFmtId="3" fontId="7" fillId="2" borderId="19" xfId="0" applyNumberFormat="1" applyFont="1" applyFill="1" applyBorder="1"/>
    <xf numFmtId="3" fontId="7" fillId="2" borderId="20" xfId="0" applyNumberFormat="1" applyFont="1" applyFill="1" applyBorder="1"/>
    <xf numFmtId="3" fontId="7" fillId="7" borderId="5" xfId="0" applyNumberFormat="1" applyFont="1" applyFill="1" applyBorder="1"/>
    <xf numFmtId="3" fontId="7" fillId="2" borderId="5" xfId="0" applyNumberFormat="1" applyFont="1" applyFill="1" applyBorder="1"/>
    <xf numFmtId="3" fontId="7" fillId="2" borderId="6" xfId="0" applyNumberFormat="1" applyFont="1" applyFill="1" applyBorder="1"/>
    <xf numFmtId="3" fontId="7" fillId="7" borderId="8" xfId="0" applyNumberFormat="1" applyFont="1" applyFill="1" applyBorder="1"/>
    <xf numFmtId="3" fontId="7" fillId="2" borderId="8" xfId="0" applyNumberFormat="1" applyFont="1" applyFill="1" applyBorder="1"/>
    <xf numFmtId="3" fontId="7" fillId="2" borderId="9" xfId="0" applyNumberFormat="1" applyFont="1" applyFill="1" applyBorder="1"/>
    <xf numFmtId="3" fontId="7" fillId="7" borderId="25" xfId="0" applyNumberFormat="1" applyFont="1" applyFill="1" applyBorder="1"/>
    <xf numFmtId="0" fontId="7" fillId="0" borderId="20" xfId="0" applyFont="1" applyBorder="1"/>
    <xf numFmtId="0" fontId="7" fillId="0" borderId="6" xfId="0" applyFont="1" applyBorder="1"/>
    <xf numFmtId="0" fontId="7" fillId="0" borderId="9" xfId="0" applyFont="1" applyBorder="1"/>
    <xf numFmtId="3" fontId="7" fillId="2" borderId="51" xfId="0" applyNumberFormat="1" applyFont="1" applyFill="1" applyBorder="1"/>
    <xf numFmtId="3" fontId="7" fillId="2" borderId="59" xfId="0" applyNumberFormat="1" applyFont="1" applyFill="1" applyBorder="1"/>
    <xf numFmtId="3" fontId="7" fillId="2" borderId="60" xfId="0" applyNumberFormat="1" applyFont="1" applyFill="1" applyBorder="1"/>
    <xf numFmtId="3" fontId="7" fillId="2" borderId="1" xfId="0" applyNumberFormat="1" applyFont="1" applyFill="1" applyBorder="1"/>
    <xf numFmtId="3" fontId="7" fillId="7" borderId="38" xfId="0" applyNumberFormat="1" applyFont="1" applyFill="1" applyBorder="1"/>
    <xf numFmtId="3" fontId="7" fillId="7" borderId="15" xfId="0" applyNumberFormat="1" applyFont="1" applyFill="1" applyBorder="1"/>
    <xf numFmtId="3" fontId="7" fillId="2" borderId="15" xfId="0" applyNumberFormat="1" applyFont="1" applyFill="1" applyBorder="1"/>
    <xf numFmtId="3" fontId="7" fillId="2" borderId="16" xfId="0" applyNumberFormat="1" applyFont="1" applyFill="1" applyBorder="1"/>
    <xf numFmtId="3" fontId="7" fillId="2" borderId="61" xfId="0" applyNumberFormat="1" applyFont="1" applyFill="1" applyBorder="1"/>
    <xf numFmtId="3" fontId="7" fillId="2" borderId="17" xfId="0" applyNumberFormat="1" applyFont="1" applyFill="1" applyBorder="1"/>
    <xf numFmtId="3" fontId="7" fillId="7" borderId="37" xfId="0" applyNumberFormat="1" applyFont="1" applyFill="1" applyBorder="1"/>
    <xf numFmtId="3" fontId="7" fillId="2" borderId="11" xfId="0" applyNumberFormat="1" applyFont="1" applyFill="1" applyBorder="1"/>
    <xf numFmtId="3" fontId="7" fillId="2" borderId="12" xfId="0" applyNumberFormat="1" applyFont="1" applyFill="1" applyBorder="1"/>
    <xf numFmtId="3" fontId="7" fillId="2" borderId="62" xfId="0" applyNumberFormat="1" applyFont="1" applyFill="1" applyBorder="1"/>
    <xf numFmtId="0" fontId="0" fillId="2" borderId="4" xfId="0" applyFill="1" applyBorder="1" applyAlignment="1">
      <alignment horizontal="left" indent="1"/>
    </xf>
    <xf numFmtId="0" fontId="0" fillId="2" borderId="7" xfId="0" applyFill="1" applyBorder="1" applyAlignment="1">
      <alignment horizontal="left" indent="1"/>
    </xf>
    <xf numFmtId="0" fontId="0" fillId="2" borderId="4" xfId="0" applyFill="1" applyBorder="1" applyAlignment="1">
      <alignment horizontal="left" indent="2"/>
    </xf>
    <xf numFmtId="3" fontId="1" fillId="2" borderId="13" xfId="0" applyNumberFormat="1" applyFont="1" applyFill="1" applyBorder="1"/>
    <xf numFmtId="3" fontId="16" fillId="7" borderId="11" xfId="0" applyNumberFormat="1" applyFont="1" applyFill="1" applyBorder="1"/>
    <xf numFmtId="0" fontId="12" fillId="3" borderId="63" xfId="0" applyFont="1" applyFill="1" applyBorder="1" applyAlignment="1"/>
    <xf numFmtId="166" fontId="15" fillId="6" borderId="5" xfId="0" applyNumberFormat="1" applyFont="1" applyFill="1" applyBorder="1"/>
    <xf numFmtId="0" fontId="0" fillId="0" borderId="0" xfId="0"/>
    <xf numFmtId="0" fontId="7" fillId="0" borderId="4" xfId="0" applyFont="1" applyBorder="1" applyAlignment="1">
      <alignment horizontal="left" indent="1"/>
    </xf>
    <xf numFmtId="0" fontId="7" fillId="0" borderId="10" xfId="0" applyFont="1" applyBorder="1" applyAlignment="1">
      <alignment horizontal="left" indent="1"/>
    </xf>
    <xf numFmtId="0" fontId="0" fillId="2" borderId="2" xfId="0" applyFill="1" applyBorder="1" applyAlignment="1">
      <alignment horizontal="left" inden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11" xfId="0" applyFont="1" applyFill="1" applyBorder="1"/>
    <xf numFmtId="0" fontId="7" fillId="2" borderId="12" xfId="0" applyFont="1" applyFill="1" applyBorder="1"/>
    <xf numFmtId="0" fontId="5" fillId="2" borderId="4" xfId="0" applyFont="1" applyFill="1" applyBorder="1" applyAlignment="1">
      <alignment horizontal="left" indent="2"/>
    </xf>
    <xf numFmtId="0" fontId="0" fillId="3" borderId="0" xfId="0" applyFill="1"/>
    <xf numFmtId="0" fontId="9" fillId="4" borderId="18" xfId="0" applyFont="1" applyFill="1" applyBorder="1" applyAlignment="1">
      <alignment horizontal="left"/>
    </xf>
    <xf numFmtId="0" fontId="9" fillId="4" borderId="19" xfId="0" applyFont="1" applyFill="1" applyBorder="1" applyAlignment="1">
      <alignment horizontal="left"/>
    </xf>
    <xf numFmtId="0" fontId="9" fillId="4" borderId="35" xfId="0" applyFont="1" applyFill="1" applyBorder="1"/>
    <xf numFmtId="0" fontId="0" fillId="6" borderId="8" xfId="0" applyFont="1" applyFill="1" applyBorder="1"/>
    <xf numFmtId="166" fontId="0" fillId="6" borderId="8" xfId="0" applyNumberFormat="1" applyFont="1" applyFill="1" applyBorder="1"/>
    <xf numFmtId="0" fontId="7" fillId="7" borderId="5" xfId="0" applyFont="1" applyFill="1" applyBorder="1"/>
    <xf numFmtId="0" fontId="7" fillId="7" borderId="11" xfId="0" applyFont="1" applyFill="1" applyBorder="1"/>
    <xf numFmtId="0" fontId="9" fillId="4" borderId="23" xfId="0" applyFont="1" applyFill="1" applyBorder="1" applyAlignment="1">
      <alignment horizontal="left"/>
    </xf>
    <xf numFmtId="0" fontId="0" fillId="6" borderId="24" xfId="0" applyFont="1" applyFill="1" applyBorder="1"/>
    <xf numFmtId="0" fontId="9" fillId="4" borderId="42" xfId="0" applyFont="1" applyFill="1" applyBorder="1" applyAlignment="1">
      <alignment horizontal="center"/>
    </xf>
    <xf numFmtId="0" fontId="9" fillId="4" borderId="43" xfId="0" applyFont="1" applyFill="1" applyBorder="1" applyAlignment="1">
      <alignment horizontal="center"/>
    </xf>
    <xf numFmtId="0" fontId="9" fillId="4" borderId="46" xfId="0" applyFont="1" applyFill="1" applyBorder="1" applyAlignment="1">
      <alignment horizontal="left"/>
    </xf>
    <xf numFmtId="166" fontId="9" fillId="4" borderId="47" xfId="0" applyNumberFormat="1" applyFont="1" applyFill="1" applyBorder="1" applyAlignment="1">
      <alignment horizontal="left"/>
    </xf>
    <xf numFmtId="0" fontId="15" fillId="6" borderId="4" xfId="0" applyFont="1" applyFill="1" applyBorder="1"/>
    <xf numFmtId="0" fontId="15" fillId="6" borderId="7" xfId="0" applyFont="1" applyFill="1" applyBorder="1"/>
    <xf numFmtId="0" fontId="15" fillId="6" borderId="5" xfId="0" applyFont="1" applyFill="1" applyBorder="1"/>
    <xf numFmtId="166" fontId="15" fillId="6" borderId="5" xfId="0" applyNumberFormat="1" applyFont="1" applyFill="1" applyBorder="1"/>
    <xf numFmtId="0" fontId="15" fillId="0" borderId="5" xfId="0" applyFont="1" applyBorder="1"/>
    <xf numFmtId="0" fontId="15" fillId="6" borderId="39" xfId="0" applyFont="1" applyFill="1" applyBorder="1"/>
    <xf numFmtId="0" fontId="12" fillId="9" borderId="40" xfId="0" applyFont="1" applyFill="1" applyBorder="1" applyAlignment="1">
      <alignment horizontal="center"/>
    </xf>
    <xf numFmtId="0" fontId="12" fillId="9" borderId="41" xfId="0" applyFont="1" applyFill="1" applyBorder="1" applyAlignment="1"/>
    <xf numFmtId="14" fontId="12" fillId="9" borderId="41" xfId="0" applyNumberFormat="1" applyFont="1" applyFill="1" applyBorder="1" applyAlignment="1">
      <alignment horizontal="center"/>
    </xf>
    <xf numFmtId="0" fontId="0" fillId="9" borderId="45" xfId="0" applyFill="1" applyBorder="1"/>
    <xf numFmtId="0" fontId="4" fillId="9" borderId="44" xfId="0" applyFont="1" applyFill="1" applyBorder="1"/>
    <xf numFmtId="0" fontId="0" fillId="2" borderId="13" xfId="0" applyFill="1" applyBorder="1" applyAlignment="1">
      <alignment horizontal="left" indent="1"/>
    </xf>
    <xf numFmtId="167" fontId="7" fillId="2" borderId="54" xfId="0" applyNumberFormat="1" applyFont="1" applyFill="1" applyBorder="1"/>
    <xf numFmtId="167" fontId="6" fillId="2" borderId="2" xfId="0" applyNumberFormat="1" applyFont="1" applyFill="1" applyBorder="1"/>
    <xf numFmtId="167" fontId="6" fillId="2" borderId="13" xfId="0" applyNumberFormat="1" applyFont="1" applyFill="1" applyBorder="1"/>
    <xf numFmtId="3" fontId="7" fillId="2" borderId="2" xfId="0" applyNumberFormat="1" applyFont="1" applyFill="1" applyBorder="1"/>
    <xf numFmtId="3" fontId="7" fillId="2" borderId="13" xfId="0" applyNumberFormat="1" applyFont="1" applyFill="1" applyBorder="1"/>
    <xf numFmtId="0" fontId="9" fillId="4" borderId="56" xfId="0" applyFont="1" applyFill="1" applyBorder="1"/>
    <xf numFmtId="0" fontId="9" fillId="4" borderId="34" xfId="0" applyFont="1" applyFill="1" applyBorder="1"/>
    <xf numFmtId="0" fontId="9" fillId="8" borderId="55" xfId="0" applyFont="1" applyFill="1" applyBorder="1"/>
    <xf numFmtId="0" fontId="9" fillId="8" borderId="35" xfId="0" applyFont="1" applyFill="1" applyBorder="1"/>
    <xf numFmtId="0" fontId="9" fillId="4" borderId="57" xfId="0" applyFont="1" applyFill="1" applyBorder="1"/>
    <xf numFmtId="0" fontId="9" fillId="4" borderId="58" xfId="0" applyFont="1" applyFill="1" applyBorder="1"/>
    <xf numFmtId="3" fontId="7" fillId="7" borderId="5" xfId="0" applyNumberFormat="1" applyFont="1" applyFill="1" applyBorder="1"/>
    <xf numFmtId="3" fontId="7" fillId="7" borderId="25" xfId="0" applyNumberFormat="1" applyFont="1" applyFill="1" applyBorder="1"/>
    <xf numFmtId="3" fontId="7" fillId="7" borderId="38" xfId="0" applyNumberFormat="1" applyFont="1" applyFill="1" applyBorder="1"/>
    <xf numFmtId="3" fontId="7" fillId="7" borderId="37" xfId="0" applyNumberFormat="1" applyFont="1" applyFill="1" applyBorder="1"/>
    <xf numFmtId="3" fontId="7" fillId="3" borderId="51" xfId="0" applyNumberFormat="1" applyFont="1" applyFill="1" applyBorder="1"/>
    <xf numFmtId="3" fontId="7" fillId="3" borderId="1" xfId="0" applyNumberFormat="1" applyFont="1" applyFill="1" applyBorder="1"/>
    <xf numFmtId="0" fontId="4" fillId="3" borderId="64" xfId="0" applyFont="1" applyFill="1" applyBorder="1"/>
    <xf numFmtId="0" fontId="7" fillId="3" borderId="64" xfId="0" applyFont="1" applyFill="1" applyBorder="1"/>
    <xf numFmtId="3" fontId="7" fillId="3" borderId="64" xfId="0" applyNumberFormat="1" applyFont="1" applyFill="1" applyBorder="1"/>
    <xf numFmtId="3" fontId="4" fillId="3" borderId="64" xfId="0" applyNumberFormat="1" applyFont="1" applyFill="1" applyBorder="1"/>
    <xf numFmtId="0" fontId="7" fillId="3" borderId="65" xfId="0" applyFont="1" applyFill="1" applyBorder="1"/>
    <xf numFmtId="3" fontId="7" fillId="3" borderId="27" xfId="0" applyNumberFormat="1" applyFont="1" applyFill="1" applyBorder="1"/>
    <xf numFmtId="3" fontId="7" fillId="3" borderId="28" xfId="0" applyNumberFormat="1" applyFont="1" applyFill="1" applyBorder="1"/>
    <xf numFmtId="3" fontId="7" fillId="3" borderId="29" xfId="0" applyNumberFormat="1" applyFont="1" applyFill="1" applyBorder="1"/>
    <xf numFmtId="0" fontId="0" fillId="2" borderId="13" xfId="0" applyFill="1" applyBorder="1" applyAlignment="1">
      <alignment horizontal="left"/>
    </xf>
    <xf numFmtId="0" fontId="0" fillId="2" borderId="13" xfId="0" applyFill="1" applyBorder="1" applyAlignment="1">
      <alignment horizontal="left" indent="2"/>
    </xf>
    <xf numFmtId="0" fontId="17" fillId="3" borderId="64" xfId="0" applyFont="1" applyFill="1" applyBorder="1"/>
    <xf numFmtId="3" fontId="17" fillId="3" borderId="27" xfId="0" applyNumberFormat="1" applyFont="1" applyFill="1" applyBorder="1"/>
    <xf numFmtId="3" fontId="17" fillId="3" borderId="28" xfId="0" applyNumberFormat="1" applyFont="1" applyFill="1" applyBorder="1"/>
    <xf numFmtId="3" fontId="17" fillId="3" borderId="29" xfId="0" applyNumberFormat="1" applyFont="1" applyFill="1" applyBorder="1"/>
    <xf numFmtId="3" fontId="17" fillId="3" borderId="64" xfId="0" applyNumberFormat="1" applyFont="1" applyFill="1" applyBorder="1"/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left" indent="2"/>
    </xf>
    <xf numFmtId="0" fontId="16" fillId="7" borderId="11" xfId="0" applyFont="1" applyFill="1" applyBorder="1"/>
    <xf numFmtId="0" fontId="16" fillId="2" borderId="11" xfId="0" applyFont="1" applyFill="1" applyBorder="1"/>
    <xf numFmtId="0" fontId="16" fillId="2" borderId="12" xfId="0" applyFont="1" applyFill="1" applyBorder="1"/>
    <xf numFmtId="0" fontId="15" fillId="0" borderId="39" xfId="0" applyFont="1" applyBorder="1"/>
    <xf numFmtId="0" fontId="0" fillId="0" borderId="24" xfId="0" applyBorder="1"/>
    <xf numFmtId="0" fontId="0" fillId="2" borderId="48" xfId="0" applyFill="1" applyBorder="1"/>
    <xf numFmtId="16" fontId="0" fillId="0" borderId="0" xfId="0" applyNumberFormat="1"/>
    <xf numFmtId="0" fontId="9" fillId="3" borderId="0" xfId="0" applyFont="1" applyFill="1" applyBorder="1" applyAlignment="1">
      <alignment horizontal="left"/>
    </xf>
    <xf numFmtId="166" fontId="9" fillId="3" borderId="45" xfId="0" applyNumberFormat="1" applyFont="1" applyFill="1" applyBorder="1" applyAlignment="1">
      <alignment horizontal="left"/>
    </xf>
    <xf numFmtId="14" fontId="15" fillId="6" borderId="5" xfId="0" applyNumberFormat="1" applyFont="1" applyFill="1" applyBorder="1"/>
    <xf numFmtId="14" fontId="9" fillId="3" borderId="45" xfId="0" applyNumberFormat="1" applyFont="1" applyFill="1" applyBorder="1" applyAlignment="1">
      <alignment horizontal="left"/>
    </xf>
    <xf numFmtId="14" fontId="12" fillId="9" borderId="41" xfId="0" applyNumberFormat="1" applyFont="1" applyFill="1" applyBorder="1" applyAlignment="1"/>
    <xf numFmtId="14" fontId="0" fillId="6" borderId="8" xfId="0" applyNumberFormat="1" applyFont="1" applyFill="1" applyBorder="1"/>
    <xf numFmtId="14" fontId="0" fillId="0" borderId="0" xfId="0" applyNumberFormat="1"/>
    <xf numFmtId="3" fontId="7" fillId="10" borderId="25" xfId="0" applyNumberFormat="1" applyFont="1" applyFill="1" applyBorder="1"/>
    <xf numFmtId="3" fontId="7" fillId="10" borderId="37" xfId="0" applyNumberFormat="1" applyFont="1" applyFill="1" applyBorder="1"/>
    <xf numFmtId="3" fontId="16" fillId="10" borderId="11" xfId="0" applyNumberFormat="1" applyFont="1" applyFill="1" applyBorder="1"/>
    <xf numFmtId="3" fontId="7" fillId="10" borderId="5" xfId="0" applyNumberFormat="1" applyFont="1" applyFill="1" applyBorder="1"/>
    <xf numFmtId="3" fontId="7" fillId="10" borderId="38" xfId="0" applyNumberFormat="1" applyFont="1" applyFill="1" applyBorder="1"/>
    <xf numFmtId="3" fontId="7" fillId="10" borderId="15" xfId="0" applyNumberFormat="1" applyFont="1" applyFill="1" applyBorder="1"/>
    <xf numFmtId="3" fontId="7" fillId="10" borderId="8" xfId="0" applyNumberFormat="1" applyFont="1" applyFill="1" applyBorder="1"/>
    <xf numFmtId="0" fontId="7" fillId="10" borderId="11" xfId="0" applyFont="1" applyFill="1" applyBorder="1"/>
    <xf numFmtId="0" fontId="7" fillId="10" borderId="5" xfId="0" applyFont="1" applyFill="1" applyBorder="1"/>
    <xf numFmtId="0" fontId="7" fillId="10" borderId="8" xfId="0" applyFont="1" applyFill="1" applyBorder="1"/>
    <xf numFmtId="0" fontId="7" fillId="10" borderId="15" xfId="0" applyFont="1" applyFill="1" applyBorder="1"/>
    <xf numFmtId="164" fontId="8" fillId="10" borderId="19" xfId="1" applyNumberFormat="1" applyFont="1" applyFill="1" applyBorder="1"/>
    <xf numFmtId="0" fontId="16" fillId="10" borderId="11" xfId="0" applyFont="1" applyFill="1" applyBorder="1"/>
    <xf numFmtId="3" fontId="16" fillId="10" borderId="37" xfId="0" applyNumberFormat="1" applyFont="1" applyFill="1" applyBorder="1"/>
    <xf numFmtId="3" fontId="7" fillId="10" borderId="4" xfId="0" applyNumberFormat="1" applyFont="1" applyFill="1" applyBorder="1"/>
    <xf numFmtId="3" fontId="7" fillId="10" borderId="26" xfId="0" applyNumberFormat="1" applyFont="1" applyFill="1" applyBorder="1"/>
    <xf numFmtId="0" fontId="7" fillId="10" borderId="10" xfId="0" applyFont="1" applyFill="1" applyBorder="1"/>
    <xf numFmtId="0" fontId="7" fillId="10" borderId="4" xfId="0" applyFont="1" applyFill="1" applyBorder="1"/>
    <xf numFmtId="0" fontId="7" fillId="10" borderId="7" xfId="0" applyFont="1" applyFill="1" applyBorder="1"/>
    <xf numFmtId="0" fontId="7" fillId="10" borderId="14" xfId="0" applyFont="1" applyFill="1" applyBorder="1"/>
    <xf numFmtId="0" fontId="8" fillId="10" borderId="18" xfId="0" applyFont="1" applyFill="1" applyBorder="1"/>
    <xf numFmtId="0" fontId="16" fillId="10" borderId="10" xfId="0" applyFont="1" applyFill="1" applyBorder="1"/>
    <xf numFmtId="0" fontId="16" fillId="11" borderId="11" xfId="0" applyFont="1" applyFill="1" applyBorder="1"/>
    <xf numFmtId="0" fontId="5" fillId="2" borderId="22" xfId="0" applyFont="1" applyFill="1" applyBorder="1" applyAlignment="1">
      <alignment horizontal="left" indent="1"/>
    </xf>
    <xf numFmtId="0" fontId="5" fillId="2" borderId="26" xfId="0" applyFont="1" applyFill="1" applyBorder="1" applyAlignment="1">
      <alignment horizontal="left" indent="1"/>
    </xf>
    <xf numFmtId="0" fontId="5" fillId="2" borderId="32" xfId="0" applyFont="1" applyFill="1" applyBorder="1" applyAlignment="1">
      <alignment horizontal="left" indent="1"/>
    </xf>
    <xf numFmtId="0" fontId="5" fillId="2" borderId="33" xfId="0" applyFont="1" applyFill="1" applyBorder="1" applyAlignment="1">
      <alignment horizontal="left" indent="1"/>
    </xf>
  </cellXfs>
  <cellStyles count="4">
    <cellStyle name="Обычный" xfId="0" builtinId="0"/>
    <cellStyle name="Процентный" xfId="2" builtinId="5"/>
    <cellStyle name="Финансовый" xfId="1" builtinId="3"/>
    <cellStyle name="Финансовый 2" xfId="3" xr:uid="{97E5ED80-8131-405F-AAFE-E8F0654AA34A}"/>
  </cellStyles>
  <dxfs count="1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zoomScale="80" zoomScaleNormal="80" zoomScaleSheetLayoutView="95" workbookViewId="0">
      <selection activeCell="N12" sqref="N12"/>
    </sheetView>
  </sheetViews>
  <sheetFormatPr defaultRowHeight="15" x14ac:dyDescent="0.25"/>
  <cols>
    <col min="1" max="1" width="3.5703125" style="53" customWidth="1"/>
    <col min="2" max="2" width="33" bestFit="1" customWidth="1"/>
    <col min="3" max="3" width="19" customWidth="1"/>
    <col min="4" max="4" width="11.28515625" style="2" bestFit="1" customWidth="1"/>
    <col min="5" max="5" width="11.28515625" style="2" customWidth="1"/>
    <col min="6" max="6" width="3.5703125" style="2" customWidth="1"/>
    <col min="7" max="7" width="32.140625" style="2" bestFit="1" customWidth="1"/>
    <col min="8" max="8" width="11" style="2" customWidth="1"/>
    <col min="9" max="9" width="12" style="2" bestFit="1" customWidth="1"/>
    <col min="10" max="10" width="31" style="2" customWidth="1"/>
    <col min="11" max="11" width="12.42578125" customWidth="1"/>
    <col min="12" max="12" width="8.42578125" customWidth="1"/>
    <col min="13" max="13" width="29.42578125" style="53" bestFit="1" customWidth="1"/>
    <col min="14" max="14" width="11.28515625" style="53" bestFit="1" customWidth="1"/>
    <col min="15" max="18" width="9.140625" style="53"/>
  </cols>
  <sheetData>
    <row r="1" spans="2:14" s="53" customFormat="1" x14ac:dyDescent="0.25">
      <c r="D1" s="54"/>
      <c r="E1" s="54"/>
      <c r="G1" s="54"/>
      <c r="H1" s="54"/>
      <c r="I1" s="54"/>
      <c r="J1" s="54"/>
      <c r="L1" s="52"/>
    </row>
    <row r="2" spans="2:14" x14ac:dyDescent="0.25">
      <c r="B2" s="55" t="s">
        <v>36</v>
      </c>
      <c r="C2" s="56" t="s">
        <v>37</v>
      </c>
      <c r="D2" s="57" t="s">
        <v>40</v>
      </c>
      <c r="E2" s="54"/>
      <c r="F2" s="53"/>
      <c r="G2" s="55" t="s">
        <v>63</v>
      </c>
      <c r="H2" s="56" t="s">
        <v>55</v>
      </c>
      <c r="I2" s="54"/>
      <c r="J2" s="55" t="s">
        <v>43</v>
      </c>
      <c r="K2" s="58"/>
      <c r="L2" s="52"/>
      <c r="M2" s="59" t="s">
        <v>42</v>
      </c>
      <c r="N2" s="57"/>
    </row>
    <row r="3" spans="2:14" x14ac:dyDescent="0.25">
      <c r="B3" s="40" t="s">
        <v>16</v>
      </c>
      <c r="C3" s="7">
        <v>410000</v>
      </c>
      <c r="D3" s="43">
        <f>Зарплата!S4</f>
        <v>151500</v>
      </c>
      <c r="E3" s="54"/>
      <c r="F3" s="53"/>
      <c r="G3" s="40" t="s">
        <v>56</v>
      </c>
      <c r="H3" s="7">
        <v>1000</v>
      </c>
      <c r="I3" s="54"/>
      <c r="J3" s="77" t="s">
        <v>7</v>
      </c>
      <c r="K3" s="115">
        <v>0.02</v>
      </c>
      <c r="L3" s="52"/>
      <c r="M3" s="48" t="s">
        <v>2</v>
      </c>
      <c r="N3" s="8">
        <v>32000</v>
      </c>
    </row>
    <row r="4" spans="2:14" x14ac:dyDescent="0.25">
      <c r="B4" s="41" t="s">
        <v>17</v>
      </c>
      <c r="C4" s="3">
        <v>320000</v>
      </c>
      <c r="D4" s="43">
        <f>Зарплата!S5</f>
        <v>109500</v>
      </c>
      <c r="E4" s="54"/>
      <c r="F4" s="53"/>
      <c r="G4" s="41" t="s">
        <v>57</v>
      </c>
      <c r="H4" s="3">
        <v>1000</v>
      </c>
      <c r="I4" s="54"/>
      <c r="J4" s="41" t="s">
        <v>13</v>
      </c>
      <c r="K4" s="117">
        <v>0.1</v>
      </c>
      <c r="L4" s="52"/>
      <c r="M4" s="49" t="s">
        <v>3</v>
      </c>
      <c r="N4" s="4">
        <v>47000</v>
      </c>
    </row>
    <row r="5" spans="2:14" x14ac:dyDescent="0.25">
      <c r="B5" s="41" t="s">
        <v>18</v>
      </c>
      <c r="C5" s="3">
        <v>230000</v>
      </c>
      <c r="D5" s="43">
        <f>Зарплата!S6</f>
        <v>104500</v>
      </c>
      <c r="E5" s="54"/>
      <c r="F5" s="53"/>
      <c r="G5" s="41" t="s">
        <v>58</v>
      </c>
      <c r="H5" s="3">
        <v>5000</v>
      </c>
      <c r="I5" s="54"/>
      <c r="J5" s="41" t="s">
        <v>133</v>
      </c>
      <c r="K5" s="118">
        <v>9</v>
      </c>
      <c r="L5" s="52"/>
      <c r="M5" s="49" t="s">
        <v>4</v>
      </c>
      <c r="N5" s="4">
        <v>35000</v>
      </c>
    </row>
    <row r="6" spans="2:14" x14ac:dyDescent="0.25">
      <c r="B6" s="41" t="s">
        <v>19</v>
      </c>
      <c r="C6" s="3">
        <v>130000</v>
      </c>
      <c r="D6" s="43">
        <f>Зарплата!S7</f>
        <v>39000</v>
      </c>
      <c r="E6" s="54"/>
      <c r="F6" s="53"/>
      <c r="G6" s="41" t="s">
        <v>59</v>
      </c>
      <c r="H6" s="3">
        <v>500</v>
      </c>
      <c r="I6" s="54"/>
      <c r="J6" s="41" t="s">
        <v>134</v>
      </c>
      <c r="K6" s="119">
        <v>30000</v>
      </c>
      <c r="L6" s="52"/>
      <c r="M6" s="49" t="s">
        <v>5</v>
      </c>
      <c r="N6" s="4">
        <v>50000</v>
      </c>
    </row>
    <row r="7" spans="2:14" x14ac:dyDescent="0.25">
      <c r="B7" s="41" t="s">
        <v>195</v>
      </c>
      <c r="C7" s="3">
        <v>240000</v>
      </c>
      <c r="D7" s="43">
        <f>Зарплата!S8</f>
        <v>106000</v>
      </c>
      <c r="E7" s="54"/>
      <c r="F7" s="53"/>
      <c r="G7" s="41" t="s">
        <v>60</v>
      </c>
      <c r="H7" s="3">
        <v>500</v>
      </c>
      <c r="I7" s="54"/>
      <c r="J7" s="41" t="s">
        <v>132</v>
      </c>
      <c r="K7" s="117">
        <v>0.13</v>
      </c>
      <c r="L7" s="52"/>
      <c r="M7" s="50" t="s">
        <v>6</v>
      </c>
      <c r="N7" s="6">
        <v>52500</v>
      </c>
    </row>
    <row r="8" spans="2:14" x14ac:dyDescent="0.25">
      <c r="B8" s="41" t="s">
        <v>20</v>
      </c>
      <c r="C8" s="3">
        <v>170000</v>
      </c>
      <c r="D8" s="43">
        <f>Зарплата!S9</f>
        <v>70000</v>
      </c>
      <c r="E8" s="54"/>
      <c r="F8" s="53"/>
      <c r="G8" s="41" t="s">
        <v>61</v>
      </c>
      <c r="H8" s="3">
        <v>1000</v>
      </c>
      <c r="I8" s="54"/>
      <c r="J8" s="41" t="s">
        <v>135</v>
      </c>
      <c r="K8" s="117">
        <v>0.22</v>
      </c>
      <c r="L8" s="52"/>
    </row>
    <row r="9" spans="2:14" x14ac:dyDescent="0.25">
      <c r="B9" s="41" t="s">
        <v>21</v>
      </c>
      <c r="C9" s="3">
        <v>0</v>
      </c>
      <c r="D9" s="43">
        <f>Зарплата!S10</f>
        <v>70000</v>
      </c>
      <c r="E9" s="54"/>
      <c r="F9" s="53"/>
      <c r="G9" s="41" t="s">
        <v>62</v>
      </c>
      <c r="H9" s="3">
        <v>5000</v>
      </c>
      <c r="I9" s="54"/>
      <c r="J9" s="41" t="s">
        <v>136</v>
      </c>
      <c r="K9" s="117">
        <v>5.0999999999999997E-2</v>
      </c>
      <c r="L9" s="52"/>
      <c r="M9" s="55" t="s">
        <v>128</v>
      </c>
      <c r="N9" s="58"/>
    </row>
    <row r="10" spans="2:14" x14ac:dyDescent="0.25">
      <c r="B10" s="41" t="s">
        <v>22</v>
      </c>
      <c r="C10" s="3">
        <v>140000</v>
      </c>
      <c r="D10" s="43">
        <f>Зарплата!S11</f>
        <v>70000</v>
      </c>
      <c r="E10" s="54"/>
      <c r="F10" s="53"/>
      <c r="G10" s="54"/>
      <c r="H10" s="54"/>
      <c r="I10" s="54"/>
      <c r="J10" s="41" t="s">
        <v>137</v>
      </c>
      <c r="K10" s="117">
        <v>2.9000000000000001E-2</v>
      </c>
      <c r="L10" s="52"/>
      <c r="M10" s="41" t="s">
        <v>126</v>
      </c>
      <c r="N10" s="9">
        <v>20000</v>
      </c>
    </row>
    <row r="11" spans="2:14" x14ac:dyDescent="0.25">
      <c r="B11" s="41" t="s">
        <v>23</v>
      </c>
      <c r="C11" s="3">
        <v>0</v>
      </c>
      <c r="D11" s="43">
        <f>Зарплата!S12</f>
        <v>70000</v>
      </c>
      <c r="E11" s="54"/>
      <c r="F11" s="53"/>
      <c r="G11" s="53"/>
      <c r="H11" s="53"/>
      <c r="I11" s="54"/>
      <c r="J11" s="42" t="s">
        <v>138</v>
      </c>
      <c r="K11" s="116">
        <v>2E-3</v>
      </c>
      <c r="L11" s="52"/>
      <c r="M11" s="41" t="s">
        <v>8</v>
      </c>
      <c r="N11" s="9">
        <f>200000/5</f>
        <v>40000</v>
      </c>
    </row>
    <row r="12" spans="2:14" x14ac:dyDescent="0.25">
      <c r="B12" s="41" t="s">
        <v>24</v>
      </c>
      <c r="C12" s="3">
        <v>90000</v>
      </c>
      <c r="D12" s="43">
        <f>Зарплата!S13</f>
        <v>70000</v>
      </c>
      <c r="E12" s="54"/>
      <c r="F12" s="53"/>
      <c r="G12" s="53"/>
      <c r="H12" s="53"/>
      <c r="I12" s="54"/>
      <c r="J12" s="54"/>
      <c r="K12" s="54"/>
      <c r="L12" s="52"/>
      <c r="M12" s="182" t="s">
        <v>179</v>
      </c>
      <c r="N12" s="9">
        <v>5000</v>
      </c>
    </row>
    <row r="13" spans="2:14" x14ac:dyDescent="0.25">
      <c r="B13" s="41" t="s">
        <v>25</v>
      </c>
      <c r="C13" s="3">
        <v>260000</v>
      </c>
      <c r="D13" s="43">
        <f>Зарплата!S14</f>
        <v>109000</v>
      </c>
      <c r="E13" s="54"/>
      <c r="F13" s="53"/>
      <c r="G13" s="55" t="s">
        <v>41</v>
      </c>
      <c r="H13" s="58" t="s">
        <v>38</v>
      </c>
      <c r="I13" s="54"/>
      <c r="J13" s="183"/>
      <c r="K13" s="183"/>
      <c r="L13" s="52"/>
      <c r="M13" s="41" t="s">
        <v>27</v>
      </c>
      <c r="N13" s="9">
        <v>5000</v>
      </c>
    </row>
    <row r="14" spans="2:14" x14ac:dyDescent="0.25">
      <c r="B14" s="42" t="s">
        <v>26</v>
      </c>
      <c r="C14" s="5">
        <v>120000</v>
      </c>
      <c r="D14" s="72">
        <f>Зарплата!S15</f>
        <v>70000</v>
      </c>
      <c r="E14" s="54"/>
      <c r="F14" s="53"/>
      <c r="G14" s="40" t="s">
        <v>30</v>
      </c>
      <c r="H14" s="11">
        <v>60000</v>
      </c>
      <c r="I14" s="54"/>
      <c r="J14" s="183"/>
      <c r="K14" s="183"/>
      <c r="L14" s="52"/>
      <c r="M14" s="41" t="s">
        <v>9</v>
      </c>
      <c r="N14" s="9">
        <f>((K6*K7)+(K6*K8)+(K6*K9)+(K6*K10)+(K6*K11))*K5</f>
        <v>116640</v>
      </c>
    </row>
    <row r="15" spans="2:14" x14ac:dyDescent="0.25">
      <c r="B15" s="53"/>
      <c r="C15" s="53"/>
      <c r="D15" s="53"/>
      <c r="E15" s="54"/>
      <c r="F15" s="53"/>
      <c r="G15" s="41" t="s">
        <v>28</v>
      </c>
      <c r="H15" s="9">
        <v>50000</v>
      </c>
      <c r="I15" s="54"/>
      <c r="J15" s="183"/>
      <c r="K15" s="183"/>
      <c r="L15" s="52"/>
      <c r="M15" s="41" t="s">
        <v>10</v>
      </c>
      <c r="N15" s="9">
        <v>7000</v>
      </c>
    </row>
    <row r="16" spans="2:14" x14ac:dyDescent="0.25">
      <c r="B16" s="60"/>
      <c r="C16" s="61" t="s">
        <v>38</v>
      </c>
      <c r="D16" s="61" t="s">
        <v>39</v>
      </c>
      <c r="E16" s="63" t="s">
        <v>53</v>
      </c>
      <c r="F16" s="53"/>
      <c r="G16" s="41" t="s">
        <v>29</v>
      </c>
      <c r="H16" s="9">
        <v>40000</v>
      </c>
      <c r="I16" s="54"/>
      <c r="J16" s="183"/>
      <c r="K16" s="183"/>
      <c r="L16" s="52"/>
      <c r="M16" s="41" t="s">
        <v>105</v>
      </c>
      <c r="N16" s="9">
        <v>5000</v>
      </c>
    </row>
    <row r="17" spans="2:15" x14ac:dyDescent="0.25">
      <c r="B17" s="62" t="s">
        <v>44</v>
      </c>
      <c r="C17" s="67">
        <v>70000</v>
      </c>
      <c r="D17" s="68">
        <v>0.15</v>
      </c>
      <c r="E17" s="69">
        <v>0.05</v>
      </c>
      <c r="F17" s="53"/>
      <c r="G17" s="41" t="s">
        <v>33</v>
      </c>
      <c r="H17" s="9">
        <v>10000</v>
      </c>
      <c r="I17" s="54"/>
      <c r="J17" s="183"/>
      <c r="K17" s="183"/>
      <c r="L17" s="52"/>
      <c r="M17" s="41" t="s">
        <v>104</v>
      </c>
      <c r="N17" s="9">
        <v>5000</v>
      </c>
      <c r="O17" s="54"/>
    </row>
    <row r="18" spans="2:15" x14ac:dyDescent="0.25">
      <c r="B18" s="62" t="s">
        <v>46</v>
      </c>
      <c r="C18" s="67">
        <v>0</v>
      </c>
      <c r="D18" s="68">
        <v>0.3</v>
      </c>
      <c r="E18" s="69">
        <v>0.1</v>
      </c>
      <c r="F18" s="53"/>
      <c r="G18" s="41" t="s">
        <v>34</v>
      </c>
      <c r="H18" s="9">
        <v>5000</v>
      </c>
      <c r="I18" s="54"/>
      <c r="J18" s="183"/>
      <c r="K18" s="183"/>
      <c r="L18" s="52"/>
      <c r="M18" s="182" t="s">
        <v>188</v>
      </c>
      <c r="N18" s="9">
        <v>10000</v>
      </c>
      <c r="O18" s="54"/>
    </row>
    <row r="19" spans="2:15" x14ac:dyDescent="0.25">
      <c r="B19" s="282" t="s">
        <v>48</v>
      </c>
      <c r="C19" s="283"/>
      <c r="D19" s="70">
        <v>200000</v>
      </c>
      <c r="E19" s="82"/>
      <c r="F19" s="53"/>
      <c r="G19" s="41" t="s">
        <v>31</v>
      </c>
      <c r="H19" s="9">
        <v>35000</v>
      </c>
      <c r="I19" s="54"/>
      <c r="J19" s="183"/>
      <c r="K19" s="183"/>
      <c r="L19" s="52"/>
      <c r="M19" s="41" t="s">
        <v>122</v>
      </c>
      <c r="N19" s="9">
        <v>15000</v>
      </c>
      <c r="O19" s="54"/>
    </row>
    <row r="20" spans="2:15" x14ac:dyDescent="0.25">
      <c r="B20" s="280" t="s">
        <v>49</v>
      </c>
      <c r="C20" s="281"/>
      <c r="D20" s="71">
        <v>400000</v>
      </c>
      <c r="E20" s="83"/>
      <c r="F20" s="53"/>
      <c r="G20" s="42" t="s">
        <v>32</v>
      </c>
      <c r="H20" s="10">
        <v>100000</v>
      </c>
      <c r="I20" s="54"/>
      <c r="J20" s="183"/>
      <c r="K20" s="183"/>
      <c r="L20" s="52"/>
      <c r="M20" s="41" t="s">
        <v>129</v>
      </c>
      <c r="N20" s="9">
        <v>20000</v>
      </c>
      <c r="O20" s="54"/>
    </row>
    <row r="21" spans="2:15" x14ac:dyDescent="0.25">
      <c r="B21" s="53"/>
      <c r="C21" s="53"/>
      <c r="D21" s="53"/>
      <c r="E21" s="53"/>
      <c r="F21" s="54"/>
      <c r="G21" s="54"/>
      <c r="H21" s="54"/>
      <c r="I21" s="54"/>
      <c r="J21" s="183"/>
      <c r="K21" s="183"/>
      <c r="L21" s="53"/>
      <c r="M21" s="41" t="s">
        <v>87</v>
      </c>
      <c r="N21" s="9">
        <v>25000</v>
      </c>
      <c r="O21" s="54"/>
    </row>
    <row r="22" spans="2:15" x14ac:dyDescent="0.25">
      <c r="B22" s="53"/>
      <c r="C22" s="53"/>
      <c r="D22" s="54"/>
      <c r="E22" s="54"/>
      <c r="F22" s="53"/>
      <c r="G22" s="53"/>
      <c r="H22" s="53"/>
      <c r="I22" s="54"/>
      <c r="J22" s="183"/>
      <c r="K22" s="183"/>
      <c r="L22" s="52"/>
      <c r="M22" s="41" t="s">
        <v>95</v>
      </c>
      <c r="N22" s="9">
        <v>40000</v>
      </c>
      <c r="O22" s="54"/>
    </row>
    <row r="23" spans="2:15" s="53" customFormat="1" x14ac:dyDescent="0.25">
      <c r="F23" s="54"/>
      <c r="I23" s="54"/>
      <c r="J23" s="183"/>
      <c r="K23" s="183"/>
      <c r="M23" s="182" t="s">
        <v>160</v>
      </c>
      <c r="N23" s="9">
        <v>3000</v>
      </c>
    </row>
    <row r="24" spans="2:15" s="53" customFormat="1" x14ac:dyDescent="0.25">
      <c r="I24" s="54"/>
      <c r="M24" s="51" t="s">
        <v>101</v>
      </c>
      <c r="N24" s="10">
        <v>5000</v>
      </c>
    </row>
    <row r="25" spans="2:15" s="53" customFormat="1" x14ac:dyDescent="0.25">
      <c r="D25" s="54"/>
      <c r="E25" s="54"/>
      <c r="F25" s="54"/>
      <c r="G25" s="54"/>
      <c r="H25" s="54"/>
      <c r="I25" s="54"/>
    </row>
    <row r="26" spans="2:15" s="53" customFormat="1" x14ac:dyDescent="0.25">
      <c r="D26" s="54"/>
      <c r="E26" s="54"/>
      <c r="F26" s="54"/>
      <c r="G26" s="54"/>
      <c r="H26" s="54"/>
      <c r="I26" s="54"/>
    </row>
    <row r="27" spans="2:15" s="53" customFormat="1" x14ac:dyDescent="0.25">
      <c r="D27" s="54"/>
      <c r="E27" s="54"/>
      <c r="F27" s="54"/>
      <c r="G27" s="54"/>
      <c r="H27" s="54"/>
      <c r="I27" s="54"/>
      <c r="J27" s="54"/>
    </row>
    <row r="28" spans="2:15" s="53" customFormat="1" x14ac:dyDescent="0.25">
      <c r="D28" s="54"/>
      <c r="E28" s="54"/>
      <c r="F28" s="54"/>
      <c r="G28" s="54"/>
      <c r="H28" s="54"/>
      <c r="I28" s="54"/>
      <c r="J28" s="54"/>
    </row>
    <row r="29" spans="2:15" s="53" customFormat="1" x14ac:dyDescent="0.25">
      <c r="D29" s="54"/>
      <c r="E29" s="54"/>
      <c r="F29" s="54"/>
      <c r="G29" s="54"/>
      <c r="H29" s="54"/>
      <c r="I29" s="54"/>
      <c r="J29" s="54"/>
    </row>
    <row r="30" spans="2:15" s="53" customFormat="1" x14ac:dyDescent="0.25">
      <c r="D30" s="54"/>
      <c r="E30" s="54"/>
      <c r="F30" s="54"/>
      <c r="G30" s="54"/>
      <c r="H30" s="54"/>
      <c r="I30" s="54"/>
      <c r="J30" s="54"/>
    </row>
    <row r="31" spans="2:15" s="53" customFormat="1" x14ac:dyDescent="0.25">
      <c r="D31" s="54"/>
      <c r="E31" s="54"/>
      <c r="F31" s="54"/>
      <c r="G31" s="54"/>
      <c r="H31" s="54"/>
      <c r="I31" s="54"/>
      <c r="J31" s="54"/>
    </row>
    <row r="32" spans="2:15" s="53" customFormat="1" x14ac:dyDescent="0.25">
      <c r="D32" s="54"/>
      <c r="E32" s="54"/>
      <c r="F32" s="54"/>
      <c r="G32" s="54"/>
      <c r="H32" s="54"/>
      <c r="I32" s="54"/>
      <c r="J32" s="54"/>
    </row>
    <row r="33" spans="4:10" s="53" customFormat="1" x14ac:dyDescent="0.25">
      <c r="D33" s="54"/>
      <c r="E33" s="54"/>
      <c r="F33" s="54"/>
      <c r="G33" s="54"/>
      <c r="H33" s="54"/>
      <c r="I33" s="54"/>
      <c r="J33" s="54"/>
    </row>
    <row r="34" spans="4:10" s="53" customFormat="1" x14ac:dyDescent="0.25">
      <c r="D34" s="54"/>
      <c r="E34" s="54"/>
      <c r="F34" s="54"/>
      <c r="G34" s="54"/>
      <c r="H34" s="54"/>
      <c r="I34" s="54"/>
      <c r="J34" s="54"/>
    </row>
    <row r="35" spans="4:10" s="53" customFormat="1" x14ac:dyDescent="0.25">
      <c r="D35" s="54"/>
      <c r="E35" s="54"/>
      <c r="F35" s="54"/>
      <c r="G35" s="54"/>
      <c r="H35" s="54"/>
      <c r="I35" s="54"/>
      <c r="J35" s="54"/>
    </row>
    <row r="36" spans="4:10" s="53" customFormat="1" x14ac:dyDescent="0.25">
      <c r="D36" s="54"/>
      <c r="E36" s="54"/>
      <c r="F36" s="54"/>
      <c r="G36" s="54"/>
      <c r="H36" s="54"/>
      <c r="I36" s="54"/>
      <c r="J36" s="54"/>
    </row>
  </sheetData>
  <mergeCells count="2">
    <mergeCell ref="B20:C20"/>
    <mergeCell ref="B19:C19"/>
  </mergeCells>
  <pageMargins left="0.7" right="0.7" top="0.75" bottom="0.75" header="0.3" footer="0.3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7E4F-DDC2-42D8-A839-919E7BD4B22B}">
  <dimension ref="A1:AA26"/>
  <sheetViews>
    <sheetView workbookViewId="0">
      <selection activeCell="M9" sqref="M9"/>
    </sheetView>
  </sheetViews>
  <sheetFormatPr defaultRowHeight="15" x14ac:dyDescent="0.25"/>
  <cols>
    <col min="1" max="1" width="3.42578125" customWidth="1"/>
    <col min="2" max="2" width="33" bestFit="1" customWidth="1"/>
    <col min="3" max="3" width="12.28515625" hidden="1" customWidth="1"/>
    <col min="4" max="4" width="12" bestFit="1" customWidth="1"/>
    <col min="5" max="5" width="14.42578125" bestFit="1" customWidth="1"/>
    <col min="6" max="6" width="9.42578125" hidden="1" customWidth="1"/>
    <col min="7" max="7" width="10.85546875" hidden="1" customWidth="1"/>
    <col min="8" max="8" width="9.42578125" hidden="1" customWidth="1"/>
    <col min="9" max="10" width="10.42578125" hidden="1" customWidth="1"/>
    <col min="11" max="11" width="11" hidden="1" customWidth="1"/>
    <col min="12" max="12" width="12.28515625" bestFit="1" customWidth="1"/>
    <col min="13" max="13" width="11.5703125" customWidth="1"/>
    <col min="14" max="14" width="14.7109375" bestFit="1" customWidth="1"/>
    <col min="15" max="15" width="12.28515625" customWidth="1"/>
    <col min="16" max="16" width="10.140625" bestFit="1" customWidth="1"/>
    <col min="17" max="17" width="13.7109375" bestFit="1" customWidth="1"/>
    <col min="18" max="18" width="14.7109375" bestFit="1" customWidth="1"/>
    <col min="19" max="19" width="12" bestFit="1" customWidth="1"/>
  </cols>
  <sheetData>
    <row r="1" spans="1:27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</row>
    <row r="2" spans="1:27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x14ac:dyDescent="0.25">
      <c r="A3" s="53"/>
      <c r="B3" s="73" t="s">
        <v>36</v>
      </c>
      <c r="C3" s="74" t="s">
        <v>37</v>
      </c>
      <c r="D3" s="74" t="s">
        <v>45</v>
      </c>
      <c r="E3" s="74" t="s">
        <v>50</v>
      </c>
      <c r="F3" s="74" t="s">
        <v>38</v>
      </c>
      <c r="G3" s="74" t="s">
        <v>47</v>
      </c>
      <c r="H3" s="74" t="s">
        <v>39</v>
      </c>
      <c r="I3" s="74" t="s">
        <v>52</v>
      </c>
      <c r="J3" s="74" t="s">
        <v>53</v>
      </c>
      <c r="K3" s="74" t="s">
        <v>73</v>
      </c>
      <c r="L3" s="75" t="s">
        <v>54</v>
      </c>
      <c r="M3" s="75" t="s">
        <v>64</v>
      </c>
      <c r="N3" s="75" t="s">
        <v>65</v>
      </c>
      <c r="O3" s="75" t="s">
        <v>66</v>
      </c>
      <c r="P3" s="75" t="s">
        <v>67</v>
      </c>
      <c r="Q3" s="75" t="s">
        <v>68</v>
      </c>
      <c r="R3" s="75" t="s">
        <v>69</v>
      </c>
      <c r="S3" s="76" t="s">
        <v>40</v>
      </c>
      <c r="T3" s="53"/>
      <c r="U3" s="53"/>
      <c r="V3" s="53"/>
      <c r="W3" s="53"/>
      <c r="X3" s="53"/>
      <c r="Y3" s="53"/>
      <c r="Z3" s="53"/>
      <c r="AA3" s="53"/>
    </row>
    <row r="4" spans="1:27" x14ac:dyDescent="0.25">
      <c r="A4" s="53"/>
      <c r="B4" s="77" t="s">
        <v>16</v>
      </c>
      <c r="C4" s="79">
        <f>Данные!C3</f>
        <v>410000</v>
      </c>
      <c r="D4" s="78" t="s">
        <v>44</v>
      </c>
      <c r="E4" s="78" t="s">
        <v>51</v>
      </c>
      <c r="F4" s="79">
        <f>IF(D4="Мастер 1",Данные!$C$17,Данные!$C$18)</f>
        <v>70000</v>
      </c>
      <c r="G4" s="79">
        <f>IF(AND(D4="Мастер 1",NOT(E4="нет")),0,Данные!$D$19)</f>
        <v>200000</v>
      </c>
      <c r="H4" s="79">
        <f>IF(D4="Мастер 1",IF(C4&lt;G4,0,C4*Данные!$D$17),C4*Данные!$D$18)</f>
        <v>61500</v>
      </c>
      <c r="I4" s="79">
        <f>IF(E4="нет",Данные!$D$20,Данные!$D$20/4*3)</f>
        <v>400000</v>
      </c>
      <c r="J4" s="79">
        <f>IF(D4="Мастер 1",IF(C4&gt;=I4,I4*Данные!$E$17,0),IF(C4&gt;=I4,I4*Данные!$E$18,0))</f>
        <v>20000</v>
      </c>
      <c r="K4" s="79">
        <f>IF(E4="ОТК",SUM($M$4:$M$15)*Данные!$H$4/2,0)</f>
        <v>0</v>
      </c>
      <c r="L4" s="80"/>
      <c r="M4" s="80"/>
      <c r="N4" s="80"/>
      <c r="O4" s="80"/>
      <c r="P4" s="80"/>
      <c r="Q4" s="80"/>
      <c r="R4" s="80"/>
      <c r="S4" s="81">
        <f>F4+H4+J4+K4-(Данные!$H$3*Зарплата!L4+Данные!$H$4*Зарплата!M4+Данные!$H$5*Зарплата!N4+Данные!$H$6*Зарплата!O4+Данные!$H$7*Зарплата!P4+Данные!$H$8*Зарплата!Q4+Данные!$H$9*Зарплата!R4)</f>
        <v>151500</v>
      </c>
      <c r="T4" s="53"/>
      <c r="U4" s="53"/>
      <c r="V4" s="53"/>
      <c r="W4" s="53"/>
      <c r="X4" s="53"/>
      <c r="Y4" s="53"/>
      <c r="Z4" s="53"/>
      <c r="AA4" s="53"/>
    </row>
    <row r="5" spans="1:27" x14ac:dyDescent="0.25">
      <c r="A5" s="53"/>
      <c r="B5" s="41" t="s">
        <v>17</v>
      </c>
      <c r="C5" s="44">
        <f>Данные!C4</f>
        <v>320000</v>
      </c>
      <c r="D5" s="3" t="s">
        <v>44</v>
      </c>
      <c r="E5" s="3" t="s">
        <v>51</v>
      </c>
      <c r="F5" s="44">
        <f>IF(D5="Мастер 1",Данные!$C$17,Данные!$C$18)</f>
        <v>70000</v>
      </c>
      <c r="G5" s="44">
        <f>IF(AND(D5="Мастер 1",NOT(E5="нет")),0,Данные!$D$19)</f>
        <v>200000</v>
      </c>
      <c r="H5" s="44">
        <f>IF(D5="Мастер 1",IF(C5&lt;G5,0,C5*Данные!$D$17),C5*Данные!$D$18)</f>
        <v>48000</v>
      </c>
      <c r="I5" s="44">
        <f>IF(E5="нет",Данные!$D$20,Данные!$D$20/4*3)</f>
        <v>400000</v>
      </c>
      <c r="J5" s="44">
        <f>IF(D5="Мастер 1",IF(C5&gt;=I5,I5*Данные!$E$17,0),IF(C5&gt;=I5,I5*Данные!$E$18,0))</f>
        <v>0</v>
      </c>
      <c r="K5" s="44">
        <f>IF(E5="ОТК",SUM($M$4:$M$15)*Данные!$H$4/2,0)</f>
        <v>0</v>
      </c>
      <c r="L5" s="64">
        <v>1</v>
      </c>
      <c r="M5" s="64"/>
      <c r="N5" s="64"/>
      <c r="O5" s="64"/>
      <c r="P5" s="64">
        <v>5</v>
      </c>
      <c r="Q5" s="64"/>
      <c r="R5" s="64">
        <v>1</v>
      </c>
      <c r="S5" s="45">
        <f>F5+H5+J5+K5-(Данные!$H$3*Зарплата!L5+Данные!$H$4*Зарплата!M5+Данные!$H$5*Зарплата!N5+Данные!$H$6*Зарплата!O5+Данные!$H$7*Зарплата!P5+Данные!$H$8*Зарплата!Q5+Данные!$H$9*Зарплата!R5)</f>
        <v>109500</v>
      </c>
      <c r="T5" s="53"/>
      <c r="U5" s="53"/>
      <c r="V5" s="53"/>
      <c r="W5" s="53"/>
      <c r="X5" s="53"/>
      <c r="Y5" s="53"/>
      <c r="Z5" s="53"/>
      <c r="AA5" s="53"/>
    </row>
    <row r="6" spans="1:27" x14ac:dyDescent="0.25">
      <c r="A6" s="53"/>
      <c r="B6" s="41" t="s">
        <v>18</v>
      </c>
      <c r="C6" s="44">
        <f>Данные!C5</f>
        <v>230000</v>
      </c>
      <c r="D6" s="3" t="s">
        <v>44</v>
      </c>
      <c r="E6" s="3" t="s">
        <v>51</v>
      </c>
      <c r="F6" s="44">
        <f>IF(D6="Мастер 1",Данные!$C$17,Данные!$C$18)</f>
        <v>70000</v>
      </c>
      <c r="G6" s="44">
        <f>IF(AND(D6="Мастер 1",NOT(E6="нет")),0,Данные!$D$19)</f>
        <v>200000</v>
      </c>
      <c r="H6" s="44">
        <f>IF(D6="Мастер 1",IF(C6&lt;G6,0,C6*Данные!$D$17),C6*Данные!$D$18)</f>
        <v>34500</v>
      </c>
      <c r="I6" s="44">
        <f>IF(E6="нет",Данные!$D$20,Данные!$D$20/4*3)</f>
        <v>400000</v>
      </c>
      <c r="J6" s="44">
        <f>IF(D6="Мастер 1",IF(C6&gt;=I6,I6*Данные!$E$17,0),IF(C6&gt;=I6,I6*Данные!$E$18,0))</f>
        <v>0</v>
      </c>
      <c r="K6" s="44">
        <f>IF(E6="ОТК",SUM($M$4:$M$15)*Данные!$H$4/2,0)</f>
        <v>0</v>
      </c>
      <c r="L6" s="64"/>
      <c r="M6" s="64"/>
      <c r="N6" s="64"/>
      <c r="O6" s="64"/>
      <c r="P6" s="64"/>
      <c r="Q6" s="64"/>
      <c r="R6" s="64"/>
      <c r="S6" s="45">
        <f>F6+H6+J6+K6-(Данные!$H$3*Зарплата!L6+Данные!$H$4*Зарплата!M6+Данные!$H$5*Зарплата!N6+Данные!$H$6*Зарплата!O6+Данные!$H$7*Зарплата!P6+Данные!$H$8*Зарплата!Q6+Данные!$H$9*Зарплата!R6)</f>
        <v>104500</v>
      </c>
      <c r="T6" s="53"/>
      <c r="U6" s="53"/>
      <c r="V6" s="53"/>
      <c r="W6" s="53"/>
      <c r="X6" s="53"/>
      <c r="Y6" s="53"/>
      <c r="Z6" s="53"/>
      <c r="AA6" s="53"/>
    </row>
    <row r="7" spans="1:27" x14ac:dyDescent="0.25">
      <c r="A7" s="53"/>
      <c r="B7" s="41" t="s">
        <v>19</v>
      </c>
      <c r="C7" s="44">
        <f>Данные!C6</f>
        <v>130000</v>
      </c>
      <c r="D7" s="3" t="s">
        <v>46</v>
      </c>
      <c r="E7" s="3" t="s">
        <v>51</v>
      </c>
      <c r="F7" s="44">
        <f>IF(D7="Мастер 1",Данные!$C$17,Данные!$C$18)</f>
        <v>0</v>
      </c>
      <c r="G7" s="44">
        <f>IF(AND(D7="Мастер 1",NOT(E7="нет")),0,Данные!$D$19)</f>
        <v>200000</v>
      </c>
      <c r="H7" s="44">
        <f>IF(D7="Мастер 1",IF(C7&lt;G7,0,C7*Данные!$D$17),C7*Данные!$D$18)</f>
        <v>39000</v>
      </c>
      <c r="I7" s="44">
        <f>IF(E7="нет",Данные!$D$20,Данные!$D$20/4*3)</f>
        <v>400000</v>
      </c>
      <c r="J7" s="44">
        <f>IF(D7="Мастер 1",IF(C7&gt;=I7,I7*Данные!$E$17,0),IF(C7&gt;=I7,I7*Данные!$E$18,0))</f>
        <v>0</v>
      </c>
      <c r="K7" s="44">
        <f>IF(E7="ОТК",SUM($M$4:$M$15)*Данные!$H$4/2,0)</f>
        <v>0</v>
      </c>
      <c r="L7" s="64"/>
      <c r="M7" s="64"/>
      <c r="N7" s="64"/>
      <c r="O7" s="64"/>
      <c r="P7" s="64"/>
      <c r="Q7" s="64"/>
      <c r="R7" s="64"/>
      <c r="S7" s="45">
        <f>F7+H7+J7+K7-(Данные!$H$3*Зарплата!L7+Данные!$H$4*Зарплата!M7+Данные!$H$5*Зарплата!N7+Данные!$H$6*Зарплата!O7+Данные!$H$7*Зарплата!P7+Данные!$H$8*Зарплата!Q7+Данные!$H$9*Зарплата!R7)</f>
        <v>39000</v>
      </c>
      <c r="T7" s="53"/>
      <c r="U7" s="53"/>
      <c r="V7" s="53"/>
      <c r="W7" s="53"/>
      <c r="X7" s="53"/>
      <c r="Y7" s="53"/>
      <c r="Z7" s="53"/>
      <c r="AA7" s="53"/>
    </row>
    <row r="8" spans="1:27" x14ac:dyDescent="0.25">
      <c r="A8" s="53"/>
      <c r="B8" s="41" t="s">
        <v>195</v>
      </c>
      <c r="C8" s="44">
        <f>Данные!C7</f>
        <v>240000</v>
      </c>
      <c r="D8" s="3" t="s">
        <v>44</v>
      </c>
      <c r="E8" s="3" t="s">
        <v>51</v>
      </c>
      <c r="F8" s="44">
        <f>IF(D8="Мастер 1",Данные!$C$17,Данные!$C$18)</f>
        <v>70000</v>
      </c>
      <c r="G8" s="44">
        <f>IF(AND(D8="Мастер 1",NOT(E8="нет")),0,Данные!$D$19)</f>
        <v>200000</v>
      </c>
      <c r="H8" s="44">
        <f>IF(D8="Мастер 1",IF(C8&lt;G8,0,C8*Данные!$D$17),C8*Данные!$D$18)</f>
        <v>36000</v>
      </c>
      <c r="I8" s="44">
        <f>IF(E8="нет",Данные!$D$20,Данные!$D$20/4*3)</f>
        <v>400000</v>
      </c>
      <c r="J8" s="44">
        <f>IF(D8="Мастер 1",IF(C8&gt;=I8,I8*Данные!$E$17,0),IF(C8&gt;=I8,I8*Данные!$E$18,0))</f>
        <v>0</v>
      </c>
      <c r="K8" s="44">
        <f>IF(E8="ОТК",SUM($M$4:$M$15)*Данные!$H$4/2,0)</f>
        <v>0</v>
      </c>
      <c r="L8" s="64"/>
      <c r="M8" s="64"/>
      <c r="N8" s="64"/>
      <c r="O8" s="64"/>
      <c r="P8" s="64"/>
      <c r="Q8" s="64"/>
      <c r="R8" s="64"/>
      <c r="S8" s="45">
        <f>F8+H8+J8+K8-(Данные!$H$3*Зарплата!L8+Данные!$H$4*Зарплата!M8+Данные!$H$5*Зарплата!N8+Данные!$H$6*Зарплата!O8+Данные!$H$7*Зарплата!P8+Данные!$H$8*Зарплата!Q8+Данные!$H$9*Зарплата!R8)</f>
        <v>106000</v>
      </c>
      <c r="T8" s="53"/>
      <c r="U8" s="53"/>
      <c r="V8" s="53"/>
      <c r="W8" s="53"/>
      <c r="X8" s="53"/>
      <c r="Y8" s="53"/>
      <c r="Z8" s="53"/>
      <c r="AA8" s="53"/>
    </row>
    <row r="9" spans="1:27" x14ac:dyDescent="0.25">
      <c r="A9" s="53"/>
      <c r="B9" s="41" t="s">
        <v>20</v>
      </c>
      <c r="C9" s="44">
        <f>Данные!C8</f>
        <v>170000</v>
      </c>
      <c r="D9" s="3" t="s">
        <v>44</v>
      </c>
      <c r="E9" s="3" t="s">
        <v>51</v>
      </c>
      <c r="F9" s="44">
        <f>IF(D9="Мастер 1",Данные!$C$17,Данные!$C$18)</f>
        <v>70000</v>
      </c>
      <c r="G9" s="44">
        <f>IF(AND(D9="Мастер 1",NOT(E9="нет")),0,Данные!$D$19)</f>
        <v>200000</v>
      </c>
      <c r="H9" s="44">
        <f>IF(D9="Мастер 1",IF(C9&lt;G9,0,C9*Данные!$D$17),C9*Данные!$D$18)</f>
        <v>0</v>
      </c>
      <c r="I9" s="44">
        <f>IF(E9="нет",Данные!$D$20,Данные!$D$20/4*3)</f>
        <v>400000</v>
      </c>
      <c r="J9" s="44">
        <f>IF(D9="Мастер 1",IF(C9&gt;=I9,I9*Данные!$E$17,0),IF(C9&gt;=I9,I9*Данные!$E$18,0))</f>
        <v>0</v>
      </c>
      <c r="K9" s="44">
        <f>IF(E9="ОТК",SUM($M$4:$M$15)*Данные!$H$4/2,0)</f>
        <v>0</v>
      </c>
      <c r="L9" s="64"/>
      <c r="M9" s="64"/>
      <c r="N9" s="64"/>
      <c r="O9" s="64"/>
      <c r="P9" s="64"/>
      <c r="Q9" s="64"/>
      <c r="R9" s="64"/>
      <c r="S9" s="45">
        <f>F9+H9+J9+K9-(Данные!$H$3*Зарплата!L9+Данные!$H$4*Зарплата!M9+Данные!$H$5*Зарплата!N9+Данные!$H$6*Зарплата!O9+Данные!$H$7*Зарплата!P9+Данные!$H$8*Зарплата!Q9+Данные!$H$9*Зарплата!R9)</f>
        <v>70000</v>
      </c>
      <c r="T9" s="53"/>
      <c r="U9" s="53"/>
      <c r="V9" s="53"/>
      <c r="W9" s="53"/>
      <c r="X9" s="53"/>
      <c r="Y9" s="53"/>
      <c r="Z9" s="53"/>
      <c r="AA9" s="53"/>
    </row>
    <row r="10" spans="1:27" x14ac:dyDescent="0.25">
      <c r="A10" s="53"/>
      <c r="B10" s="41" t="s">
        <v>21</v>
      </c>
      <c r="C10" s="44">
        <f>Данные!C9</f>
        <v>0</v>
      </c>
      <c r="D10" s="3" t="s">
        <v>44</v>
      </c>
      <c r="E10" s="3" t="s">
        <v>71</v>
      </c>
      <c r="F10" s="44">
        <f>IF(D10="Мастер 1",Данные!$C$17,Данные!$C$18)</f>
        <v>70000</v>
      </c>
      <c r="G10" s="44">
        <f>IF(AND(D10="Мастер 1",NOT(E10="нет")),0,Данные!$D$19)</f>
        <v>0</v>
      </c>
      <c r="H10" s="44">
        <f>IF(D10="Мастер 1",IF(C10&lt;G10,0,C10*Данные!$D$17),C10*Данные!$D$18)</f>
        <v>0</v>
      </c>
      <c r="I10" s="44">
        <f>IF(E10="нет",Данные!$D$20,Данные!$D$20/4*3)</f>
        <v>300000</v>
      </c>
      <c r="J10" s="44">
        <f>IF(D10="Мастер 1",IF(C10&gt;=I10,I10*Данные!$E$17,0),IF(C10&gt;=I10,I10*Данные!$E$18,0))</f>
        <v>0</v>
      </c>
      <c r="K10" s="44">
        <f>IF(E10="ОТК",SUM($M$4:$M$15)*Данные!$H$4/2,0)</f>
        <v>0</v>
      </c>
      <c r="L10" s="64"/>
      <c r="M10" s="64"/>
      <c r="N10" s="64"/>
      <c r="O10" s="64"/>
      <c r="P10" s="64"/>
      <c r="Q10" s="64"/>
      <c r="R10" s="64"/>
      <c r="S10" s="45">
        <f>F10+H10+J10+K10-(Данные!$H$3*Зарплата!L10+Данные!$H$4*Зарплата!M10+Данные!$H$5*Зарплата!N10+Данные!$H$6*Зарплата!O10+Данные!$H$7*Зарплата!P10+Данные!$H$8*Зарплата!Q10+Данные!$H$9*Зарплата!R10)</f>
        <v>70000</v>
      </c>
      <c r="T10" s="53"/>
      <c r="U10" s="53"/>
      <c r="V10" s="53"/>
      <c r="W10" s="53"/>
      <c r="X10" s="53"/>
      <c r="Y10" s="53"/>
      <c r="Z10" s="53"/>
      <c r="AA10" s="53"/>
    </row>
    <row r="11" spans="1:27" x14ac:dyDescent="0.25">
      <c r="A11" s="53"/>
      <c r="B11" s="41" t="s">
        <v>22</v>
      </c>
      <c r="C11" s="44">
        <f>Данные!C10</f>
        <v>140000</v>
      </c>
      <c r="D11" s="3" t="s">
        <v>44</v>
      </c>
      <c r="E11" s="3" t="s">
        <v>51</v>
      </c>
      <c r="F11" s="44">
        <f>IF(D11="Мастер 1",Данные!$C$17,Данные!$C$18)</f>
        <v>70000</v>
      </c>
      <c r="G11" s="44">
        <f>IF(AND(D11="Мастер 1",NOT(E11="нет")),0,Данные!$D$19)</f>
        <v>200000</v>
      </c>
      <c r="H11" s="44">
        <f>IF(D11="Мастер 1",IF(C11&lt;G11,0,C11*Данные!$D$17),C11*Данные!$D$18)</f>
        <v>0</v>
      </c>
      <c r="I11" s="44">
        <f>IF(E11="нет",Данные!$D$20,Данные!$D$20/4*3)</f>
        <v>400000</v>
      </c>
      <c r="J11" s="44">
        <f>IF(D11="Мастер 1",IF(C11&gt;=I11,I11*Данные!$E$17,0),IF(C11&gt;=I11,I11*Данные!$E$18,0))</f>
        <v>0</v>
      </c>
      <c r="K11" s="44">
        <f>IF(E11="ОТК",SUM($M$4:$M$15)*Данные!$H$4/2,0)</f>
        <v>0</v>
      </c>
      <c r="L11" s="64"/>
      <c r="M11" s="64"/>
      <c r="N11" s="64"/>
      <c r="O11" s="64"/>
      <c r="P11" s="64"/>
      <c r="Q11" s="64"/>
      <c r="R11" s="64"/>
      <c r="S11" s="45">
        <f>F11+H11+J11+K11-(Данные!$H$3*Зарплата!L11+Данные!$H$4*Зарплата!M11+Данные!$H$5*Зарплата!N11+Данные!$H$6*Зарплата!O11+Данные!$H$7*Зарплата!P11+Данные!$H$8*Зарплата!Q11+Данные!$H$9*Зарплата!R11)</f>
        <v>70000</v>
      </c>
      <c r="T11" s="53"/>
      <c r="U11" s="53"/>
      <c r="V11" s="53"/>
      <c r="W11" s="53"/>
      <c r="X11" s="53"/>
      <c r="Y11" s="53"/>
      <c r="Z11" s="53"/>
      <c r="AA11" s="53"/>
    </row>
    <row r="12" spans="1:27" x14ac:dyDescent="0.25">
      <c r="A12" s="53"/>
      <c r="B12" s="41" t="s">
        <v>23</v>
      </c>
      <c r="C12" s="44">
        <f>Данные!C11</f>
        <v>0</v>
      </c>
      <c r="D12" s="3" t="s">
        <v>44</v>
      </c>
      <c r="E12" s="3" t="s">
        <v>72</v>
      </c>
      <c r="F12" s="44">
        <f>IF(D12="Мастер 1",Данные!$C$17,Данные!$C$18)</f>
        <v>70000</v>
      </c>
      <c r="G12" s="44">
        <f>IF(AND(D12="Мастер 1",NOT(E12="нет")),0,Данные!$D$19)</f>
        <v>0</v>
      </c>
      <c r="H12" s="44">
        <f>IF(D12="Мастер 1",IF(C12&lt;G12,0,C12*Данные!$D$17),C12*Данные!$D$18)</f>
        <v>0</v>
      </c>
      <c r="I12" s="44">
        <f>IF(E12="нет",Данные!$D$20,Данные!$D$20/4*3)</f>
        <v>300000</v>
      </c>
      <c r="J12" s="44">
        <f>IF(D12="Мастер 1",IF(C12&gt;=I12,I12*Данные!$E$17,0),IF(C12&gt;=I12,I12*Данные!$E$18,0))</f>
        <v>0</v>
      </c>
      <c r="K12" s="44">
        <f>IF(E12="ОТК",SUM($M$4:$M$15)*Данные!$H$4/2,0)</f>
        <v>0</v>
      </c>
      <c r="L12" s="64"/>
      <c r="M12" s="64"/>
      <c r="N12" s="64"/>
      <c r="O12" s="64"/>
      <c r="P12" s="64"/>
      <c r="Q12" s="64"/>
      <c r="R12" s="64"/>
      <c r="S12" s="45">
        <f>F12+H12+J12+K12-(Данные!$H$3*Зарплата!L12+Данные!$H$4*Зарплата!M12+Данные!$H$5*Зарплата!N12+Данные!$H$6*Зарплата!O12+Данные!$H$7*Зарплата!P12+Данные!$H$8*Зарплата!Q12+Данные!$H$9*Зарплата!R12)</f>
        <v>70000</v>
      </c>
      <c r="T12" s="53"/>
      <c r="U12" s="53"/>
      <c r="V12" s="53"/>
      <c r="W12" s="53"/>
      <c r="X12" s="53"/>
      <c r="Y12" s="53"/>
      <c r="Z12" s="53"/>
      <c r="AA12" s="53"/>
    </row>
    <row r="13" spans="1:27" x14ac:dyDescent="0.25">
      <c r="A13" s="53"/>
      <c r="B13" s="41" t="s">
        <v>24</v>
      </c>
      <c r="C13" s="44">
        <f>Данные!C12</f>
        <v>90000</v>
      </c>
      <c r="D13" s="3" t="s">
        <v>44</v>
      </c>
      <c r="E13" s="3" t="s">
        <v>51</v>
      </c>
      <c r="F13" s="44">
        <f>IF(D13="Мастер 1",Данные!$C$17,Данные!$C$18)</f>
        <v>70000</v>
      </c>
      <c r="G13" s="44">
        <f>IF(AND(D13="Мастер 1",NOT(E13="нет")),0,Данные!$D$19)</f>
        <v>200000</v>
      </c>
      <c r="H13" s="44">
        <f>IF(D13="Мастер 1",IF(C13&lt;G13,0,C13*Данные!$D$17),C13*Данные!$D$18)</f>
        <v>0</v>
      </c>
      <c r="I13" s="44">
        <f>IF(E13="нет",Данные!$D$20,Данные!$D$20/4*3)</f>
        <v>400000</v>
      </c>
      <c r="J13" s="44">
        <f>IF(D13="Мастер 1",IF(C13&gt;=I13,I13*Данные!$E$17,0),IF(C13&gt;=I13,I13*Данные!$E$18,0))</f>
        <v>0</v>
      </c>
      <c r="K13" s="44">
        <f>IF(E13="ОТК",SUM($M$4:$M$15)*Данные!$H$4/2,0)</f>
        <v>0</v>
      </c>
      <c r="L13" s="64"/>
      <c r="M13" s="64"/>
      <c r="N13" s="64"/>
      <c r="O13" s="64"/>
      <c r="P13" s="64"/>
      <c r="Q13" s="64"/>
      <c r="R13" s="64"/>
      <c r="S13" s="45">
        <f>F13+H13+J13+K13-(Данные!$H$3*Зарплата!L13+Данные!$H$4*Зарплата!M13+Данные!$H$5*Зарплата!N13+Данные!$H$6*Зарплата!O13+Данные!$H$7*Зарплата!P13+Данные!$H$8*Зарплата!Q13+Данные!$H$9*Зарплата!R13)</f>
        <v>70000</v>
      </c>
      <c r="T13" s="53"/>
      <c r="U13" s="53"/>
      <c r="V13" s="53"/>
      <c r="W13" s="53"/>
      <c r="X13" s="53"/>
      <c r="Y13" s="53"/>
      <c r="Z13" s="53"/>
      <c r="AA13" s="53"/>
    </row>
    <row r="14" spans="1:27" x14ac:dyDescent="0.25">
      <c r="A14" s="53"/>
      <c r="B14" s="41" t="s">
        <v>25</v>
      </c>
      <c r="C14" s="44">
        <f>Данные!C13</f>
        <v>260000</v>
      </c>
      <c r="D14" s="3" t="s">
        <v>44</v>
      </c>
      <c r="E14" s="3" t="s">
        <v>51</v>
      </c>
      <c r="F14" s="44">
        <f>IF(D14="Мастер 1",Данные!$C$17,Данные!$C$18)</f>
        <v>70000</v>
      </c>
      <c r="G14" s="44">
        <f>IF(AND(D14="Мастер 1",NOT(E14="нет")),0,Данные!$D$19)</f>
        <v>200000</v>
      </c>
      <c r="H14" s="44">
        <f>IF(D14="Мастер 1",IF(C14&lt;G14,0,C14*Данные!$D$17),C14*Данные!$D$18)</f>
        <v>39000</v>
      </c>
      <c r="I14" s="44">
        <f>IF(E14="нет",Данные!$D$20,Данные!$D$20/4*3)</f>
        <v>400000</v>
      </c>
      <c r="J14" s="44">
        <f>IF(D14="Мастер 1",IF(C14&gt;=I14,I14*Данные!$E$17,0),IF(C14&gt;=I14,I14*Данные!$E$18,0))</f>
        <v>0</v>
      </c>
      <c r="K14" s="44">
        <f>IF(E14="ОТК",SUM($M$4:$M$15)*Данные!$H$4/2,0)</f>
        <v>0</v>
      </c>
      <c r="L14" s="64"/>
      <c r="M14" s="64"/>
      <c r="N14" s="64"/>
      <c r="O14" s="64"/>
      <c r="P14" s="64"/>
      <c r="Q14" s="64"/>
      <c r="R14" s="64"/>
      <c r="S14" s="45">
        <f>F14+H14+J14+K14-(Данные!$H$3*Зарплата!L14+Данные!$H$4*Зарплата!M14+Данные!$H$5*Зарплата!N14+Данные!$H$6*Зарплата!O14+Данные!$H$7*Зарплата!P14+Данные!$H$8*Зарплата!Q14+Данные!$H$9*Зарплата!R14)</f>
        <v>109000</v>
      </c>
      <c r="T14" s="53"/>
      <c r="U14" s="53"/>
      <c r="V14" s="53"/>
      <c r="W14" s="53"/>
      <c r="X14" s="53"/>
      <c r="Y14" s="53"/>
      <c r="Z14" s="53"/>
      <c r="AA14" s="53"/>
    </row>
    <row r="15" spans="1:27" x14ac:dyDescent="0.25">
      <c r="A15" s="53"/>
      <c r="B15" s="42" t="s">
        <v>26</v>
      </c>
      <c r="C15" s="44">
        <f>Данные!C14</f>
        <v>120000</v>
      </c>
      <c r="D15" s="5" t="s">
        <v>44</v>
      </c>
      <c r="E15" s="5" t="s">
        <v>51</v>
      </c>
      <c r="F15" s="46">
        <f>IF(D15="Мастер 1",Данные!$C$17,Данные!$C$18)</f>
        <v>70000</v>
      </c>
      <c r="G15" s="46">
        <f>IF(AND(D15="Мастер 1",NOT(E15="нет")),0,Данные!$D$19)</f>
        <v>200000</v>
      </c>
      <c r="H15" s="46">
        <f>IF(D15="Мастер 1",IF(C15&lt;G15,0,C15*Данные!$D$17),C15*Данные!$D$18)</f>
        <v>0</v>
      </c>
      <c r="I15" s="46">
        <f>IF(E15="нет",Данные!$D$20,Данные!$D$20/4*3)</f>
        <v>400000</v>
      </c>
      <c r="J15" s="46">
        <f>IF(D15="Мастер 1",IF(C15&gt;=I15,I15*Данные!$E$17,0),IF(C15&gt;=I15,I15*Данные!$E$18,0))</f>
        <v>0</v>
      </c>
      <c r="K15" s="46">
        <f>IF(E15="ОТК",SUM($M$4:$M$15)*Данные!$H$4/2,0)</f>
        <v>0</v>
      </c>
      <c r="L15" s="65"/>
      <c r="M15" s="65"/>
      <c r="N15" s="65"/>
      <c r="O15" s="65"/>
      <c r="P15" s="65"/>
      <c r="Q15" s="65"/>
      <c r="R15" s="65"/>
      <c r="S15" s="47">
        <f>F15+H15+J15+K15-(Данные!$H$3*Зарплата!L15+Данные!$H$4*Зарплата!M15+Данные!$H$5*Зарплата!N15+Данные!$H$6*Зарплата!O15+Данные!$H$7*Зарплата!P15+Данные!$H$8*Зарплата!Q15+Данные!$H$9*Зарплата!R15)</f>
        <v>70000</v>
      </c>
      <c r="T15" s="53"/>
      <c r="U15" s="53"/>
      <c r="V15" s="53"/>
      <c r="W15" s="53"/>
      <c r="X15" s="53"/>
      <c r="Y15" s="53"/>
      <c r="Z15" s="53"/>
      <c r="AA15" s="53"/>
    </row>
    <row r="16" spans="1:27" x14ac:dyDescent="0.25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84" t="s">
        <v>70</v>
      </c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</row>
    <row r="17" spans="1:27" x14ac:dyDescent="0.25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</row>
    <row r="18" spans="1:27" x14ac:dyDescent="0.2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</row>
    <row r="19" spans="1:27" x14ac:dyDescent="0.25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</row>
    <row r="20" spans="1:27" x14ac:dyDescent="0.2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</row>
    <row r="21" spans="1:27" x14ac:dyDescent="0.2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r="22" spans="1:27" x14ac:dyDescent="0.2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</row>
    <row r="23" spans="1:27" x14ac:dyDescent="0.2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</row>
    <row r="24" spans="1:27" x14ac:dyDescent="0.25">
      <c r="A24" s="53"/>
      <c r="B24" s="53"/>
      <c r="C24" s="53"/>
      <c r="D24" s="53"/>
      <c r="E24" s="84" t="s">
        <v>72</v>
      </c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</row>
    <row r="25" spans="1:27" x14ac:dyDescent="0.25">
      <c r="E25" s="66" t="s">
        <v>71</v>
      </c>
    </row>
    <row r="26" spans="1:27" x14ac:dyDescent="0.25">
      <c r="E26" s="66" t="s">
        <v>51</v>
      </c>
    </row>
  </sheetData>
  <phoneticPr fontId="11" type="noConversion"/>
  <dataValidations count="1">
    <dataValidation type="list" allowBlank="1" showInputMessage="1" showErrorMessage="1" sqref="E4:E15" xr:uid="{2A68D303-8C34-4649-9580-4882FF688CBB}">
      <formula1>$E$24:$E$26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057B2B-4E71-4AC4-87B1-A638CDECAF28}">
          <x14:formula1>
            <xm:f>Данные!$B$17:$B$18</xm:f>
          </x14:formula1>
          <xm:sqref>D4:D15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D9C8-1AB6-4580-BEBC-41B6979211F2}">
  <dimension ref="A1:AR101"/>
  <sheetViews>
    <sheetView view="pageBreakPreview" zoomScale="89" zoomScaleNormal="91" zoomScaleSheetLayoutView="89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A45" sqref="A45"/>
    </sheetView>
  </sheetViews>
  <sheetFormatPr defaultRowHeight="15" x14ac:dyDescent="0.25"/>
  <cols>
    <col min="1" max="1" width="31.28515625" customWidth="1"/>
    <col min="2" max="2" width="10" customWidth="1"/>
    <col min="3" max="3" width="4.140625" customWidth="1"/>
    <col min="4" max="12" width="4.7109375" customWidth="1"/>
    <col min="13" max="19" width="4.7109375" style="174" customWidth="1"/>
    <col min="20" max="33" width="4.7109375" customWidth="1"/>
    <col min="34" max="34" width="7.28515625" customWidth="1"/>
    <col min="35" max="35" width="7.140625" style="1" customWidth="1"/>
    <col min="36" max="36" width="7.28515625" customWidth="1"/>
  </cols>
  <sheetData>
    <row r="1" spans="1:44" x14ac:dyDescent="0.25">
      <c r="A1" s="214" t="s">
        <v>35</v>
      </c>
      <c r="B1" s="215" t="s">
        <v>111</v>
      </c>
      <c r="C1" s="216">
        <v>1</v>
      </c>
      <c r="D1" s="217">
        <v>2</v>
      </c>
      <c r="E1" s="217">
        <v>3</v>
      </c>
      <c r="F1" s="217">
        <v>4</v>
      </c>
      <c r="G1" s="217">
        <v>5</v>
      </c>
      <c r="H1" s="217">
        <v>6</v>
      </c>
      <c r="I1" s="217">
        <v>7</v>
      </c>
      <c r="J1" s="217">
        <v>8</v>
      </c>
      <c r="K1" s="217">
        <v>9</v>
      </c>
      <c r="L1" s="217">
        <v>10</v>
      </c>
      <c r="M1" s="217">
        <v>11</v>
      </c>
      <c r="N1" s="217">
        <v>12</v>
      </c>
      <c r="O1" s="217">
        <v>13</v>
      </c>
      <c r="P1" s="217">
        <v>14</v>
      </c>
      <c r="Q1" s="217">
        <v>15</v>
      </c>
      <c r="R1" s="217">
        <v>16</v>
      </c>
      <c r="S1" s="217">
        <v>17</v>
      </c>
      <c r="T1" s="186">
        <v>18</v>
      </c>
      <c r="U1" s="186">
        <v>19</v>
      </c>
      <c r="V1" s="186">
        <v>20</v>
      </c>
      <c r="W1" s="186">
        <v>21</v>
      </c>
      <c r="X1" s="186">
        <v>22</v>
      </c>
      <c r="Y1" s="186">
        <v>23</v>
      </c>
      <c r="Z1" s="186">
        <v>24</v>
      </c>
      <c r="AA1" s="186">
        <v>25</v>
      </c>
      <c r="AB1" s="186">
        <v>26</v>
      </c>
      <c r="AC1" s="186">
        <v>27</v>
      </c>
      <c r="AD1" s="186">
        <v>28</v>
      </c>
      <c r="AE1" s="186">
        <v>29</v>
      </c>
      <c r="AF1" s="186">
        <v>30</v>
      </c>
      <c r="AG1" s="218">
        <v>31</v>
      </c>
      <c r="AH1" s="219" t="s">
        <v>96</v>
      </c>
      <c r="AI1" s="214" t="s">
        <v>15</v>
      </c>
      <c r="AJ1" s="219" t="s">
        <v>111</v>
      </c>
      <c r="AK1" s="53"/>
      <c r="AL1" s="53"/>
      <c r="AM1" s="53"/>
      <c r="AN1" s="53"/>
      <c r="AO1" s="53"/>
      <c r="AP1" s="53"/>
      <c r="AQ1" s="53"/>
      <c r="AR1" s="53"/>
    </row>
    <row r="2" spans="1:44" s="174" customFormat="1" x14ac:dyDescent="0.25">
      <c r="A2" s="226" t="s">
        <v>161</v>
      </c>
      <c r="B2" s="230"/>
      <c r="C2" s="231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3"/>
      <c r="AH2" s="224"/>
      <c r="AI2" s="229"/>
      <c r="AJ2" s="225"/>
      <c r="AK2" s="183"/>
      <c r="AL2" s="183"/>
      <c r="AM2" s="183"/>
      <c r="AN2" s="183"/>
      <c r="AO2" s="183"/>
      <c r="AP2" s="183"/>
      <c r="AQ2" s="183"/>
      <c r="AR2" s="183"/>
    </row>
    <row r="3" spans="1:44" x14ac:dyDescent="0.25">
      <c r="A3" s="140" t="s">
        <v>11</v>
      </c>
      <c r="B3" s="150"/>
      <c r="C3" s="257">
        <f>SUM(C19:C22)</f>
        <v>27.069239999999997</v>
      </c>
      <c r="D3" s="149">
        <f t="shared" ref="D3:R3" si="0">SUM(D19:D22)</f>
        <v>41.11</v>
      </c>
      <c r="E3" s="149">
        <f t="shared" si="0"/>
        <v>65.408999999999992</v>
      </c>
      <c r="F3" s="149">
        <f>SUM(F19:F22)</f>
        <v>89.586199999999991</v>
      </c>
      <c r="G3" s="149">
        <f t="shared" si="0"/>
        <v>82.919999999999987</v>
      </c>
      <c r="H3" s="221">
        <f t="shared" si="0"/>
        <v>173.852</v>
      </c>
      <c r="I3" s="257">
        <f t="shared" si="0"/>
        <v>94.559999999999988</v>
      </c>
      <c r="J3" s="257">
        <f t="shared" si="0"/>
        <v>22.64</v>
      </c>
      <c r="K3" s="221">
        <f t="shared" si="0"/>
        <v>85.85</v>
      </c>
      <c r="L3" s="221">
        <f t="shared" si="0"/>
        <v>115.82499999999999</v>
      </c>
      <c r="M3" s="221">
        <f t="shared" si="0"/>
        <v>80.593999999999994</v>
      </c>
      <c r="N3" s="257">
        <f t="shared" si="0"/>
        <v>59.844000000000001</v>
      </c>
      <c r="O3" s="257">
        <f t="shared" si="0"/>
        <v>56.599999999999994</v>
      </c>
      <c r="P3" s="257">
        <f t="shared" si="0"/>
        <v>39.400000000000006</v>
      </c>
      <c r="Q3" s="257">
        <f t="shared" si="0"/>
        <v>14.200000000000001</v>
      </c>
      <c r="R3" s="221">
        <f t="shared" si="0"/>
        <v>34.840000000000003</v>
      </c>
      <c r="S3" s="221">
        <f>SUM(Данные!$C$3:$C$14)/31/1000</f>
        <v>68.064516129032256</v>
      </c>
      <c r="T3" s="141">
        <f>(S3+R3+Q3+P3+O3)/5</f>
        <v>42.620903225806451</v>
      </c>
      <c r="U3" s="141">
        <f t="shared" ref="U3:AF3" si="1">(T3+S3+R3+Q3+P3)/5</f>
        <v>39.825083870967738</v>
      </c>
      <c r="V3" s="141">
        <f t="shared" si="1"/>
        <v>39.910100645161286</v>
      </c>
      <c r="W3" s="141">
        <f t="shared" si="1"/>
        <v>45.052120774193547</v>
      </c>
      <c r="X3" s="141">
        <f t="shared" si="1"/>
        <v>47.094544929032253</v>
      </c>
      <c r="Y3" s="141">
        <f t="shared" si="1"/>
        <v>42.900550689032258</v>
      </c>
      <c r="Z3" s="141">
        <f t="shared" si="1"/>
        <v>42.956480181677421</v>
      </c>
      <c r="AA3" s="141">
        <f t="shared" si="1"/>
        <v>43.582759443819356</v>
      </c>
      <c r="AB3" s="141">
        <f t="shared" si="1"/>
        <v>44.317291203550965</v>
      </c>
      <c r="AC3" s="141">
        <f t="shared" si="1"/>
        <v>44.170325289422451</v>
      </c>
      <c r="AD3" s="141">
        <f t="shared" si="1"/>
        <v>43.585481361500491</v>
      </c>
      <c r="AE3" s="141">
        <f t="shared" si="1"/>
        <v>43.722467495994138</v>
      </c>
      <c r="AF3" s="141">
        <f t="shared" si="1"/>
        <v>43.875664958857485</v>
      </c>
      <c r="AG3" s="142"/>
      <c r="AH3" s="153">
        <f>SUM(Данные!C3:C14)/1000</f>
        <v>2110</v>
      </c>
      <c r="AI3" s="31">
        <f>SUM(C3:AG3)</f>
        <v>1715.9777301980482</v>
      </c>
      <c r="AJ3" s="156"/>
      <c r="AK3" s="53"/>
      <c r="AL3" s="53"/>
      <c r="AM3" s="53"/>
      <c r="AN3" s="53"/>
      <c r="AO3" s="53"/>
      <c r="AP3" s="53"/>
      <c r="AQ3" s="53"/>
      <c r="AR3" s="53"/>
    </row>
    <row r="4" spans="1:44" x14ac:dyDescent="0.25">
      <c r="A4" s="167" t="s">
        <v>2</v>
      </c>
      <c r="B4" s="151"/>
      <c r="C4" s="258">
        <f>C6+C5</f>
        <v>15.62</v>
      </c>
      <c r="D4" s="163">
        <f t="shared" ref="D4:G4" si="2">D6+D5</f>
        <v>22.96</v>
      </c>
      <c r="E4" s="163">
        <f t="shared" si="2"/>
        <v>24.99</v>
      </c>
      <c r="F4" s="163">
        <f>F6+F5</f>
        <v>37.524000000000001</v>
      </c>
      <c r="G4" s="163">
        <f t="shared" si="2"/>
        <v>26.62</v>
      </c>
      <c r="H4" s="163">
        <f t="shared" ref="H4" si="3">H6+H5</f>
        <v>56.269999999999996</v>
      </c>
      <c r="I4" s="258">
        <f t="shared" ref="I4" si="4">I6+I5</f>
        <v>41.160000000000004</v>
      </c>
      <c r="J4" s="258">
        <f t="shared" ref="J4:K4" si="5">J6+J5</f>
        <v>19.14</v>
      </c>
      <c r="K4" s="223">
        <f t="shared" si="5"/>
        <v>18.380000000000003</v>
      </c>
      <c r="L4" s="223">
        <f t="shared" ref="L4" si="6">L6+L5</f>
        <v>33.700000000000003</v>
      </c>
      <c r="M4" s="223">
        <f t="shared" ref="M4:N4" si="7">M6+M5</f>
        <v>35.049999999999997</v>
      </c>
      <c r="N4" s="258">
        <f t="shared" si="7"/>
        <v>22.200000000000003</v>
      </c>
      <c r="O4" s="258">
        <f t="shared" ref="O4:P4" si="8">O6+O5</f>
        <v>41.1</v>
      </c>
      <c r="P4" s="258">
        <f t="shared" si="8"/>
        <v>20.100000000000001</v>
      </c>
      <c r="Q4" s="258">
        <f t="shared" ref="Q4:R4" si="9">Q6+Q5</f>
        <v>4.3999999999999995</v>
      </c>
      <c r="R4" s="223">
        <f t="shared" si="9"/>
        <v>32.14</v>
      </c>
      <c r="S4" s="223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5"/>
      <c r="AH4" s="166"/>
      <c r="AI4" s="139">
        <f>SUM(C4:AG4)</f>
        <v>451.35399999999998</v>
      </c>
      <c r="AJ4" s="136"/>
      <c r="AK4" s="53"/>
      <c r="AL4" s="53"/>
      <c r="AM4" s="53"/>
      <c r="AN4" s="53"/>
      <c r="AO4" s="53"/>
      <c r="AP4" s="53"/>
      <c r="AQ4" s="53"/>
      <c r="AR4" s="53"/>
    </row>
    <row r="5" spans="1:44" x14ac:dyDescent="0.25">
      <c r="A5" s="169" t="s">
        <v>145</v>
      </c>
      <c r="B5" s="151"/>
      <c r="C5" s="270">
        <v>0</v>
      </c>
      <c r="D5" s="171">
        <v>14.76</v>
      </c>
      <c r="E5" s="171">
        <v>0</v>
      </c>
      <c r="F5" s="171">
        <v>7.6</v>
      </c>
      <c r="G5" s="171">
        <v>26.62</v>
      </c>
      <c r="H5" s="171">
        <v>21.99</v>
      </c>
      <c r="I5" s="259">
        <v>9.1</v>
      </c>
      <c r="J5" s="259">
        <v>4.3</v>
      </c>
      <c r="K5" s="171">
        <v>6</v>
      </c>
      <c r="L5" s="171">
        <v>14.8</v>
      </c>
      <c r="M5" s="171">
        <v>23.78</v>
      </c>
      <c r="N5" s="259">
        <v>7.9</v>
      </c>
      <c r="O5" s="259">
        <v>13.3</v>
      </c>
      <c r="P5" s="259">
        <v>0</v>
      </c>
      <c r="Q5" s="259">
        <v>0.3</v>
      </c>
      <c r="R5" s="171">
        <v>15.05</v>
      </c>
      <c r="S5" s="171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5"/>
      <c r="AH5" s="166"/>
      <c r="AI5" s="170">
        <f t="shared" ref="AI5:AI22" si="10">SUM(C5:AG5)</f>
        <v>165.50000000000003</v>
      </c>
      <c r="AJ5" s="136"/>
      <c r="AK5" s="53"/>
      <c r="AL5" s="53"/>
      <c r="AM5" s="53"/>
      <c r="AN5" s="53"/>
      <c r="AO5" s="53"/>
      <c r="AP5" s="53"/>
      <c r="AQ5" s="53"/>
      <c r="AR5" s="53"/>
    </row>
    <row r="6" spans="1:44" x14ac:dyDescent="0.25">
      <c r="A6" s="169" t="s">
        <v>146</v>
      </c>
      <c r="B6" s="151"/>
      <c r="C6" s="270">
        <v>15.62</v>
      </c>
      <c r="D6" s="171">
        <v>8.1999999999999993</v>
      </c>
      <c r="E6" s="171">
        <v>24.99</v>
      </c>
      <c r="F6" s="171">
        <v>29.923999999999999</v>
      </c>
      <c r="G6" s="171">
        <v>0</v>
      </c>
      <c r="H6" s="171">
        <v>34.28</v>
      </c>
      <c r="I6" s="259">
        <v>32.06</v>
      </c>
      <c r="J6" s="259">
        <v>14.84</v>
      </c>
      <c r="K6" s="171">
        <v>12.38</v>
      </c>
      <c r="L6" s="171">
        <v>18.899999999999999</v>
      </c>
      <c r="M6" s="171">
        <v>11.27</v>
      </c>
      <c r="N6" s="259">
        <v>14.3</v>
      </c>
      <c r="O6" s="259">
        <v>27.8</v>
      </c>
      <c r="P6" s="259">
        <v>20.100000000000001</v>
      </c>
      <c r="Q6" s="259">
        <v>4.0999999999999996</v>
      </c>
      <c r="R6" s="171">
        <v>17.09</v>
      </c>
      <c r="S6" s="171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5"/>
      <c r="AH6" s="166"/>
      <c r="AI6" s="170">
        <f t="shared" si="10"/>
        <v>285.85400000000004</v>
      </c>
      <c r="AJ6" s="136"/>
      <c r="AK6" s="53"/>
      <c r="AL6" s="53"/>
      <c r="AM6" s="53"/>
      <c r="AN6" s="53"/>
      <c r="AO6" s="53"/>
      <c r="AP6" s="53"/>
      <c r="AQ6" s="53"/>
      <c r="AR6" s="53"/>
    </row>
    <row r="7" spans="1:44" x14ac:dyDescent="0.25">
      <c r="A7" s="167" t="s">
        <v>3</v>
      </c>
      <c r="B7" s="151"/>
      <c r="C7" s="258">
        <f>C9+C8</f>
        <v>0</v>
      </c>
      <c r="D7" s="163">
        <f t="shared" ref="D7" si="11">D9+D8</f>
        <v>6.95</v>
      </c>
      <c r="E7" s="163">
        <f t="shared" ref="E7" si="12">E9+E8</f>
        <v>12.3</v>
      </c>
      <c r="F7" s="163">
        <f t="shared" ref="F7" si="13">F9+F8</f>
        <v>2.46</v>
      </c>
      <c r="G7" s="163">
        <f t="shared" ref="G7" si="14">G9+G8</f>
        <v>1.8</v>
      </c>
      <c r="H7" s="163">
        <f t="shared" ref="H7" si="15">H9+H8</f>
        <v>66</v>
      </c>
      <c r="I7" s="258">
        <f t="shared" ref="I7" si="16">I9+I8</f>
        <v>2</v>
      </c>
      <c r="J7" s="258">
        <f t="shared" ref="J7:K7" si="17">J9+J8</f>
        <v>0</v>
      </c>
      <c r="K7" s="223">
        <f t="shared" si="17"/>
        <v>0</v>
      </c>
      <c r="L7" s="223">
        <f t="shared" ref="L7:M7" si="18">L9+L8</f>
        <v>8</v>
      </c>
      <c r="M7" s="223">
        <f t="shared" si="18"/>
        <v>3</v>
      </c>
      <c r="N7" s="258">
        <f t="shared" ref="N7:O7" si="19">N9+N8</f>
        <v>0</v>
      </c>
      <c r="O7" s="258">
        <f t="shared" si="19"/>
        <v>0</v>
      </c>
      <c r="P7" s="258">
        <f t="shared" ref="P7:Q7" si="20">P9+P8</f>
        <v>0</v>
      </c>
      <c r="Q7" s="258">
        <f t="shared" si="20"/>
        <v>0</v>
      </c>
      <c r="R7" s="223">
        <f t="shared" ref="R7" si="21">R9+R8</f>
        <v>1.7</v>
      </c>
      <c r="S7" s="223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5"/>
      <c r="AH7" s="166"/>
      <c r="AI7" s="139">
        <f t="shared" si="10"/>
        <v>104.21000000000001</v>
      </c>
      <c r="AJ7" s="136"/>
      <c r="AK7" s="53"/>
      <c r="AL7" s="53"/>
      <c r="AM7" s="53"/>
      <c r="AN7" s="53"/>
      <c r="AO7" s="53"/>
      <c r="AP7" s="53"/>
      <c r="AQ7" s="53"/>
      <c r="AR7" s="53"/>
    </row>
    <row r="8" spans="1:44" x14ac:dyDescent="0.25">
      <c r="A8" s="169" t="s">
        <v>145</v>
      </c>
      <c r="B8" s="151"/>
      <c r="C8" s="270">
        <v>0</v>
      </c>
      <c r="D8" s="171">
        <v>6.95</v>
      </c>
      <c r="E8" s="171">
        <v>2.2999999999999998</v>
      </c>
      <c r="F8" s="171">
        <v>2.46</v>
      </c>
      <c r="G8" s="171">
        <v>0</v>
      </c>
      <c r="H8" s="171">
        <v>66</v>
      </c>
      <c r="I8" s="259">
        <v>0</v>
      </c>
      <c r="J8" s="259">
        <v>0</v>
      </c>
      <c r="K8" s="171">
        <v>0</v>
      </c>
      <c r="L8" s="171">
        <v>5</v>
      </c>
      <c r="M8" s="171">
        <v>3</v>
      </c>
      <c r="N8" s="259">
        <v>0</v>
      </c>
      <c r="O8" s="259">
        <v>0</v>
      </c>
      <c r="P8" s="259">
        <v>0</v>
      </c>
      <c r="Q8" s="259">
        <v>0</v>
      </c>
      <c r="R8" s="171">
        <v>0</v>
      </c>
      <c r="S8" s="171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5"/>
      <c r="AH8" s="166"/>
      <c r="AI8" s="170">
        <f t="shared" si="10"/>
        <v>85.710000000000008</v>
      </c>
      <c r="AJ8" s="136"/>
      <c r="AK8" s="53"/>
      <c r="AL8" s="53"/>
      <c r="AM8" s="53"/>
      <c r="AN8" s="53"/>
      <c r="AO8" s="53"/>
      <c r="AP8" s="53"/>
      <c r="AQ8" s="53"/>
      <c r="AR8" s="53"/>
    </row>
    <row r="9" spans="1:44" x14ac:dyDescent="0.25">
      <c r="A9" s="169" t="s">
        <v>146</v>
      </c>
      <c r="B9" s="151"/>
      <c r="C9" s="270">
        <v>0</v>
      </c>
      <c r="D9" s="171">
        <v>0</v>
      </c>
      <c r="E9" s="171">
        <v>10</v>
      </c>
      <c r="F9" s="171">
        <v>0</v>
      </c>
      <c r="G9" s="171">
        <v>1.8</v>
      </c>
      <c r="H9" s="171">
        <v>0</v>
      </c>
      <c r="I9" s="259">
        <v>2</v>
      </c>
      <c r="J9" s="259">
        <v>0</v>
      </c>
      <c r="K9" s="171">
        <v>0</v>
      </c>
      <c r="L9" s="171">
        <v>3</v>
      </c>
      <c r="M9" s="171">
        <v>0</v>
      </c>
      <c r="N9" s="259">
        <v>0</v>
      </c>
      <c r="O9" s="259">
        <v>0</v>
      </c>
      <c r="P9" s="259">
        <v>0</v>
      </c>
      <c r="Q9" s="259">
        <v>0</v>
      </c>
      <c r="R9" s="171">
        <v>1.7</v>
      </c>
      <c r="S9" s="171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5"/>
      <c r="AH9" s="166"/>
      <c r="AI9" s="170">
        <f t="shared" si="10"/>
        <v>18.5</v>
      </c>
      <c r="AJ9" s="136"/>
      <c r="AK9" s="53"/>
      <c r="AL9" s="53"/>
      <c r="AM9" s="53"/>
      <c r="AN9" s="53"/>
      <c r="AO9" s="53"/>
      <c r="AP9" s="53"/>
      <c r="AQ9" s="53"/>
      <c r="AR9" s="53"/>
    </row>
    <row r="10" spans="1:44" x14ac:dyDescent="0.25">
      <c r="A10" s="167" t="s">
        <v>4</v>
      </c>
      <c r="B10" s="151"/>
      <c r="C10" s="271">
        <f>C12+C11</f>
        <v>4</v>
      </c>
      <c r="D10" s="143">
        <f t="shared" ref="D10" si="22">D12+D11</f>
        <v>0</v>
      </c>
      <c r="E10" s="143">
        <f t="shared" ref="E10" si="23">E12+E11</f>
        <v>0</v>
      </c>
      <c r="F10" s="143">
        <f t="shared" ref="F10" si="24">F12+F11</f>
        <v>15</v>
      </c>
      <c r="G10" s="143">
        <f t="shared" ref="G10" si="25">G12+G11</f>
        <v>0</v>
      </c>
      <c r="H10" s="143">
        <f t="shared" ref="H10" si="26">H12+H11</f>
        <v>0</v>
      </c>
      <c r="I10" s="260">
        <f t="shared" ref="I10" si="27">I12+I11</f>
        <v>31.1</v>
      </c>
      <c r="J10" s="260">
        <f t="shared" ref="J10:K10" si="28">J12+J11</f>
        <v>1</v>
      </c>
      <c r="K10" s="220">
        <f t="shared" si="28"/>
        <v>18</v>
      </c>
      <c r="L10" s="220">
        <f t="shared" ref="L10:M10" si="29">L12+L11</f>
        <v>7.5</v>
      </c>
      <c r="M10" s="220">
        <f t="shared" si="29"/>
        <v>17.7</v>
      </c>
      <c r="N10" s="260">
        <f t="shared" ref="N10:O10" si="30">N12+N11</f>
        <v>4.5</v>
      </c>
      <c r="O10" s="260">
        <f t="shared" si="30"/>
        <v>2</v>
      </c>
      <c r="P10" s="260">
        <f t="shared" ref="P10:Q10" si="31">P12+P11</f>
        <v>2.5</v>
      </c>
      <c r="Q10" s="260">
        <f t="shared" si="31"/>
        <v>0</v>
      </c>
      <c r="R10" s="220">
        <f t="shared" ref="R10" si="32">R12+R11</f>
        <v>0</v>
      </c>
      <c r="S10" s="220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5"/>
      <c r="AH10" s="154"/>
      <c r="AI10" s="139">
        <f t="shared" si="10"/>
        <v>103.3</v>
      </c>
      <c r="AJ10" s="134"/>
      <c r="AK10" s="53"/>
      <c r="AL10" s="53"/>
      <c r="AM10" s="53"/>
      <c r="AN10" s="53"/>
      <c r="AO10" s="53"/>
      <c r="AP10" s="53"/>
      <c r="AQ10" s="53"/>
      <c r="AR10" s="53"/>
    </row>
    <row r="11" spans="1:44" x14ac:dyDescent="0.25">
      <c r="A11" s="169" t="s">
        <v>145</v>
      </c>
      <c r="B11" s="151"/>
      <c r="C11" s="270">
        <v>2.5</v>
      </c>
      <c r="D11" s="171">
        <v>0</v>
      </c>
      <c r="E11" s="171">
        <v>0</v>
      </c>
      <c r="F11" s="171">
        <v>5.5</v>
      </c>
      <c r="G11" s="171">
        <v>0</v>
      </c>
      <c r="H11" s="171">
        <v>0</v>
      </c>
      <c r="I11" s="259">
        <v>0</v>
      </c>
      <c r="J11" s="259">
        <v>0</v>
      </c>
      <c r="K11" s="171">
        <v>18</v>
      </c>
      <c r="L11" s="171">
        <v>7.5</v>
      </c>
      <c r="M11" s="171">
        <v>10</v>
      </c>
      <c r="N11" s="259">
        <v>0</v>
      </c>
      <c r="O11" s="259">
        <v>1</v>
      </c>
      <c r="P11" s="259">
        <v>0</v>
      </c>
      <c r="Q11" s="259">
        <v>0</v>
      </c>
      <c r="R11" s="171">
        <v>0</v>
      </c>
      <c r="S11" s="171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60"/>
      <c r="AH11" s="161"/>
      <c r="AI11" s="170">
        <f t="shared" si="10"/>
        <v>44.5</v>
      </c>
      <c r="AJ11" s="162"/>
      <c r="AK11" s="53"/>
      <c r="AL11" s="53"/>
      <c r="AM11" s="53"/>
      <c r="AN11" s="53"/>
      <c r="AO11" s="53"/>
      <c r="AP11" s="53"/>
      <c r="AQ11" s="53"/>
      <c r="AR11" s="53"/>
    </row>
    <row r="12" spans="1:44" x14ac:dyDescent="0.25">
      <c r="A12" s="169" t="s">
        <v>146</v>
      </c>
      <c r="B12" s="151"/>
      <c r="C12" s="270">
        <v>1.5</v>
      </c>
      <c r="D12" s="171">
        <v>0</v>
      </c>
      <c r="E12" s="171">
        <v>0</v>
      </c>
      <c r="F12" s="171">
        <v>9.5</v>
      </c>
      <c r="G12" s="171">
        <v>0</v>
      </c>
      <c r="H12" s="171">
        <v>0</v>
      </c>
      <c r="I12" s="259">
        <v>31.1</v>
      </c>
      <c r="J12" s="259">
        <v>1</v>
      </c>
      <c r="K12" s="171">
        <v>0</v>
      </c>
      <c r="L12" s="171">
        <v>0</v>
      </c>
      <c r="M12" s="171">
        <v>7.7</v>
      </c>
      <c r="N12" s="259">
        <v>4.5</v>
      </c>
      <c r="O12" s="259">
        <v>1</v>
      </c>
      <c r="P12" s="259">
        <v>2.5</v>
      </c>
      <c r="Q12" s="259">
        <v>0</v>
      </c>
      <c r="R12" s="171">
        <v>0</v>
      </c>
      <c r="S12" s="171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60"/>
      <c r="AH12" s="161"/>
      <c r="AI12" s="170">
        <f t="shared" si="10"/>
        <v>58.800000000000004</v>
      </c>
      <c r="AJ12" s="162"/>
      <c r="AK12" s="53"/>
      <c r="AL12" s="53"/>
      <c r="AM12" s="53"/>
      <c r="AN12" s="53"/>
      <c r="AO12" s="53"/>
      <c r="AP12" s="53"/>
      <c r="AQ12" s="53"/>
      <c r="AR12" s="53"/>
    </row>
    <row r="13" spans="1:44" x14ac:dyDescent="0.25">
      <c r="A13" s="167" t="s">
        <v>5</v>
      </c>
      <c r="B13" s="151"/>
      <c r="C13" s="271">
        <f>C15+C14</f>
        <v>0</v>
      </c>
      <c r="D13" s="143">
        <f t="shared" ref="D13" si="33">D15+D14</f>
        <v>0</v>
      </c>
      <c r="E13" s="143">
        <f t="shared" ref="E13" si="34">E15+E14</f>
        <v>7.5</v>
      </c>
      <c r="F13" s="143">
        <f>F15+F14</f>
        <v>13</v>
      </c>
      <c r="G13" s="143">
        <f t="shared" ref="G13" si="35">G15+G14</f>
        <v>5</v>
      </c>
      <c r="H13" s="143">
        <f t="shared" ref="H13" si="36">H15+H14</f>
        <v>2</v>
      </c>
      <c r="I13" s="260">
        <f t="shared" ref="I13" si="37">I15+I14</f>
        <v>6</v>
      </c>
      <c r="J13" s="260">
        <f t="shared" ref="J13:K13" si="38">J15+J14</f>
        <v>0</v>
      </c>
      <c r="K13" s="220">
        <f t="shared" si="38"/>
        <v>0</v>
      </c>
      <c r="L13" s="220">
        <f t="shared" ref="L13:M13" si="39">L15+L14</f>
        <v>13.1</v>
      </c>
      <c r="M13" s="220">
        <f t="shared" si="39"/>
        <v>16</v>
      </c>
      <c r="N13" s="260">
        <f t="shared" ref="N13:O13" si="40">N15+N14</f>
        <v>8.4</v>
      </c>
      <c r="O13" s="260">
        <f t="shared" si="40"/>
        <v>3</v>
      </c>
      <c r="P13" s="260">
        <f t="shared" ref="P13:Q13" si="41">P15+P14</f>
        <v>7.3</v>
      </c>
      <c r="Q13" s="260">
        <f t="shared" si="41"/>
        <v>0</v>
      </c>
      <c r="R13" s="220">
        <f t="shared" ref="R13" si="42">R15+R14</f>
        <v>0</v>
      </c>
      <c r="S13" s="220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60"/>
      <c r="AH13" s="161"/>
      <c r="AI13" s="139">
        <f t="shared" si="10"/>
        <v>81.3</v>
      </c>
      <c r="AJ13" s="162"/>
      <c r="AK13" s="53"/>
      <c r="AL13" s="53"/>
      <c r="AM13" s="53"/>
      <c r="AN13" s="53"/>
      <c r="AO13" s="53"/>
      <c r="AP13" s="53"/>
      <c r="AQ13" s="53"/>
      <c r="AR13" s="53"/>
    </row>
    <row r="14" spans="1:44" x14ac:dyDescent="0.25">
      <c r="A14" s="169" t="s">
        <v>145</v>
      </c>
      <c r="B14" s="151"/>
      <c r="C14" s="270">
        <v>0</v>
      </c>
      <c r="D14" s="171">
        <v>0</v>
      </c>
      <c r="E14" s="171">
        <v>0</v>
      </c>
      <c r="F14" s="171">
        <v>0</v>
      </c>
      <c r="G14" s="171">
        <v>0</v>
      </c>
      <c r="H14" s="171">
        <v>0.4</v>
      </c>
      <c r="I14" s="259">
        <v>0</v>
      </c>
      <c r="J14" s="259">
        <v>0</v>
      </c>
      <c r="K14" s="171">
        <v>0</v>
      </c>
      <c r="L14" s="171">
        <v>0.5</v>
      </c>
      <c r="M14" s="171">
        <v>8.5</v>
      </c>
      <c r="N14" s="259">
        <v>0</v>
      </c>
      <c r="O14" s="259">
        <v>0</v>
      </c>
      <c r="P14" s="259">
        <v>0</v>
      </c>
      <c r="Q14" s="259">
        <v>0</v>
      </c>
      <c r="R14" s="171">
        <v>0</v>
      </c>
      <c r="S14" s="171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/>
      <c r="AH14" s="161"/>
      <c r="AI14" s="170">
        <f t="shared" si="10"/>
        <v>9.4</v>
      </c>
      <c r="AJ14" s="162"/>
      <c r="AK14" s="53"/>
      <c r="AL14" s="53"/>
      <c r="AM14" s="53"/>
      <c r="AN14" s="53"/>
      <c r="AO14" s="53"/>
      <c r="AP14" s="53"/>
      <c r="AQ14" s="53"/>
      <c r="AR14" s="53"/>
    </row>
    <row r="15" spans="1:44" x14ac:dyDescent="0.25">
      <c r="A15" s="169" t="s">
        <v>146</v>
      </c>
      <c r="B15" s="151"/>
      <c r="C15" s="270">
        <v>0</v>
      </c>
      <c r="D15" s="171">
        <v>0</v>
      </c>
      <c r="E15" s="171">
        <v>7.5</v>
      </c>
      <c r="F15" s="171">
        <v>13</v>
      </c>
      <c r="G15" s="171">
        <v>5</v>
      </c>
      <c r="H15" s="171">
        <v>1.6</v>
      </c>
      <c r="I15" s="259">
        <v>6</v>
      </c>
      <c r="J15" s="259">
        <v>0</v>
      </c>
      <c r="K15" s="171">
        <v>0</v>
      </c>
      <c r="L15" s="171">
        <v>12.6</v>
      </c>
      <c r="M15" s="171">
        <v>7.5</v>
      </c>
      <c r="N15" s="259">
        <v>8.4</v>
      </c>
      <c r="O15" s="259">
        <v>3</v>
      </c>
      <c r="P15" s="259">
        <v>7.3</v>
      </c>
      <c r="Q15" s="259">
        <v>0</v>
      </c>
      <c r="R15" s="171">
        <v>0</v>
      </c>
      <c r="S15" s="171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60"/>
      <c r="AH15" s="161"/>
      <c r="AI15" s="170">
        <f t="shared" si="10"/>
        <v>71.899999999999991</v>
      </c>
      <c r="AJ15" s="162"/>
      <c r="AK15" s="53"/>
      <c r="AL15" s="53"/>
      <c r="AM15" s="53"/>
      <c r="AN15" s="53"/>
      <c r="AO15" s="53"/>
      <c r="AP15" s="53"/>
      <c r="AQ15" s="53"/>
      <c r="AR15" s="53"/>
    </row>
    <row r="16" spans="1:44" x14ac:dyDescent="0.25">
      <c r="A16" s="167" t="s">
        <v>6</v>
      </c>
      <c r="B16" s="151"/>
      <c r="C16" s="271">
        <f>C18+C17</f>
        <v>3.3</v>
      </c>
      <c r="D16" s="143">
        <f t="shared" ref="D16" si="43">D18+D17</f>
        <v>9</v>
      </c>
      <c r="E16" s="143">
        <f t="shared" ref="E16" si="44">E18+E17</f>
        <v>12</v>
      </c>
      <c r="F16" s="143">
        <f t="shared" ref="F16" si="45">F18+F17</f>
        <v>4.2</v>
      </c>
      <c r="G16" s="143">
        <f t="shared" ref="G16" si="46">G18+G17</f>
        <v>11.1</v>
      </c>
      <c r="H16" s="143">
        <f t="shared" ref="H16" si="47">H18+H17</f>
        <v>20.010000000000002</v>
      </c>
      <c r="I16" s="260">
        <f t="shared" ref="I16:K16" si="48">I18+I17</f>
        <v>11</v>
      </c>
      <c r="J16" s="260">
        <f t="shared" ref="J16:L16" si="49">J18+J17</f>
        <v>1</v>
      </c>
      <c r="K16" s="220">
        <f t="shared" si="48"/>
        <v>31</v>
      </c>
      <c r="L16" s="220">
        <f t="shared" si="49"/>
        <v>9.5</v>
      </c>
      <c r="M16" s="220">
        <f t="shared" ref="M16" si="50">M18+M17</f>
        <v>3</v>
      </c>
      <c r="N16" s="260">
        <f t="shared" ref="N16:O16" si="51">N18+N17</f>
        <v>2.4</v>
      </c>
      <c r="O16" s="260">
        <f t="shared" si="51"/>
        <v>3.5</v>
      </c>
      <c r="P16" s="260">
        <f t="shared" ref="P16:Q16" si="52">P18+P17</f>
        <v>9.5</v>
      </c>
      <c r="Q16" s="260">
        <f t="shared" si="52"/>
        <v>9.8000000000000007</v>
      </c>
      <c r="R16" s="220">
        <f t="shared" ref="R16" si="53">R18+R17</f>
        <v>1</v>
      </c>
      <c r="S16" s="220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60"/>
      <c r="AH16" s="161"/>
      <c r="AI16" s="139">
        <f t="shared" si="10"/>
        <v>141.31</v>
      </c>
      <c r="AJ16" s="162"/>
      <c r="AK16" s="53"/>
      <c r="AL16" s="53"/>
      <c r="AM16" s="53"/>
      <c r="AN16" s="53"/>
      <c r="AO16" s="53"/>
      <c r="AP16" s="53"/>
      <c r="AQ16" s="53"/>
      <c r="AR16" s="53"/>
    </row>
    <row r="17" spans="1:44" x14ac:dyDescent="0.25">
      <c r="A17" s="169" t="s">
        <v>145</v>
      </c>
      <c r="B17" s="151"/>
      <c r="C17" s="270">
        <v>0</v>
      </c>
      <c r="D17" s="171">
        <v>9</v>
      </c>
      <c r="E17" s="171">
        <v>12</v>
      </c>
      <c r="F17" s="171">
        <v>4.2</v>
      </c>
      <c r="G17" s="171">
        <v>5</v>
      </c>
      <c r="H17" s="171">
        <v>3</v>
      </c>
      <c r="I17" s="259">
        <v>11</v>
      </c>
      <c r="J17" s="259">
        <v>0</v>
      </c>
      <c r="K17" s="171">
        <v>31</v>
      </c>
      <c r="L17" s="171">
        <v>9.5</v>
      </c>
      <c r="M17" s="171">
        <v>3</v>
      </c>
      <c r="N17" s="259">
        <v>2.4</v>
      </c>
      <c r="O17" s="259">
        <v>1.5</v>
      </c>
      <c r="P17" s="259">
        <v>9.5</v>
      </c>
      <c r="Q17" s="259">
        <v>9.8000000000000007</v>
      </c>
      <c r="R17" s="171">
        <v>1</v>
      </c>
      <c r="S17" s="171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60"/>
      <c r="AH17" s="161"/>
      <c r="AI17" s="170">
        <f t="shared" si="10"/>
        <v>111.9</v>
      </c>
      <c r="AJ17" s="162"/>
      <c r="AK17" s="53"/>
      <c r="AL17" s="53"/>
      <c r="AM17" s="53"/>
      <c r="AN17" s="53"/>
      <c r="AO17" s="53"/>
      <c r="AP17" s="53"/>
      <c r="AQ17" s="53"/>
      <c r="AR17" s="53"/>
    </row>
    <row r="18" spans="1:44" x14ac:dyDescent="0.25">
      <c r="A18" s="169" t="s">
        <v>146</v>
      </c>
      <c r="B18" s="151"/>
      <c r="C18" s="270">
        <v>3.3</v>
      </c>
      <c r="D18" s="171">
        <v>0</v>
      </c>
      <c r="E18" s="171">
        <v>0</v>
      </c>
      <c r="F18" s="171">
        <v>0</v>
      </c>
      <c r="G18" s="171">
        <v>6.1</v>
      </c>
      <c r="H18" s="171">
        <v>17.010000000000002</v>
      </c>
      <c r="I18" s="259">
        <v>0</v>
      </c>
      <c r="J18" s="259">
        <v>1</v>
      </c>
      <c r="K18" s="171">
        <v>0</v>
      </c>
      <c r="L18" s="171">
        <v>0</v>
      </c>
      <c r="M18" s="171">
        <v>0</v>
      </c>
      <c r="N18" s="259">
        <v>0</v>
      </c>
      <c r="O18" s="259">
        <v>2</v>
      </c>
      <c r="P18" s="259">
        <v>0</v>
      </c>
      <c r="Q18" s="259">
        <v>0</v>
      </c>
      <c r="R18" s="171">
        <v>0</v>
      </c>
      <c r="S18" s="171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60"/>
      <c r="AH18" s="161"/>
      <c r="AI18" s="170">
        <f t="shared" si="10"/>
        <v>29.41</v>
      </c>
      <c r="AJ18" s="162"/>
      <c r="AK18" s="53"/>
      <c r="AL18" s="53"/>
      <c r="AM18" s="53"/>
      <c r="AN18" s="53"/>
      <c r="AO18" s="53"/>
      <c r="AP18" s="53"/>
      <c r="AQ18" s="53"/>
      <c r="AR18" s="53"/>
    </row>
    <row r="19" spans="1:44" x14ac:dyDescent="0.25">
      <c r="A19" s="167" t="s">
        <v>147</v>
      </c>
      <c r="B19" s="151"/>
      <c r="C19" s="261">
        <f>C5+C8+C11+C14+C17</f>
        <v>2.5</v>
      </c>
      <c r="D19" s="157">
        <f t="shared" ref="D19:G19" si="54">D5+D8+D11+D14+D17</f>
        <v>30.71</v>
      </c>
      <c r="E19" s="157">
        <f t="shared" si="54"/>
        <v>14.3</v>
      </c>
      <c r="F19" s="157">
        <f t="shared" si="54"/>
        <v>19.759999999999998</v>
      </c>
      <c r="G19" s="157">
        <f t="shared" si="54"/>
        <v>31.62</v>
      </c>
      <c r="H19" s="157">
        <f t="shared" ref="H19:J19" si="55">H5+H8+H11+H14+H17</f>
        <v>91.39</v>
      </c>
      <c r="I19" s="261">
        <f t="shared" si="55"/>
        <v>20.100000000000001</v>
      </c>
      <c r="J19" s="261">
        <f t="shared" si="55"/>
        <v>4.3</v>
      </c>
      <c r="K19" s="222">
        <f t="shared" ref="K19:L19" si="56">K5+K8+K11+K14+K17</f>
        <v>55</v>
      </c>
      <c r="L19" s="222">
        <f t="shared" si="56"/>
        <v>37.299999999999997</v>
      </c>
      <c r="M19" s="222">
        <f t="shared" ref="M19:O19" si="57">M5+M8+M11+M14+M17</f>
        <v>48.28</v>
      </c>
      <c r="N19" s="261">
        <f t="shared" si="57"/>
        <v>10.3</v>
      </c>
      <c r="O19" s="261">
        <f t="shared" si="57"/>
        <v>15.8</v>
      </c>
      <c r="P19" s="261">
        <f t="shared" ref="P19:Q19" si="58">P5+P8+P11+P14+P17</f>
        <v>9.5</v>
      </c>
      <c r="Q19" s="261">
        <f t="shared" si="58"/>
        <v>10.100000000000001</v>
      </c>
      <c r="R19" s="222">
        <f t="shared" ref="R19" si="59">R5+R8+R11+R14+R17</f>
        <v>16.05</v>
      </c>
      <c r="S19" s="222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60"/>
      <c r="AH19" s="161"/>
      <c r="AI19" s="139">
        <f>SUM(C19:AG19)</f>
        <v>417.01000000000016</v>
      </c>
      <c r="AJ19" s="162"/>
      <c r="AK19" s="53"/>
      <c r="AL19" s="53"/>
      <c r="AM19" s="53"/>
      <c r="AN19" s="53"/>
      <c r="AO19" s="53"/>
      <c r="AP19" s="53"/>
      <c r="AQ19" s="53"/>
      <c r="AR19" s="53"/>
    </row>
    <row r="20" spans="1:44" x14ac:dyDescent="0.25">
      <c r="A20" s="167" t="s">
        <v>148</v>
      </c>
      <c r="B20" s="151"/>
      <c r="C20" s="261">
        <f>C6+C9+C12+C15+C18</f>
        <v>20.419999999999998</v>
      </c>
      <c r="D20" s="157">
        <f t="shared" ref="D20:G20" si="60">D6+D9+D12+D15+D18</f>
        <v>8.1999999999999993</v>
      </c>
      <c r="E20" s="157">
        <f t="shared" si="60"/>
        <v>42.489999999999995</v>
      </c>
      <c r="F20" s="157">
        <f t="shared" si="60"/>
        <v>52.423999999999999</v>
      </c>
      <c r="G20" s="157">
        <f t="shared" si="60"/>
        <v>12.899999999999999</v>
      </c>
      <c r="H20" s="157">
        <f t="shared" ref="H20:J20" si="61">H6+H9+H12+H15+H18</f>
        <v>52.89</v>
      </c>
      <c r="I20" s="261">
        <f t="shared" si="61"/>
        <v>71.16</v>
      </c>
      <c r="J20" s="261">
        <f t="shared" si="61"/>
        <v>16.84</v>
      </c>
      <c r="K20" s="222">
        <f t="shared" ref="K20:L20" si="62">K6+K9+K12+K15+K18</f>
        <v>12.38</v>
      </c>
      <c r="L20" s="222">
        <f t="shared" si="62"/>
        <v>34.5</v>
      </c>
      <c r="M20" s="222">
        <f t="shared" ref="M20:O20" si="63">M6+M9+M12+M15+M18</f>
        <v>26.47</v>
      </c>
      <c r="N20" s="261">
        <f t="shared" si="63"/>
        <v>27.200000000000003</v>
      </c>
      <c r="O20" s="261">
        <f t="shared" si="63"/>
        <v>33.799999999999997</v>
      </c>
      <c r="P20" s="261">
        <f t="shared" ref="P20:Q20" si="64">P6+P9+P12+P15+P18</f>
        <v>29.900000000000002</v>
      </c>
      <c r="Q20" s="261">
        <f t="shared" si="64"/>
        <v>4.0999999999999996</v>
      </c>
      <c r="R20" s="222">
        <f t="shared" ref="R20" si="65">R6+R9+R12+R15+R18</f>
        <v>18.79</v>
      </c>
      <c r="S20" s="222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60"/>
      <c r="AH20" s="161"/>
      <c r="AI20" s="139">
        <f t="shared" si="10"/>
        <v>464.464</v>
      </c>
      <c r="AJ20" s="162"/>
      <c r="AK20" s="53"/>
      <c r="AL20" s="53"/>
      <c r="AM20" s="53"/>
      <c r="AN20" s="53"/>
      <c r="AO20" s="53"/>
      <c r="AP20" s="53"/>
      <c r="AQ20" s="53"/>
      <c r="AR20" s="53"/>
    </row>
    <row r="21" spans="1:44" x14ac:dyDescent="0.25">
      <c r="A21" s="167" t="s">
        <v>143</v>
      </c>
      <c r="B21" s="151"/>
      <c r="C21" s="261">
        <v>4.1492399999999998</v>
      </c>
      <c r="D21" s="158">
        <v>2.2000000000000002</v>
      </c>
      <c r="E21" s="158">
        <v>8.6189999999999998</v>
      </c>
      <c r="F21" s="158">
        <v>17.402200000000001</v>
      </c>
      <c r="G21" s="158">
        <v>38.4</v>
      </c>
      <c r="H21" s="158">
        <v>29.571999999999999</v>
      </c>
      <c r="I21" s="262">
        <v>3.3</v>
      </c>
      <c r="J21" s="262">
        <v>1.5</v>
      </c>
      <c r="K21" s="158">
        <v>18.47</v>
      </c>
      <c r="L21" s="158">
        <v>44.024999999999999</v>
      </c>
      <c r="M21" s="158">
        <v>5.8440000000000003</v>
      </c>
      <c r="N21" s="262">
        <v>22.344000000000001</v>
      </c>
      <c r="O21" s="262">
        <v>7</v>
      </c>
      <c r="P21" s="262">
        <v>0</v>
      </c>
      <c r="Q21" s="262">
        <v>0</v>
      </c>
      <c r="R21" s="158"/>
      <c r="S21" s="158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60"/>
      <c r="AH21" s="161"/>
      <c r="AI21" s="139">
        <f t="shared" si="10"/>
        <v>202.82543999999999</v>
      </c>
      <c r="AJ21" s="162"/>
      <c r="AK21" s="53"/>
      <c r="AL21" s="53"/>
      <c r="AM21" s="53"/>
      <c r="AN21" s="53"/>
      <c r="AO21" s="53"/>
      <c r="AP21" s="53"/>
      <c r="AQ21" s="53"/>
      <c r="AR21" s="53"/>
    </row>
    <row r="22" spans="1:44" x14ac:dyDescent="0.25">
      <c r="A22" s="168" t="s">
        <v>144</v>
      </c>
      <c r="B22" s="152"/>
      <c r="C22" s="272">
        <v>0</v>
      </c>
      <c r="D22" s="146">
        <v>0</v>
      </c>
      <c r="E22" s="146">
        <v>0</v>
      </c>
      <c r="F22" s="146">
        <v>0</v>
      </c>
      <c r="G22" s="146">
        <v>0</v>
      </c>
      <c r="H22" s="146">
        <v>0</v>
      </c>
      <c r="I22" s="263">
        <v>0</v>
      </c>
      <c r="J22" s="263">
        <v>0</v>
      </c>
      <c r="K22" s="146">
        <v>0</v>
      </c>
      <c r="L22" s="146">
        <v>0</v>
      </c>
      <c r="M22" s="146">
        <v>0</v>
      </c>
      <c r="N22" s="263">
        <v>0</v>
      </c>
      <c r="O22" s="263">
        <v>0</v>
      </c>
      <c r="P22" s="263">
        <v>0</v>
      </c>
      <c r="Q22" s="263">
        <v>0</v>
      </c>
      <c r="R22" s="146"/>
      <c r="S22" s="146">
        <v>1.6</v>
      </c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8"/>
      <c r="AH22" s="155"/>
      <c r="AI22" s="28">
        <f t="shared" si="10"/>
        <v>1.6</v>
      </c>
      <c r="AJ22" s="135"/>
      <c r="AK22" s="53"/>
      <c r="AL22" s="53"/>
      <c r="AM22" s="53"/>
      <c r="AN22" s="53"/>
      <c r="AO22" s="53"/>
      <c r="AP22" s="53"/>
      <c r="AQ22" s="53"/>
      <c r="AR22" s="53"/>
    </row>
    <row r="23" spans="1:44" x14ac:dyDescent="0.25">
      <c r="A23" s="19" t="s">
        <v>12</v>
      </c>
      <c r="B23" s="137"/>
      <c r="C23" s="273"/>
      <c r="D23" s="89"/>
      <c r="E23" s="89"/>
      <c r="F23" s="89"/>
      <c r="G23" s="89"/>
      <c r="H23" s="89"/>
      <c r="I23" s="264"/>
      <c r="J23" s="264"/>
      <c r="K23" s="89"/>
      <c r="L23" s="89"/>
      <c r="M23" s="190"/>
      <c r="N23" s="264"/>
      <c r="O23" s="264"/>
      <c r="P23" s="264"/>
      <c r="Q23" s="264"/>
      <c r="R23" s="190"/>
      <c r="S23" s="190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7"/>
      <c r="AH23" s="138"/>
      <c r="AI23" s="139"/>
      <c r="AJ23" s="138"/>
      <c r="AK23" s="53"/>
      <c r="AL23" s="53"/>
      <c r="AM23" s="53"/>
      <c r="AN23" s="53"/>
      <c r="AO23" s="53"/>
      <c r="AP23" s="53"/>
      <c r="AQ23" s="53"/>
      <c r="AR23" s="53"/>
    </row>
    <row r="24" spans="1:44" x14ac:dyDescent="0.25">
      <c r="A24" s="20" t="s">
        <v>7</v>
      </c>
      <c r="B24" s="12"/>
      <c r="C24" s="274"/>
      <c r="D24" s="87"/>
      <c r="E24" s="87"/>
      <c r="F24" s="87"/>
      <c r="G24" s="87"/>
      <c r="H24" s="87"/>
      <c r="I24" s="265"/>
      <c r="J24" s="265"/>
      <c r="K24" s="87"/>
      <c r="L24" s="87"/>
      <c r="M24" s="189"/>
      <c r="N24" s="265"/>
      <c r="O24" s="265"/>
      <c r="P24" s="265"/>
      <c r="Q24" s="265"/>
      <c r="R24" s="189"/>
      <c r="S24" s="189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3"/>
      <c r="AH24" s="122">
        <f>AH3*Данные!K3</f>
        <v>42.2</v>
      </c>
      <c r="AI24" s="123">
        <f>SUM(C24:AG24)</f>
        <v>0</v>
      </c>
      <c r="AJ24" s="109"/>
      <c r="AK24" s="53"/>
      <c r="AL24" s="53"/>
      <c r="AM24" s="53"/>
      <c r="AN24" s="53"/>
      <c r="AO24" s="53"/>
      <c r="AP24" s="53"/>
      <c r="AQ24" s="53"/>
      <c r="AR24" s="53"/>
    </row>
    <row r="25" spans="1:44" x14ac:dyDescent="0.25">
      <c r="A25" s="20" t="s">
        <v>13</v>
      </c>
      <c r="B25" s="12"/>
      <c r="C25" s="274"/>
      <c r="D25" s="87"/>
      <c r="E25" s="87"/>
      <c r="F25" s="87"/>
      <c r="G25" s="87"/>
      <c r="H25" s="87"/>
      <c r="I25" s="265"/>
      <c r="J25" s="265"/>
      <c r="K25" s="87">
        <v>12.51</v>
      </c>
      <c r="L25" s="87">
        <v>3</v>
      </c>
      <c r="M25" s="189"/>
      <c r="N25" s="265"/>
      <c r="O25" s="265"/>
      <c r="P25" s="265"/>
      <c r="Q25" s="265"/>
      <c r="R25" s="189">
        <f>5</f>
        <v>5</v>
      </c>
      <c r="S25" s="189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3"/>
      <c r="AH25" s="122">
        <f>AH3*Данные!K4-SUM(C25:AG25)</f>
        <v>190.49</v>
      </c>
      <c r="AI25" s="123">
        <f>SUM(C25:AG25)</f>
        <v>20.509999999999998</v>
      </c>
      <c r="AJ25" s="109"/>
      <c r="AK25" s="53"/>
      <c r="AL25" s="53"/>
      <c r="AM25" s="53"/>
      <c r="AN25" s="53"/>
      <c r="AO25" s="53"/>
      <c r="AP25" s="53"/>
      <c r="AQ25" s="53"/>
      <c r="AR25" s="53"/>
    </row>
    <row r="26" spans="1:44" x14ac:dyDescent="0.25">
      <c r="A26" s="21" t="s">
        <v>126</v>
      </c>
      <c r="B26" s="15"/>
      <c r="C26" s="275"/>
      <c r="D26" s="88"/>
      <c r="E26" s="88"/>
      <c r="F26" s="88">
        <v>1</v>
      </c>
      <c r="G26" s="88"/>
      <c r="H26" s="88"/>
      <c r="I26" s="266"/>
      <c r="J26" s="266"/>
      <c r="K26" s="88"/>
      <c r="L26" s="88"/>
      <c r="M26" s="88"/>
      <c r="N26" s="266"/>
      <c r="O26" s="266"/>
      <c r="P26" s="266"/>
      <c r="Q26" s="266"/>
      <c r="R26" s="88"/>
      <c r="S26" s="88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5"/>
      <c r="AH26" s="124">
        <f>Данные!N10/1000-SUM(C26:AG26)</f>
        <v>19</v>
      </c>
      <c r="AI26" s="125">
        <f>SUM(C26:AG26)</f>
        <v>1</v>
      </c>
      <c r="AJ26" s="110"/>
      <c r="AK26" s="53"/>
      <c r="AL26" s="53"/>
      <c r="AM26" s="53"/>
      <c r="AN26" s="53"/>
      <c r="AO26" s="53"/>
      <c r="AP26" s="53"/>
      <c r="AQ26" s="53"/>
      <c r="AR26" s="53"/>
    </row>
    <row r="27" spans="1:44" x14ac:dyDescent="0.25">
      <c r="A27" s="22" t="s">
        <v>0</v>
      </c>
      <c r="B27" s="14"/>
      <c r="C27" s="273"/>
      <c r="D27" s="89"/>
      <c r="E27" s="89"/>
      <c r="F27" s="89"/>
      <c r="G27" s="89"/>
      <c r="H27" s="89"/>
      <c r="I27" s="264"/>
      <c r="J27" s="264"/>
      <c r="K27" s="89"/>
      <c r="L27" s="89"/>
      <c r="M27" s="190"/>
      <c r="N27" s="264"/>
      <c r="O27" s="264"/>
      <c r="P27" s="264"/>
      <c r="Q27" s="264"/>
      <c r="R27" s="190"/>
      <c r="S27" s="190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7"/>
      <c r="AH27" s="126"/>
      <c r="AI27" s="127"/>
      <c r="AJ27" s="112"/>
      <c r="AK27" s="53"/>
      <c r="AL27" s="53"/>
      <c r="AM27" s="53"/>
      <c r="AN27" s="53"/>
      <c r="AO27" s="53"/>
      <c r="AP27" s="53"/>
      <c r="AQ27" s="53"/>
      <c r="AR27" s="53"/>
    </row>
    <row r="28" spans="1:44" x14ac:dyDescent="0.25">
      <c r="A28" s="23" t="str">
        <f>Данные!B3</f>
        <v>Ситникова Вера Ивановна</v>
      </c>
      <c r="B28" s="13"/>
      <c r="C28" s="274"/>
      <c r="D28" s="87"/>
      <c r="E28" s="87"/>
      <c r="F28" s="87"/>
      <c r="G28" s="87"/>
      <c r="H28" s="87"/>
      <c r="I28" s="265"/>
      <c r="J28" s="265"/>
      <c r="K28" s="87"/>
      <c r="L28" s="87"/>
      <c r="M28" s="189"/>
      <c r="N28" s="265"/>
      <c r="O28" s="265"/>
      <c r="P28" s="265"/>
      <c r="Q28" s="265"/>
      <c r="R28" s="189"/>
      <c r="S28" s="189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3"/>
      <c r="AH28" s="122">
        <f>Данные!D3/1000-SUM(C28:AG28)</f>
        <v>151.5</v>
      </c>
      <c r="AI28" s="128">
        <f t="shared" ref="AI28:AI46" si="66">SUM(C28:AG28)</f>
        <v>0</v>
      </c>
      <c r="AJ28" s="134">
        <f t="shared" ref="AJ28:AJ30" si="67">B28+AH28</f>
        <v>151.5</v>
      </c>
      <c r="AK28" s="53"/>
      <c r="AL28" s="53"/>
      <c r="AM28" s="53"/>
      <c r="AN28" s="53"/>
      <c r="AO28" s="53"/>
      <c r="AP28" s="53"/>
      <c r="AQ28" s="53"/>
      <c r="AR28" s="53"/>
    </row>
    <row r="29" spans="1:44" x14ac:dyDescent="0.25">
      <c r="A29" s="23" t="str">
        <f>Данные!B4</f>
        <v>Куликов Александр Леонидович</v>
      </c>
      <c r="B29" s="13"/>
      <c r="C29" s="274"/>
      <c r="D29" s="87"/>
      <c r="E29" s="87"/>
      <c r="F29" s="87"/>
      <c r="G29" s="87"/>
      <c r="H29" s="87">
        <v>20</v>
      </c>
      <c r="I29" s="265"/>
      <c r="J29" s="265"/>
      <c r="K29" s="87"/>
      <c r="L29" s="87"/>
      <c r="M29" s="189"/>
      <c r="N29" s="265"/>
      <c r="O29" s="265"/>
      <c r="P29" s="265"/>
      <c r="Q29" s="265"/>
      <c r="R29" s="189"/>
      <c r="S29" s="189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3"/>
      <c r="AH29" s="122">
        <f>Данные!D4/1000-SUM(C29:AG29)</f>
        <v>89.5</v>
      </c>
      <c r="AI29" s="128">
        <f t="shared" si="66"/>
        <v>20</v>
      </c>
      <c r="AJ29" s="134">
        <f t="shared" si="67"/>
        <v>89.5</v>
      </c>
      <c r="AK29" s="53"/>
      <c r="AL29" s="53"/>
      <c r="AM29" s="53"/>
      <c r="AN29" s="53"/>
      <c r="AO29" s="53"/>
      <c r="AP29" s="53"/>
      <c r="AQ29" s="53"/>
      <c r="AR29" s="53"/>
    </row>
    <row r="30" spans="1:44" x14ac:dyDescent="0.25">
      <c r="A30" s="23" t="str">
        <f>Данные!B5</f>
        <v>Исаева Надежда Фёдоровна</v>
      </c>
      <c r="B30" s="13"/>
      <c r="C30" s="274"/>
      <c r="D30" s="87"/>
      <c r="E30" s="87"/>
      <c r="F30" s="87"/>
      <c r="G30" s="87"/>
      <c r="H30" s="87"/>
      <c r="I30" s="265"/>
      <c r="J30" s="265"/>
      <c r="K30" s="87"/>
      <c r="L30" s="87"/>
      <c r="M30" s="189"/>
      <c r="N30" s="265"/>
      <c r="O30" s="265"/>
      <c r="P30" s="265"/>
      <c r="Q30" s="265"/>
      <c r="R30" s="189"/>
      <c r="S30" s="189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3"/>
      <c r="AH30" s="122">
        <f>Данные!D5/1000-SUM(C30:AG30)</f>
        <v>104.5</v>
      </c>
      <c r="AI30" s="128">
        <f t="shared" si="66"/>
        <v>0</v>
      </c>
      <c r="AJ30" s="134">
        <f t="shared" si="67"/>
        <v>104.5</v>
      </c>
      <c r="AK30" s="53"/>
      <c r="AL30" s="53"/>
      <c r="AM30" s="53"/>
      <c r="AN30" s="53"/>
      <c r="AO30" s="53"/>
      <c r="AP30" s="53"/>
      <c r="AQ30" s="53"/>
      <c r="AR30" s="53"/>
    </row>
    <row r="31" spans="1:44" x14ac:dyDescent="0.25">
      <c r="A31" s="23" t="str">
        <f>Данные!B6</f>
        <v>Курочкин Андрей Олегович</v>
      </c>
      <c r="B31" s="13"/>
      <c r="C31" s="274"/>
      <c r="D31" s="87"/>
      <c r="E31" s="87"/>
      <c r="F31" s="87"/>
      <c r="G31" s="87"/>
      <c r="H31" s="87"/>
      <c r="I31" s="265"/>
      <c r="J31" s="265"/>
      <c r="K31" s="87"/>
      <c r="L31" s="87"/>
      <c r="M31" s="189"/>
      <c r="N31" s="265"/>
      <c r="O31" s="265">
        <v>15</v>
      </c>
      <c r="P31" s="265"/>
      <c r="Q31" s="265"/>
      <c r="R31" s="189"/>
      <c r="S31" s="189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3"/>
      <c r="AH31" s="122">
        <f>Данные!D6/1000-SUM(C31:AG31)</f>
        <v>24</v>
      </c>
      <c r="AI31" s="128">
        <f t="shared" si="66"/>
        <v>15</v>
      </c>
      <c r="AJ31" s="134">
        <f>B31+AH31</f>
        <v>24</v>
      </c>
      <c r="AK31" s="53"/>
      <c r="AL31" s="53"/>
      <c r="AM31" s="53"/>
      <c r="AN31" s="53"/>
      <c r="AO31" s="53"/>
      <c r="AP31" s="53"/>
      <c r="AQ31" s="53"/>
      <c r="AR31" s="53"/>
    </row>
    <row r="32" spans="1:44" x14ac:dyDescent="0.25">
      <c r="A32" s="23" t="str">
        <f>Данные!B7</f>
        <v>Айроян Эрик Гамлетович</v>
      </c>
      <c r="B32" s="13"/>
      <c r="C32" s="274">
        <v>20</v>
      </c>
      <c r="D32" s="87"/>
      <c r="E32" s="87"/>
      <c r="F32" s="87"/>
      <c r="G32" s="87"/>
      <c r="H32" s="87"/>
      <c r="I32" s="265"/>
      <c r="J32" s="265"/>
      <c r="K32" s="87"/>
      <c r="L32" s="87"/>
      <c r="M32" s="189"/>
      <c r="N32" s="265"/>
      <c r="O32" s="265"/>
      <c r="P32" s="265"/>
      <c r="Q32" s="265"/>
      <c r="R32" s="189"/>
      <c r="S32" s="189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3"/>
      <c r="AH32" s="122">
        <f>Данные!D7/1000-SUM(C32:AG32)</f>
        <v>86</v>
      </c>
      <c r="AI32" s="128">
        <f t="shared" si="66"/>
        <v>20</v>
      </c>
      <c r="AJ32" s="134">
        <f t="shared" ref="AJ32:AJ61" si="68">B32+AH32</f>
        <v>86</v>
      </c>
      <c r="AK32" s="53"/>
      <c r="AL32" s="53"/>
      <c r="AM32" s="53"/>
      <c r="AN32" s="53"/>
      <c r="AO32" s="53"/>
      <c r="AP32" s="53"/>
      <c r="AQ32" s="53"/>
      <c r="AR32" s="53"/>
    </row>
    <row r="33" spans="1:44" x14ac:dyDescent="0.25">
      <c r="A33" s="23" t="str">
        <f>Данные!B8</f>
        <v>Розин Игнатий Юрьевич</v>
      </c>
      <c r="B33" s="13"/>
      <c r="C33" s="274"/>
      <c r="D33" s="87"/>
      <c r="E33" s="87"/>
      <c r="F33" s="87"/>
      <c r="G33" s="87"/>
      <c r="H33" s="87"/>
      <c r="I33" s="265"/>
      <c r="J33" s="265"/>
      <c r="K33" s="87"/>
      <c r="L33" s="87"/>
      <c r="M33" s="189"/>
      <c r="N33" s="265"/>
      <c r="O33" s="265"/>
      <c r="P33" s="265"/>
      <c r="Q33" s="265"/>
      <c r="R33" s="189"/>
      <c r="S33" s="189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3"/>
      <c r="AH33" s="122">
        <f>Данные!D8/1000-SUM(C33:AG33)</f>
        <v>70</v>
      </c>
      <c r="AI33" s="128">
        <f t="shared" si="66"/>
        <v>0</v>
      </c>
      <c r="AJ33" s="134">
        <f t="shared" si="68"/>
        <v>70</v>
      </c>
      <c r="AK33" s="53"/>
      <c r="AL33" s="53"/>
      <c r="AM33" s="53"/>
      <c r="AN33" s="53"/>
      <c r="AO33" s="53"/>
      <c r="AP33" s="53"/>
      <c r="AQ33" s="53"/>
      <c r="AR33" s="53"/>
    </row>
    <row r="34" spans="1:44" x14ac:dyDescent="0.25">
      <c r="A34" s="23" t="str">
        <f>Данные!B9</f>
        <v>Вартанов Никита</v>
      </c>
      <c r="B34" s="13"/>
      <c r="C34" s="274"/>
      <c r="D34" s="87"/>
      <c r="E34" s="87">
        <v>10</v>
      </c>
      <c r="F34" s="87"/>
      <c r="G34" s="87"/>
      <c r="H34" s="87"/>
      <c r="I34" s="265"/>
      <c r="J34" s="265"/>
      <c r="K34" s="87"/>
      <c r="L34" s="87">
        <v>15</v>
      </c>
      <c r="M34" s="189"/>
      <c r="N34" s="265"/>
      <c r="O34" s="265"/>
      <c r="P34" s="265"/>
      <c r="Q34" s="265"/>
      <c r="R34" s="189"/>
      <c r="S34" s="189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3"/>
      <c r="AH34" s="122">
        <f>Данные!D9/1000-SUM(C34:AG34)</f>
        <v>45</v>
      </c>
      <c r="AI34" s="128">
        <f t="shared" si="66"/>
        <v>25</v>
      </c>
      <c r="AJ34" s="134">
        <f t="shared" si="68"/>
        <v>45</v>
      </c>
      <c r="AK34" s="53"/>
      <c r="AL34" s="53"/>
      <c r="AM34" s="53"/>
      <c r="AN34" s="53"/>
      <c r="AO34" s="53"/>
      <c r="AP34" s="53"/>
      <c r="AQ34" s="53"/>
      <c r="AR34" s="53"/>
    </row>
    <row r="35" spans="1:44" x14ac:dyDescent="0.25">
      <c r="A35" s="23" t="str">
        <f>Данные!B10</f>
        <v>Сорвачев Борис</v>
      </c>
      <c r="B35" s="13"/>
      <c r="C35" s="274"/>
      <c r="D35" s="87"/>
      <c r="E35" s="87"/>
      <c r="F35" s="87"/>
      <c r="G35" s="87"/>
      <c r="H35" s="87"/>
      <c r="I35" s="265"/>
      <c r="J35" s="265"/>
      <c r="K35" s="87"/>
      <c r="L35" s="87"/>
      <c r="M35" s="189"/>
      <c r="N35" s="265"/>
      <c r="O35" s="265"/>
      <c r="P35" s="265"/>
      <c r="Q35" s="265"/>
      <c r="R35" s="189"/>
      <c r="S35" s="189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3"/>
      <c r="AH35" s="122">
        <f>Данные!D10/1000-SUM(C35:AG35)</f>
        <v>70</v>
      </c>
      <c r="AI35" s="128">
        <f t="shared" si="66"/>
        <v>0</v>
      </c>
      <c r="AJ35" s="134">
        <f t="shared" si="68"/>
        <v>70</v>
      </c>
      <c r="AK35" s="53"/>
      <c r="AL35" s="53"/>
      <c r="AM35" s="53"/>
      <c r="AN35" s="53"/>
      <c r="AO35" s="53"/>
      <c r="AP35" s="53"/>
      <c r="AQ35" s="53"/>
      <c r="AR35" s="53"/>
    </row>
    <row r="36" spans="1:44" x14ac:dyDescent="0.25">
      <c r="A36" s="23" t="str">
        <f>Данные!B11</f>
        <v>Нестерова Анастасия Артёмовна</v>
      </c>
      <c r="B36" s="13"/>
      <c r="C36" s="274"/>
      <c r="D36" s="87">
        <v>10</v>
      </c>
      <c r="E36" s="87">
        <v>5</v>
      </c>
      <c r="F36" s="87"/>
      <c r="G36" s="87"/>
      <c r="H36" s="87"/>
      <c r="I36" s="265"/>
      <c r="J36" s="265"/>
      <c r="K36" s="87"/>
      <c r="L36" s="87">
        <v>16</v>
      </c>
      <c r="M36" s="189"/>
      <c r="N36" s="265"/>
      <c r="O36" s="265"/>
      <c r="P36" s="265"/>
      <c r="Q36" s="265"/>
      <c r="R36" s="189"/>
      <c r="S36" s="189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3"/>
      <c r="AH36" s="122">
        <f>Данные!D11/1000-SUM(C36:AG36)</f>
        <v>39</v>
      </c>
      <c r="AI36" s="128">
        <f t="shared" si="66"/>
        <v>31</v>
      </c>
      <c r="AJ36" s="134">
        <f t="shared" si="68"/>
        <v>39</v>
      </c>
      <c r="AK36" s="53"/>
      <c r="AL36" s="53"/>
      <c r="AM36" s="53"/>
      <c r="AN36" s="53"/>
      <c r="AO36" s="53"/>
      <c r="AP36" s="53"/>
      <c r="AQ36" s="53"/>
      <c r="AR36" s="53"/>
    </row>
    <row r="37" spans="1:44" x14ac:dyDescent="0.25">
      <c r="A37" s="23" t="str">
        <f>Данные!B12</f>
        <v>Тюрников Сергей Сергеевич</v>
      </c>
      <c r="B37" s="13"/>
      <c r="C37" s="274"/>
      <c r="D37" s="87"/>
      <c r="E37" s="87"/>
      <c r="F37" s="87"/>
      <c r="G37" s="87"/>
      <c r="H37" s="87"/>
      <c r="I37" s="265"/>
      <c r="J37" s="265"/>
      <c r="K37" s="87"/>
      <c r="L37" s="87"/>
      <c r="M37" s="189">
        <v>7</v>
      </c>
      <c r="N37" s="265"/>
      <c r="O37" s="265"/>
      <c r="P37" s="265"/>
      <c r="Q37" s="265"/>
      <c r="R37" s="189"/>
      <c r="S37" s="189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3"/>
      <c r="AH37" s="122">
        <f>Данные!D12/1000-SUM(C37:AG37)</f>
        <v>63</v>
      </c>
      <c r="AI37" s="128">
        <f t="shared" si="66"/>
        <v>7</v>
      </c>
      <c r="AJ37" s="134">
        <f t="shared" si="68"/>
        <v>63</v>
      </c>
      <c r="AK37" s="53"/>
      <c r="AL37" s="53"/>
      <c r="AM37" s="53"/>
      <c r="AN37" s="53"/>
      <c r="AO37" s="53"/>
      <c r="AP37" s="53"/>
      <c r="AQ37" s="53"/>
      <c r="AR37" s="53"/>
    </row>
    <row r="38" spans="1:44" x14ac:dyDescent="0.25">
      <c r="A38" s="23" t="str">
        <f>Данные!B13</f>
        <v>Зеленков Андрей Владимирович</v>
      </c>
      <c r="B38" s="13"/>
      <c r="C38" s="274"/>
      <c r="D38" s="87"/>
      <c r="E38" s="87">
        <v>3</v>
      </c>
      <c r="F38" s="87"/>
      <c r="G38" s="87">
        <v>5</v>
      </c>
      <c r="H38" s="87"/>
      <c r="I38" s="265">
        <v>4</v>
      </c>
      <c r="J38" s="265"/>
      <c r="K38" s="87">
        <v>10</v>
      </c>
      <c r="L38" s="87">
        <v>5</v>
      </c>
      <c r="M38" s="189"/>
      <c r="N38" s="265"/>
      <c r="O38" s="265"/>
      <c r="P38" s="265"/>
      <c r="Q38" s="265"/>
      <c r="R38" s="189">
        <v>15</v>
      </c>
      <c r="S38" s="189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3"/>
      <c r="AH38" s="122">
        <f>Данные!D13/1000-SUM(C38:AG38)</f>
        <v>67</v>
      </c>
      <c r="AI38" s="128">
        <f t="shared" si="66"/>
        <v>42</v>
      </c>
      <c r="AJ38" s="134">
        <f t="shared" si="68"/>
        <v>67</v>
      </c>
      <c r="AK38" s="53"/>
      <c r="AL38" s="53"/>
      <c r="AM38" s="53"/>
      <c r="AN38" s="53"/>
      <c r="AO38" s="53"/>
      <c r="AP38" s="53"/>
      <c r="AQ38" s="53"/>
      <c r="AR38" s="53"/>
    </row>
    <row r="39" spans="1:44" x14ac:dyDescent="0.25">
      <c r="A39" s="23" t="str">
        <f>Данные!B14</f>
        <v>Ларенцев Алексей Викторович</v>
      </c>
      <c r="B39" s="13"/>
      <c r="C39" s="274"/>
      <c r="D39" s="87"/>
      <c r="E39" s="87"/>
      <c r="F39" s="87"/>
      <c r="G39" s="87">
        <v>10</v>
      </c>
      <c r="H39" s="87"/>
      <c r="I39" s="265"/>
      <c r="J39" s="265"/>
      <c r="K39" s="87"/>
      <c r="L39" s="87"/>
      <c r="M39" s="189"/>
      <c r="N39" s="265"/>
      <c r="O39" s="265"/>
      <c r="P39" s="265"/>
      <c r="Q39" s="265"/>
      <c r="R39" s="189"/>
      <c r="S39" s="189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3"/>
      <c r="AH39" s="122">
        <f>Данные!D14/1000-SUM(C39:AG39)</f>
        <v>60</v>
      </c>
      <c r="AI39" s="128">
        <f t="shared" si="66"/>
        <v>10</v>
      </c>
      <c r="AJ39" s="134">
        <f t="shared" si="68"/>
        <v>60</v>
      </c>
      <c r="AK39" s="53"/>
      <c r="AL39" s="53"/>
      <c r="AM39" s="53"/>
      <c r="AN39" s="53"/>
      <c r="AO39" s="53"/>
      <c r="AP39" s="53"/>
      <c r="AQ39" s="53"/>
      <c r="AR39" s="53"/>
    </row>
    <row r="40" spans="1:44" x14ac:dyDescent="0.25">
      <c r="A40" s="23" t="str">
        <f>Данные!G14</f>
        <v>Администратор мастерских</v>
      </c>
      <c r="B40" s="13"/>
      <c r="C40" s="274"/>
      <c r="D40" s="87"/>
      <c r="E40" s="87"/>
      <c r="F40" s="87"/>
      <c r="G40" s="87"/>
      <c r="H40" s="87"/>
      <c r="I40" s="265"/>
      <c r="J40" s="265"/>
      <c r="K40" s="87"/>
      <c r="L40" s="87"/>
      <c r="M40" s="189">
        <v>2</v>
      </c>
      <c r="N40" s="265"/>
      <c r="O40" s="265">
        <v>8</v>
      </c>
      <c r="P40" s="265"/>
      <c r="Q40" s="265"/>
      <c r="R40" s="189"/>
      <c r="S40" s="189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3"/>
      <c r="AH40" s="122">
        <f>Данные!H14/1000-SUM(C40:AG40)</f>
        <v>50</v>
      </c>
      <c r="AI40" s="128">
        <f t="shared" si="66"/>
        <v>10</v>
      </c>
      <c r="AJ40" s="134">
        <f t="shared" si="68"/>
        <v>50</v>
      </c>
      <c r="AK40" s="53"/>
      <c r="AL40" s="53"/>
      <c r="AM40" s="53"/>
      <c r="AN40" s="53"/>
      <c r="AO40" s="53"/>
      <c r="AP40" s="53"/>
      <c r="AQ40" s="53"/>
      <c r="AR40" s="53"/>
    </row>
    <row r="41" spans="1:44" x14ac:dyDescent="0.25">
      <c r="A41" s="23" t="str">
        <f>Данные!G15</f>
        <v>ССЦ бухгалтер</v>
      </c>
      <c r="B41" s="13"/>
      <c r="C41" s="274">
        <v>15.5</v>
      </c>
      <c r="D41" s="87"/>
      <c r="E41" s="87"/>
      <c r="F41" s="87">
        <v>10</v>
      </c>
      <c r="G41" s="87"/>
      <c r="H41" s="87"/>
      <c r="I41" s="265"/>
      <c r="J41" s="265"/>
      <c r="K41" s="87"/>
      <c r="L41" s="87"/>
      <c r="M41" s="189">
        <v>10</v>
      </c>
      <c r="N41" s="265"/>
      <c r="O41" s="265"/>
      <c r="P41" s="265"/>
      <c r="Q41" s="265"/>
      <c r="R41" s="189">
        <v>4.5</v>
      </c>
      <c r="S41" s="189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3"/>
      <c r="AH41" s="122">
        <f>Данные!H15/1000-SUM(C41:AG41)</f>
        <v>10</v>
      </c>
      <c r="AI41" s="128">
        <f t="shared" si="66"/>
        <v>40</v>
      </c>
      <c r="AJ41" s="134">
        <f t="shared" si="68"/>
        <v>10</v>
      </c>
      <c r="AK41" s="53"/>
      <c r="AL41" s="53"/>
      <c r="AM41" s="53"/>
      <c r="AN41" s="53"/>
      <c r="AO41" s="53"/>
      <c r="AP41" s="53"/>
      <c r="AQ41" s="53"/>
      <c r="AR41" s="53"/>
    </row>
    <row r="42" spans="1:44" x14ac:dyDescent="0.25">
      <c r="A42" s="23" t="str">
        <f>Данные!G16</f>
        <v>Главный бухгалтер</v>
      </c>
      <c r="B42" s="13"/>
      <c r="C42" s="274">
        <v>14.5</v>
      </c>
      <c r="D42" s="87"/>
      <c r="E42" s="87"/>
      <c r="F42" s="87"/>
      <c r="G42" s="87"/>
      <c r="H42" s="87"/>
      <c r="I42" s="265"/>
      <c r="J42" s="265"/>
      <c r="K42" s="87"/>
      <c r="L42" s="87"/>
      <c r="M42" s="189"/>
      <c r="N42" s="265"/>
      <c r="O42" s="265"/>
      <c r="P42" s="265"/>
      <c r="Q42" s="265"/>
      <c r="R42" s="189"/>
      <c r="S42" s="189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3"/>
      <c r="AH42" s="122">
        <f>Данные!H16/1000-SUM(C42:AG42)</f>
        <v>25.5</v>
      </c>
      <c r="AI42" s="128">
        <f t="shared" si="66"/>
        <v>14.5</v>
      </c>
      <c r="AJ42" s="134">
        <f t="shared" si="68"/>
        <v>25.5</v>
      </c>
      <c r="AK42" s="53"/>
      <c r="AL42" s="53"/>
      <c r="AM42" s="53"/>
      <c r="AN42" s="53"/>
      <c r="AO42" s="53"/>
      <c r="AP42" s="53"/>
      <c r="AQ42" s="53"/>
      <c r="AR42" s="53"/>
    </row>
    <row r="43" spans="1:44" x14ac:dyDescent="0.25">
      <c r="A43" s="23" t="str">
        <f>Данные!G17</f>
        <v>Системный администратор</v>
      </c>
      <c r="B43" s="13"/>
      <c r="C43" s="274"/>
      <c r="D43" s="87"/>
      <c r="E43" s="87"/>
      <c r="F43" s="87"/>
      <c r="G43" s="87"/>
      <c r="H43" s="87"/>
      <c r="I43" s="265"/>
      <c r="J43" s="265"/>
      <c r="K43" s="87">
        <v>13</v>
      </c>
      <c r="L43" s="87"/>
      <c r="M43" s="189"/>
      <c r="N43" s="265"/>
      <c r="O43" s="265"/>
      <c r="P43" s="265"/>
      <c r="Q43" s="265"/>
      <c r="R43" s="189"/>
      <c r="S43" s="189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3"/>
      <c r="AH43" s="122">
        <f>Данные!H17/1000-SUM(C43:AG43)</f>
        <v>-3</v>
      </c>
      <c r="AI43" s="128">
        <f t="shared" si="66"/>
        <v>13</v>
      </c>
      <c r="AJ43" s="134">
        <f t="shared" si="68"/>
        <v>-3</v>
      </c>
      <c r="AK43" s="53"/>
      <c r="AL43" s="53"/>
      <c r="AM43" s="53"/>
      <c r="AN43" s="53"/>
      <c r="AO43" s="53"/>
      <c r="AP43" s="53"/>
      <c r="AQ43" s="53"/>
      <c r="AR43" s="53"/>
    </row>
    <row r="44" spans="1:44" x14ac:dyDescent="0.25">
      <c r="A44" s="23" t="str">
        <f>Данные!G18</f>
        <v>Юрисконсульт</v>
      </c>
      <c r="B44" s="13"/>
      <c r="C44" s="274"/>
      <c r="D44" s="87"/>
      <c r="E44" s="87"/>
      <c r="F44" s="87"/>
      <c r="G44" s="87"/>
      <c r="H44" s="87"/>
      <c r="I44" s="265"/>
      <c r="J44" s="265"/>
      <c r="K44" s="87"/>
      <c r="L44" s="87"/>
      <c r="M44" s="189"/>
      <c r="N44" s="265"/>
      <c r="O44" s="265"/>
      <c r="P44" s="265"/>
      <c r="Q44" s="265"/>
      <c r="R44" s="189"/>
      <c r="S44" s="189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3"/>
      <c r="AH44" s="122">
        <f>Данные!H18/1000-SUM(C44:AG44)</f>
        <v>5</v>
      </c>
      <c r="AI44" s="128">
        <f t="shared" si="66"/>
        <v>0</v>
      </c>
      <c r="AJ44" s="134">
        <f t="shared" si="68"/>
        <v>5</v>
      </c>
      <c r="AK44" s="53"/>
      <c r="AL44" s="53"/>
      <c r="AM44" s="53"/>
      <c r="AN44" s="53"/>
      <c r="AO44" s="53"/>
      <c r="AP44" s="53"/>
      <c r="AQ44" s="53"/>
      <c r="AR44" s="53"/>
    </row>
    <row r="45" spans="1:44" x14ac:dyDescent="0.25">
      <c r="A45" s="23" t="str">
        <f>Данные!G19</f>
        <v>Маркетолог - МИЗ</v>
      </c>
      <c r="B45" s="13"/>
      <c r="C45" s="274">
        <v>1.23</v>
      </c>
      <c r="D45" s="87"/>
      <c r="E45" s="87">
        <v>1.728</v>
      </c>
      <c r="F45" s="87">
        <v>16.809999999999999</v>
      </c>
      <c r="G45" s="87"/>
      <c r="H45" s="87">
        <v>30</v>
      </c>
      <c r="I45" s="265"/>
      <c r="J45" s="265"/>
      <c r="K45" s="87"/>
      <c r="L45" s="87"/>
      <c r="M45" s="189"/>
      <c r="N45" s="265"/>
      <c r="O45" s="265">
        <v>15</v>
      </c>
      <c r="P45" s="265"/>
      <c r="Q45" s="265"/>
      <c r="R45" s="189"/>
      <c r="S45" s="189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3"/>
      <c r="AH45" s="122">
        <f>Данные!H19/1000-SUM(C45:AG45)</f>
        <v>-29.768000000000001</v>
      </c>
      <c r="AI45" s="128">
        <f t="shared" si="66"/>
        <v>64.768000000000001</v>
      </c>
      <c r="AJ45" s="134">
        <f t="shared" si="68"/>
        <v>-29.768000000000001</v>
      </c>
      <c r="AK45" s="53"/>
      <c r="AL45" s="53"/>
      <c r="AM45" s="53"/>
      <c r="AN45" s="53"/>
      <c r="AO45" s="53"/>
      <c r="AP45" s="53"/>
      <c r="AQ45" s="53"/>
      <c r="AR45" s="53"/>
    </row>
    <row r="46" spans="1:44" x14ac:dyDescent="0.25">
      <c r="A46" s="24" t="str">
        <f>Данные!G20</f>
        <v>Директор</v>
      </c>
      <c r="B46" s="16">
        <v>88.5</v>
      </c>
      <c r="C46" s="276"/>
      <c r="D46" s="90"/>
      <c r="E46" s="90">
        <v>40</v>
      </c>
      <c r="F46" s="90"/>
      <c r="G46" s="90"/>
      <c r="H46" s="90"/>
      <c r="I46" s="267"/>
      <c r="J46" s="267"/>
      <c r="K46" s="90"/>
      <c r="L46" s="90">
        <v>10</v>
      </c>
      <c r="M46" s="90">
        <v>10</v>
      </c>
      <c r="N46" s="267"/>
      <c r="O46" s="267"/>
      <c r="P46" s="267"/>
      <c r="Q46" s="267"/>
      <c r="R46" s="90"/>
      <c r="S46" s="90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2"/>
      <c r="AF46" s="38"/>
      <c r="AG46" s="39"/>
      <c r="AH46" s="122">
        <f>Данные!H20/1000-SUM(C46:AG46)</f>
        <v>40</v>
      </c>
      <c r="AI46" s="129">
        <f t="shared" si="66"/>
        <v>60</v>
      </c>
      <c r="AJ46" s="134">
        <f>B46+AH46</f>
        <v>128.5</v>
      </c>
      <c r="AK46" s="53"/>
      <c r="AL46" s="53"/>
      <c r="AM46" s="53"/>
      <c r="AN46" s="53"/>
      <c r="AO46" s="53"/>
      <c r="AP46" s="53"/>
      <c r="AQ46" s="53"/>
      <c r="AR46" s="53"/>
    </row>
    <row r="47" spans="1:44" x14ac:dyDescent="0.25">
      <c r="A47" s="25" t="s">
        <v>1</v>
      </c>
      <c r="B47" s="17"/>
      <c r="C47" s="277"/>
      <c r="D47" s="91"/>
      <c r="E47" s="92"/>
      <c r="F47" s="92"/>
      <c r="G47" s="92"/>
      <c r="H47" s="92"/>
      <c r="I47" s="268"/>
      <c r="J47" s="268"/>
      <c r="K47" s="92"/>
      <c r="L47" s="92"/>
      <c r="M47" s="92"/>
      <c r="N47" s="268"/>
      <c r="O47" s="268"/>
      <c r="P47" s="268"/>
      <c r="Q47" s="268"/>
      <c r="R47" s="92"/>
      <c r="S47" s="92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30"/>
      <c r="AH47" s="130"/>
      <c r="AI47" s="131"/>
      <c r="AJ47" s="112"/>
      <c r="AK47" s="53"/>
      <c r="AL47" s="53"/>
      <c r="AM47" s="53"/>
      <c r="AN47" s="53"/>
      <c r="AO47" s="53"/>
      <c r="AP47" s="53"/>
      <c r="AQ47" s="53"/>
      <c r="AR47" s="53"/>
    </row>
    <row r="48" spans="1:44" x14ac:dyDescent="0.25">
      <c r="A48" s="23" t="str">
        <f>Данные!M3</f>
        <v>Бронницы</v>
      </c>
      <c r="B48" s="13"/>
      <c r="C48" s="274"/>
      <c r="D48" s="87"/>
      <c r="E48" s="87"/>
      <c r="F48" s="87"/>
      <c r="G48" s="87"/>
      <c r="H48" s="87"/>
      <c r="I48" s="265"/>
      <c r="J48" s="265"/>
      <c r="K48" s="87"/>
      <c r="L48" s="87"/>
      <c r="M48" s="189"/>
      <c r="N48" s="265"/>
      <c r="O48" s="265"/>
      <c r="P48" s="265"/>
      <c r="Q48" s="265"/>
      <c r="R48" s="189">
        <v>1.5</v>
      </c>
      <c r="S48" s="189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3"/>
      <c r="AH48" s="120">
        <f>Данные!N3/1000-SUM(C48:AG48)</f>
        <v>30.5</v>
      </c>
      <c r="AI48" s="128">
        <f t="shared" ref="AI48:AI57" si="69">SUM(C48:AG48)</f>
        <v>1.5</v>
      </c>
      <c r="AJ48" s="134">
        <f t="shared" si="68"/>
        <v>30.5</v>
      </c>
      <c r="AK48" s="53"/>
      <c r="AL48" s="53"/>
      <c r="AM48" s="53"/>
      <c r="AN48" s="53"/>
      <c r="AO48" s="53"/>
      <c r="AP48" s="53"/>
      <c r="AQ48" s="53"/>
      <c r="AR48" s="53"/>
    </row>
    <row r="49" spans="1:44" x14ac:dyDescent="0.25">
      <c r="A49" s="23" t="str">
        <f>Данные!M4</f>
        <v>Павелецкая</v>
      </c>
      <c r="B49" s="13"/>
      <c r="C49" s="274"/>
      <c r="D49" s="87"/>
      <c r="E49" s="87"/>
      <c r="F49" s="87"/>
      <c r="G49" s="87"/>
      <c r="H49" s="87"/>
      <c r="I49" s="265"/>
      <c r="J49" s="265"/>
      <c r="K49" s="87"/>
      <c r="L49" s="87"/>
      <c r="M49" s="189"/>
      <c r="N49" s="265"/>
      <c r="O49" s="265"/>
      <c r="P49" s="265"/>
      <c r="Q49" s="265"/>
      <c r="R49" s="189"/>
      <c r="S49" s="189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3"/>
      <c r="AH49" s="120">
        <f>Данные!N4/1000-SUM(C49:AG49)</f>
        <v>47</v>
      </c>
      <c r="AI49" s="128">
        <f t="shared" si="69"/>
        <v>0</v>
      </c>
      <c r="AJ49" s="134">
        <f t="shared" si="68"/>
        <v>47</v>
      </c>
      <c r="AK49" s="53"/>
      <c r="AL49" s="53"/>
      <c r="AM49" s="53"/>
      <c r="AN49" s="53"/>
      <c r="AO49" s="53"/>
      <c r="AP49" s="53"/>
      <c r="AQ49" s="53"/>
      <c r="AR49" s="53"/>
    </row>
    <row r="50" spans="1:44" x14ac:dyDescent="0.25">
      <c r="A50" s="23" t="str">
        <f>Данные!M5</f>
        <v>Курская</v>
      </c>
      <c r="B50" s="13"/>
      <c r="C50" s="274"/>
      <c r="D50" s="87"/>
      <c r="E50" s="87"/>
      <c r="F50" s="87"/>
      <c r="G50" s="87"/>
      <c r="H50" s="87"/>
      <c r="I50" s="265"/>
      <c r="J50" s="265"/>
      <c r="K50" s="87"/>
      <c r="L50" s="87"/>
      <c r="M50" s="189"/>
      <c r="N50" s="265"/>
      <c r="O50" s="265"/>
      <c r="P50" s="265"/>
      <c r="Q50" s="265"/>
      <c r="R50" s="189"/>
      <c r="S50" s="189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3"/>
      <c r="AH50" s="120">
        <f>Данные!N5/1000-SUM(C50:AG50)</f>
        <v>35</v>
      </c>
      <c r="AI50" s="128">
        <f t="shared" si="69"/>
        <v>0</v>
      </c>
      <c r="AJ50" s="134">
        <f t="shared" si="68"/>
        <v>35</v>
      </c>
      <c r="AK50" s="53"/>
      <c r="AL50" s="53"/>
      <c r="AM50" s="53"/>
      <c r="AN50" s="53"/>
      <c r="AO50" s="53"/>
      <c r="AP50" s="53"/>
      <c r="AQ50" s="53"/>
      <c r="AR50" s="53"/>
    </row>
    <row r="51" spans="1:44" x14ac:dyDescent="0.25">
      <c r="A51" s="23" t="str">
        <f>Данные!M6</f>
        <v>Щукинская</v>
      </c>
      <c r="B51" s="13"/>
      <c r="C51" s="274"/>
      <c r="D51" s="87"/>
      <c r="E51" s="87"/>
      <c r="F51" s="87"/>
      <c r="G51" s="87"/>
      <c r="H51" s="87"/>
      <c r="I51" s="265"/>
      <c r="J51" s="265"/>
      <c r="K51" s="87"/>
      <c r="L51" s="87"/>
      <c r="M51" s="189"/>
      <c r="N51" s="265"/>
      <c r="O51" s="265"/>
      <c r="P51" s="265"/>
      <c r="Q51" s="265"/>
      <c r="R51" s="189"/>
      <c r="S51" s="189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3"/>
      <c r="AH51" s="120">
        <f>Данные!N6/1000-SUM(C51:AG51)</f>
        <v>50</v>
      </c>
      <c r="AI51" s="128">
        <f t="shared" si="69"/>
        <v>0</v>
      </c>
      <c r="AJ51" s="134">
        <f t="shared" si="68"/>
        <v>50</v>
      </c>
      <c r="AK51" s="53"/>
      <c r="AL51" s="53"/>
      <c r="AM51" s="53"/>
      <c r="AN51" s="53"/>
      <c r="AO51" s="53"/>
      <c r="AP51" s="53"/>
      <c r="AQ51" s="53"/>
      <c r="AR51" s="53"/>
    </row>
    <row r="52" spans="1:44" x14ac:dyDescent="0.25">
      <c r="A52" s="26" t="str">
        <f>Данные!M7</f>
        <v>Юго-Западная</v>
      </c>
      <c r="B52" s="18"/>
      <c r="C52" s="275"/>
      <c r="D52" s="88"/>
      <c r="E52" s="88"/>
      <c r="F52" s="88"/>
      <c r="G52" s="88"/>
      <c r="H52" s="88"/>
      <c r="I52" s="266"/>
      <c r="J52" s="266"/>
      <c r="K52" s="88"/>
      <c r="L52" s="88"/>
      <c r="M52" s="88"/>
      <c r="N52" s="266"/>
      <c r="O52" s="266"/>
      <c r="P52" s="266"/>
      <c r="Q52" s="266"/>
      <c r="R52" s="88"/>
      <c r="S52" s="88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5"/>
      <c r="AH52" s="121">
        <f>Данные!N7/1000-SUM(C52:AG52)</f>
        <v>52.5</v>
      </c>
      <c r="AI52" s="132">
        <f t="shared" si="69"/>
        <v>0</v>
      </c>
      <c r="AJ52" s="135">
        <f t="shared" si="68"/>
        <v>52.5</v>
      </c>
      <c r="AK52" s="53"/>
      <c r="AL52" s="53"/>
      <c r="AM52" s="53"/>
      <c r="AN52" s="53"/>
      <c r="AO52" s="53"/>
      <c r="AP52" s="53"/>
      <c r="AQ52" s="53"/>
      <c r="AR52" s="53"/>
    </row>
    <row r="53" spans="1:44" x14ac:dyDescent="0.25">
      <c r="A53" s="27" t="s">
        <v>8</v>
      </c>
      <c r="B53" s="17"/>
      <c r="C53" s="273"/>
      <c r="D53" s="89"/>
      <c r="E53" s="89"/>
      <c r="F53" s="89"/>
      <c r="G53" s="89"/>
      <c r="H53" s="89"/>
      <c r="I53" s="264"/>
      <c r="J53" s="264"/>
      <c r="K53" s="89"/>
      <c r="L53" s="89"/>
      <c r="M53" s="190"/>
      <c r="N53" s="264"/>
      <c r="O53" s="264"/>
      <c r="P53" s="264"/>
      <c r="Q53" s="264"/>
      <c r="R53" s="190"/>
      <c r="S53" s="190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7"/>
      <c r="AH53" s="126">
        <f>Данные!N11/1000-SUM(C53:AG53)</f>
        <v>40</v>
      </c>
      <c r="AI53" s="133">
        <f t="shared" si="69"/>
        <v>0</v>
      </c>
      <c r="AJ53" s="136"/>
      <c r="AK53" s="53"/>
      <c r="AL53" s="53"/>
      <c r="AM53" s="53"/>
      <c r="AN53" s="53"/>
      <c r="AO53" s="53"/>
      <c r="AP53" s="53"/>
      <c r="AQ53" s="53"/>
      <c r="AR53" s="53"/>
    </row>
    <row r="54" spans="1:44" s="174" customFormat="1" x14ac:dyDescent="0.25">
      <c r="A54" s="208" t="s">
        <v>179</v>
      </c>
      <c r="B54" s="176"/>
      <c r="C54" s="273"/>
      <c r="D54" s="190"/>
      <c r="E54" s="190"/>
      <c r="F54" s="190">
        <v>1</v>
      </c>
      <c r="G54" s="190"/>
      <c r="H54" s="190"/>
      <c r="I54" s="264"/>
      <c r="J54" s="264"/>
      <c r="K54" s="190"/>
      <c r="L54" s="190">
        <v>1.377</v>
      </c>
      <c r="M54" s="190"/>
      <c r="N54" s="264">
        <v>1.5</v>
      </c>
      <c r="O54" s="264"/>
      <c r="P54" s="264"/>
      <c r="Q54" s="264"/>
      <c r="R54" s="190"/>
      <c r="S54" s="190"/>
      <c r="T54" s="180"/>
      <c r="U54" s="180"/>
      <c r="V54" s="180"/>
      <c r="W54" s="180"/>
      <c r="X54" s="180"/>
      <c r="Y54" s="180"/>
      <c r="Z54" s="180"/>
      <c r="AA54" s="180"/>
      <c r="AB54" s="180"/>
      <c r="AC54" s="180"/>
      <c r="AD54" s="180"/>
      <c r="AE54" s="180"/>
      <c r="AF54" s="180"/>
      <c r="AG54" s="181"/>
      <c r="AH54" s="209">
        <f>Данные!N12/1000-SUM(C54:AG54)</f>
        <v>1.1230000000000002</v>
      </c>
      <c r="AI54" s="211">
        <f t="shared" ref="AI54" si="70">SUM(C54:AG54)</f>
        <v>3.8769999999999998</v>
      </c>
      <c r="AJ54" s="213"/>
      <c r="AK54" s="183"/>
      <c r="AL54" s="183"/>
      <c r="AM54" s="183"/>
      <c r="AN54" s="183"/>
      <c r="AO54" s="183"/>
      <c r="AP54" s="183"/>
      <c r="AQ54" s="183"/>
      <c r="AR54" s="183"/>
    </row>
    <row r="55" spans="1:44" x14ac:dyDescent="0.25">
      <c r="A55" s="20" t="s">
        <v>27</v>
      </c>
      <c r="B55" s="12"/>
      <c r="C55" s="274"/>
      <c r="D55" s="87"/>
      <c r="E55" s="87"/>
      <c r="F55" s="87"/>
      <c r="G55" s="87">
        <f>0.28+0.64</f>
        <v>0.92</v>
      </c>
      <c r="H55" s="87"/>
      <c r="I55" s="265"/>
      <c r="J55" s="265"/>
      <c r="K55" s="87"/>
      <c r="L55" s="87"/>
      <c r="M55" s="189"/>
      <c r="N55" s="265"/>
      <c r="O55" s="265"/>
      <c r="P55" s="265"/>
      <c r="Q55" s="265"/>
      <c r="R55" s="189"/>
      <c r="S55" s="189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3"/>
      <c r="AH55" s="126">
        <f>Данные!N13/1000-SUM(C55:AG55)</f>
        <v>4.08</v>
      </c>
      <c r="AI55" s="128">
        <f t="shared" si="69"/>
        <v>0.92</v>
      </c>
      <c r="AJ55" s="134">
        <f t="shared" si="68"/>
        <v>4.08</v>
      </c>
      <c r="AK55" s="53"/>
      <c r="AL55" s="53"/>
      <c r="AM55" s="53"/>
      <c r="AN55" s="53"/>
      <c r="AO55" s="53"/>
      <c r="AP55" s="53"/>
      <c r="AQ55" s="53"/>
      <c r="AR55" s="53"/>
    </row>
    <row r="56" spans="1:44" x14ac:dyDescent="0.25">
      <c r="A56" s="20" t="s">
        <v>9</v>
      </c>
      <c r="B56" s="12">
        <v>374</v>
      </c>
      <c r="C56" s="274">
        <v>374</v>
      </c>
      <c r="D56" s="87"/>
      <c r="E56" s="87"/>
      <c r="F56" s="87">
        <v>19.010999999999999</v>
      </c>
      <c r="G56" s="87"/>
      <c r="H56" s="87"/>
      <c r="I56" s="265"/>
      <c r="J56" s="265"/>
      <c r="K56" s="87"/>
      <c r="L56" s="87"/>
      <c r="M56" s="189"/>
      <c r="N56" s="265"/>
      <c r="O56" s="265">
        <v>1.2317400000000001</v>
      </c>
      <c r="P56" s="265"/>
      <c r="Q56" s="265"/>
      <c r="R56" s="189"/>
      <c r="S56" s="18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3"/>
      <c r="AH56" s="126">
        <f>Данные!N14/1000-SUM(C56:AG56)</f>
        <v>-277.60274000000004</v>
      </c>
      <c r="AI56" s="128">
        <f t="shared" si="69"/>
        <v>394.24274000000003</v>
      </c>
      <c r="AJ56" s="134">
        <f t="shared" si="68"/>
        <v>96.39725999999996</v>
      </c>
      <c r="AK56" s="53"/>
      <c r="AL56" s="53"/>
      <c r="AM56" s="53"/>
      <c r="AN56" s="53"/>
      <c r="AO56" s="53"/>
      <c r="AP56" s="53"/>
      <c r="AQ56" s="53"/>
      <c r="AR56" s="53"/>
    </row>
    <row r="57" spans="1:44" x14ac:dyDescent="0.25">
      <c r="A57" s="20" t="s">
        <v>10</v>
      </c>
      <c r="B57" s="12"/>
      <c r="C57" s="274"/>
      <c r="D57" s="87"/>
      <c r="E57" s="87"/>
      <c r="F57" s="87"/>
      <c r="G57" s="87"/>
      <c r="H57" s="87"/>
      <c r="I57" s="265"/>
      <c r="J57" s="265"/>
      <c r="K57" s="87"/>
      <c r="L57" s="87"/>
      <c r="M57" s="189"/>
      <c r="N57" s="265"/>
      <c r="O57" s="265"/>
      <c r="P57" s="265"/>
      <c r="Q57" s="265"/>
      <c r="R57" s="189"/>
      <c r="S57" s="18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3"/>
      <c r="AH57" s="126">
        <f>Данные!N15/1000-SUM(C57:AG57)</f>
        <v>7</v>
      </c>
      <c r="AI57" s="128">
        <f t="shared" si="69"/>
        <v>0</v>
      </c>
      <c r="AJ57" s="134">
        <f t="shared" si="68"/>
        <v>7</v>
      </c>
      <c r="AK57" s="53"/>
      <c r="AL57" s="53"/>
      <c r="AM57" s="53"/>
      <c r="AN57" s="53"/>
      <c r="AO57" s="53"/>
      <c r="AP57" s="53"/>
      <c r="AQ57" s="53"/>
      <c r="AR57" s="53"/>
    </row>
    <row r="58" spans="1:44" x14ac:dyDescent="0.25">
      <c r="A58" s="111" t="s">
        <v>105</v>
      </c>
      <c r="B58" s="14"/>
      <c r="C58" s="273"/>
      <c r="D58" s="89"/>
      <c r="E58" s="89"/>
      <c r="F58" s="89"/>
      <c r="G58" s="89"/>
      <c r="H58" s="89"/>
      <c r="I58" s="264">
        <v>0.5</v>
      </c>
      <c r="J58" s="264"/>
      <c r="K58" s="89"/>
      <c r="L58" s="89">
        <v>2.0369999999999999</v>
      </c>
      <c r="M58" s="190"/>
      <c r="N58" s="264"/>
      <c r="O58" s="264"/>
      <c r="P58" s="264"/>
      <c r="Q58" s="264"/>
      <c r="R58" s="190"/>
      <c r="S58" s="190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7"/>
      <c r="AH58" s="126">
        <f>Данные!N16/1000-SUM(C58:AG58)</f>
        <v>2.4630000000000001</v>
      </c>
      <c r="AI58" s="128">
        <f t="shared" ref="AI58:AI61" si="71">SUM(C58:AG58)</f>
        <v>2.5369999999999999</v>
      </c>
      <c r="AJ58" s="134">
        <f t="shared" si="68"/>
        <v>2.4630000000000001</v>
      </c>
      <c r="AK58" s="53"/>
      <c r="AL58" s="53"/>
      <c r="AM58" s="53"/>
      <c r="AN58" s="53"/>
      <c r="AO58" s="53"/>
      <c r="AP58" s="53"/>
      <c r="AQ58" s="53"/>
      <c r="AR58" s="53"/>
    </row>
    <row r="59" spans="1:44" x14ac:dyDescent="0.25">
      <c r="A59" s="111" t="s">
        <v>104</v>
      </c>
      <c r="B59" s="14"/>
      <c r="C59" s="273"/>
      <c r="D59" s="89"/>
      <c r="E59" s="89"/>
      <c r="F59" s="89"/>
      <c r="G59" s="89"/>
      <c r="H59" s="89"/>
      <c r="I59" s="264">
        <v>7.5</v>
      </c>
      <c r="J59" s="264"/>
      <c r="K59" s="89"/>
      <c r="L59" s="89"/>
      <c r="M59" s="190"/>
      <c r="N59" s="264"/>
      <c r="O59" s="264"/>
      <c r="P59" s="264"/>
      <c r="Q59" s="264"/>
      <c r="R59" s="190"/>
      <c r="S59" s="190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7"/>
      <c r="AH59" s="126">
        <f>Данные!N17/1000-SUM(C59:AG59)</f>
        <v>-2.5</v>
      </c>
      <c r="AI59" s="128">
        <f t="shared" si="71"/>
        <v>7.5</v>
      </c>
      <c r="AJ59" s="134">
        <f t="shared" si="68"/>
        <v>-2.5</v>
      </c>
      <c r="AK59" s="53"/>
      <c r="AL59" s="53"/>
      <c r="AM59" s="53"/>
      <c r="AN59" s="53"/>
      <c r="AO59" s="53"/>
      <c r="AP59" s="53"/>
      <c r="AQ59" s="53"/>
      <c r="AR59" s="53"/>
    </row>
    <row r="60" spans="1:44" s="174" customFormat="1" x14ac:dyDescent="0.25">
      <c r="A60" s="208" t="s">
        <v>188</v>
      </c>
      <c r="B60" s="176"/>
      <c r="C60" s="273"/>
      <c r="D60" s="190"/>
      <c r="E60" s="190"/>
      <c r="F60" s="190"/>
      <c r="G60" s="190"/>
      <c r="H60" s="190"/>
      <c r="I60" s="264"/>
      <c r="J60" s="264"/>
      <c r="K60" s="190"/>
      <c r="L60" s="190">
        <v>0.44700000000000001</v>
      </c>
      <c r="M60" s="190"/>
      <c r="N60" s="264"/>
      <c r="O60" s="264"/>
      <c r="P60" s="264"/>
      <c r="Q60" s="264"/>
      <c r="R60" s="190"/>
      <c r="S60" s="19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1"/>
      <c r="AH60" s="209">
        <f>Данные!N18/1000-SUM(C60:AG60)</f>
        <v>9.5530000000000008</v>
      </c>
      <c r="AI60" s="210">
        <f t="shared" ref="AI60" si="72">SUM(C60:AG60)</f>
        <v>0.44700000000000001</v>
      </c>
      <c r="AJ60" s="212"/>
      <c r="AK60" s="183"/>
      <c r="AL60" s="183"/>
      <c r="AM60" s="183"/>
      <c r="AN60" s="183"/>
      <c r="AO60" s="183"/>
      <c r="AP60" s="183"/>
      <c r="AQ60" s="183"/>
      <c r="AR60" s="183"/>
    </row>
    <row r="61" spans="1:44" x14ac:dyDescent="0.25">
      <c r="A61" s="111" t="s">
        <v>122</v>
      </c>
      <c r="B61" s="14"/>
      <c r="C61" s="273"/>
      <c r="D61" s="89"/>
      <c r="E61" s="89"/>
      <c r="F61" s="89"/>
      <c r="G61" s="89">
        <v>5</v>
      </c>
      <c r="H61" s="89">
        <v>11.214</v>
      </c>
      <c r="I61" s="264"/>
      <c r="J61" s="264"/>
      <c r="K61" s="89"/>
      <c r="L61" s="89">
        <v>0.55000000000000004</v>
      </c>
      <c r="M61" s="190">
        <v>0.6</v>
      </c>
      <c r="N61" s="264"/>
      <c r="O61" s="264"/>
      <c r="P61" s="264"/>
      <c r="Q61" s="264"/>
      <c r="R61" s="190"/>
      <c r="S61" s="190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7"/>
      <c r="AH61" s="126">
        <f>Данные!N19/1000-SUM(C61:AG61)</f>
        <v>-2.3640000000000008</v>
      </c>
      <c r="AI61" s="128">
        <f t="shared" si="71"/>
        <v>17.364000000000001</v>
      </c>
      <c r="AJ61" s="134">
        <f t="shared" si="68"/>
        <v>-2.3640000000000008</v>
      </c>
      <c r="AK61" s="53"/>
      <c r="AL61" s="53"/>
      <c r="AM61" s="53"/>
      <c r="AN61" s="53"/>
      <c r="AO61" s="53"/>
      <c r="AP61" s="53"/>
      <c r="AQ61" s="53"/>
      <c r="AR61" s="53"/>
    </row>
    <row r="62" spans="1:44" x14ac:dyDescent="0.25">
      <c r="A62" s="111" t="s">
        <v>129</v>
      </c>
      <c r="B62" s="14"/>
      <c r="C62" s="273"/>
      <c r="D62" s="89"/>
      <c r="E62" s="89"/>
      <c r="F62" s="89"/>
      <c r="G62" s="89"/>
      <c r="H62" s="89"/>
      <c r="I62" s="264"/>
      <c r="J62" s="264"/>
      <c r="K62" s="89"/>
      <c r="L62" s="89"/>
      <c r="M62" s="190">
        <v>1.8</v>
      </c>
      <c r="N62" s="264">
        <v>11.988</v>
      </c>
      <c r="O62" s="264"/>
      <c r="P62" s="264"/>
      <c r="Q62" s="264"/>
      <c r="R62" s="190"/>
      <c r="S62" s="190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7"/>
      <c r="AH62" s="126">
        <f>Данные!N20/1000-SUM(C62:AG62)</f>
        <v>6.2119999999999997</v>
      </c>
      <c r="AI62" s="128">
        <f t="shared" ref="AI62" si="73">SUM(C62:AG62)</f>
        <v>13.788</v>
      </c>
      <c r="AJ62" s="134"/>
      <c r="AK62" s="53"/>
      <c r="AL62" s="53"/>
      <c r="AM62" s="53"/>
      <c r="AN62" s="53"/>
      <c r="AO62" s="53"/>
      <c r="AP62" s="53"/>
      <c r="AQ62" s="53"/>
      <c r="AR62" s="53"/>
    </row>
    <row r="63" spans="1:44" x14ac:dyDescent="0.25">
      <c r="A63" s="20" t="s">
        <v>87</v>
      </c>
      <c r="B63" s="12"/>
      <c r="C63" s="274"/>
      <c r="D63" s="87"/>
      <c r="E63" s="87"/>
      <c r="F63" s="87"/>
      <c r="G63" s="87"/>
      <c r="H63" s="87"/>
      <c r="I63" s="265"/>
      <c r="J63" s="265"/>
      <c r="K63" s="87"/>
      <c r="L63" s="87"/>
      <c r="M63" s="189"/>
      <c r="N63" s="265"/>
      <c r="O63" s="265"/>
      <c r="P63" s="265"/>
      <c r="Q63" s="265"/>
      <c r="R63" s="189"/>
      <c r="S63" s="189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3"/>
      <c r="AH63" s="126">
        <f>Данные!N21/1000-SUM(C63:AG63)</f>
        <v>25</v>
      </c>
      <c r="AI63" s="128">
        <f>SUM(C63:AG63)</f>
        <v>0</v>
      </c>
      <c r="AJ63" s="134"/>
      <c r="AK63" s="53"/>
      <c r="AL63" s="53"/>
      <c r="AM63" s="53"/>
      <c r="AN63" s="53"/>
      <c r="AO63" s="53"/>
      <c r="AP63" s="53"/>
      <c r="AQ63" s="53"/>
      <c r="AR63" s="53"/>
    </row>
    <row r="64" spans="1:44" x14ac:dyDescent="0.25">
      <c r="A64" s="20" t="s">
        <v>95</v>
      </c>
      <c r="B64" s="12"/>
      <c r="C64" s="274"/>
      <c r="D64" s="87"/>
      <c r="E64" s="87">
        <v>3.5</v>
      </c>
      <c r="F64" s="87"/>
      <c r="G64" s="87"/>
      <c r="H64" s="87"/>
      <c r="I64" s="265"/>
      <c r="J64" s="265"/>
      <c r="K64" s="87">
        <v>7.077</v>
      </c>
      <c r="L64" s="87">
        <v>3</v>
      </c>
      <c r="M64" s="189"/>
      <c r="N64" s="265">
        <v>12</v>
      </c>
      <c r="O64" s="265"/>
      <c r="P64" s="265"/>
      <c r="Q64" s="265"/>
      <c r="R64" s="189">
        <v>5</v>
      </c>
      <c r="S64" s="189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3"/>
      <c r="AH64" s="126">
        <f>Данные!N22/1000-SUM(C64:AG64)</f>
        <v>9.4230000000000018</v>
      </c>
      <c r="AI64" s="128">
        <f>SUM(C64:AG64)</f>
        <v>30.576999999999998</v>
      </c>
      <c r="AJ64" s="134"/>
      <c r="AK64" s="53"/>
      <c r="AL64" s="53"/>
      <c r="AM64" s="53"/>
      <c r="AN64" s="53"/>
      <c r="AO64" s="53"/>
      <c r="AP64" s="53"/>
      <c r="AQ64" s="53"/>
      <c r="AR64" s="53"/>
    </row>
    <row r="65" spans="1:44" s="174" customFormat="1" x14ac:dyDescent="0.25">
      <c r="A65" s="177" t="s">
        <v>160</v>
      </c>
      <c r="B65" s="175"/>
      <c r="C65" s="274"/>
      <c r="D65" s="189"/>
      <c r="E65" s="189"/>
      <c r="F65" s="189">
        <v>0.2</v>
      </c>
      <c r="G65" s="189"/>
      <c r="H65" s="189">
        <v>0.5</v>
      </c>
      <c r="I65" s="265"/>
      <c r="J65" s="265"/>
      <c r="K65" s="189"/>
      <c r="L65" s="189"/>
      <c r="M65" s="189"/>
      <c r="N65" s="265">
        <v>0.2</v>
      </c>
      <c r="O65" s="265"/>
      <c r="P65" s="265"/>
      <c r="Q65" s="265"/>
      <c r="R65" s="189"/>
      <c r="S65" s="189"/>
      <c r="T65" s="178"/>
      <c r="U65" s="178"/>
      <c r="V65" s="178"/>
      <c r="W65" s="178"/>
      <c r="X65" s="178"/>
      <c r="Y65" s="178"/>
      <c r="Z65" s="178"/>
      <c r="AA65" s="178"/>
      <c r="AB65" s="178"/>
      <c r="AC65" s="178"/>
      <c r="AD65" s="178"/>
      <c r="AE65" s="178"/>
      <c r="AF65" s="178"/>
      <c r="AG65" s="179"/>
      <c r="AH65" s="209">
        <f>Данные!N23/1000-SUM(C65:AG65)</f>
        <v>2.1</v>
      </c>
      <c r="AI65" s="210">
        <f t="shared" ref="AI65:AI66" si="74">SUM(C65:AG65)</f>
        <v>0.89999999999999991</v>
      </c>
      <c r="AJ65" s="212"/>
      <c r="AK65" s="183"/>
      <c r="AL65" s="183"/>
      <c r="AM65" s="183"/>
      <c r="AN65" s="183"/>
      <c r="AO65" s="183"/>
      <c r="AP65" s="183"/>
      <c r="AQ65" s="183"/>
      <c r="AR65" s="183"/>
    </row>
    <row r="66" spans="1:44" x14ac:dyDescent="0.25">
      <c r="A66" s="20" t="s">
        <v>101</v>
      </c>
      <c r="B66" s="12"/>
      <c r="C66" s="274"/>
      <c r="D66" s="87"/>
      <c r="E66" s="87"/>
      <c r="F66" s="87"/>
      <c r="G66" s="87">
        <v>1.26</v>
      </c>
      <c r="H66" s="87"/>
      <c r="I66" s="265"/>
      <c r="J66" s="265"/>
      <c r="K66" s="87"/>
      <c r="L66" s="87"/>
      <c r="M66" s="189"/>
      <c r="N66" s="265"/>
      <c r="O66" s="265"/>
      <c r="P66" s="265"/>
      <c r="Q66" s="265"/>
      <c r="R66" s="189"/>
      <c r="S66" s="189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3"/>
      <c r="AH66" s="209">
        <f>Данные!N24/1000-SUM(C66:AG66)</f>
        <v>3.74</v>
      </c>
      <c r="AI66" s="210">
        <f t="shared" si="74"/>
        <v>1.26</v>
      </c>
      <c r="AJ66" s="134"/>
      <c r="AK66" s="53"/>
      <c r="AL66" s="53"/>
      <c r="AM66" s="53"/>
      <c r="AN66" s="53"/>
      <c r="AO66" s="53"/>
      <c r="AP66" s="53"/>
      <c r="AQ66" s="53"/>
      <c r="AR66" s="53"/>
    </row>
    <row r="67" spans="1:44" s="174" customFormat="1" x14ac:dyDescent="0.25">
      <c r="A67" s="226" t="s">
        <v>168</v>
      </c>
      <c r="B67" s="227"/>
      <c r="C67" s="231"/>
      <c r="D67" s="232"/>
      <c r="E67" s="232"/>
      <c r="F67" s="232"/>
      <c r="G67" s="232"/>
      <c r="H67" s="232"/>
      <c r="I67" s="232"/>
      <c r="J67" s="232"/>
      <c r="K67" s="232"/>
      <c r="L67" s="232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2"/>
      <c r="AF67" s="232"/>
      <c r="AG67" s="233"/>
      <c r="AH67" s="228"/>
      <c r="AI67" s="229"/>
      <c r="AJ67" s="228"/>
      <c r="AK67" s="183"/>
      <c r="AL67" s="183"/>
      <c r="AM67" s="183"/>
      <c r="AN67" s="183"/>
      <c r="AO67" s="183"/>
      <c r="AP67" s="183"/>
      <c r="AQ67" s="183"/>
      <c r="AR67" s="183"/>
    </row>
    <row r="68" spans="1:44" s="174" customFormat="1" x14ac:dyDescent="0.25">
      <c r="A68" s="234" t="s">
        <v>11</v>
      </c>
      <c r="B68" s="176"/>
      <c r="C68" s="273"/>
      <c r="D68" s="190"/>
      <c r="E68" s="190"/>
      <c r="F68" s="190"/>
      <c r="G68" s="190"/>
      <c r="H68" s="190"/>
      <c r="I68" s="264"/>
      <c r="J68" s="264"/>
      <c r="K68" s="190"/>
      <c r="L68" s="190"/>
      <c r="M68" s="190"/>
      <c r="N68" s="264"/>
      <c r="O68" s="264"/>
      <c r="P68" s="264"/>
      <c r="Q68" s="264"/>
      <c r="R68" s="190"/>
      <c r="S68" s="19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1"/>
      <c r="AH68" s="209">
        <f>Данные!N25/1000-SUM(C68:AG68)</f>
        <v>0</v>
      </c>
      <c r="AI68" s="210">
        <f t="shared" ref="AI68" si="75">SUM(C68:AG68)</f>
        <v>0</v>
      </c>
      <c r="AJ68" s="213"/>
      <c r="AK68" s="183"/>
      <c r="AL68" s="183"/>
      <c r="AM68" s="183"/>
      <c r="AN68" s="183"/>
      <c r="AO68" s="183"/>
      <c r="AP68" s="183"/>
      <c r="AQ68" s="183"/>
      <c r="AR68" s="183"/>
    </row>
    <row r="69" spans="1:44" s="174" customFormat="1" x14ac:dyDescent="0.25">
      <c r="A69" s="208" t="s">
        <v>162</v>
      </c>
      <c r="B69" s="176"/>
      <c r="C69" s="273">
        <v>400</v>
      </c>
      <c r="D69" s="190"/>
      <c r="E69" s="190"/>
      <c r="F69" s="190"/>
      <c r="G69" s="190"/>
      <c r="H69" s="190"/>
      <c r="I69" s="264"/>
      <c r="J69" s="264"/>
      <c r="K69" s="190"/>
      <c r="L69" s="190"/>
      <c r="M69" s="190"/>
      <c r="N69" s="264"/>
      <c r="O69" s="264"/>
      <c r="P69" s="264"/>
      <c r="Q69" s="264"/>
      <c r="R69" s="190"/>
      <c r="S69" s="190"/>
      <c r="T69" s="180"/>
      <c r="U69" s="180"/>
      <c r="V69" s="180"/>
      <c r="W69" s="180"/>
      <c r="X69" s="180"/>
      <c r="Y69" s="180"/>
      <c r="Z69" s="180"/>
      <c r="AA69" s="180"/>
      <c r="AB69" s="180"/>
      <c r="AC69" s="180"/>
      <c r="AD69" s="180"/>
      <c r="AE69" s="180"/>
      <c r="AF69" s="180"/>
      <c r="AG69" s="181"/>
      <c r="AH69" s="209">
        <f>Данные!N26/1000-SUM(C69:AG69)</f>
        <v>-400</v>
      </c>
      <c r="AI69" s="210">
        <f>SUM(C69:AG69)</f>
        <v>400</v>
      </c>
      <c r="AJ69" s="213"/>
      <c r="AK69" s="183"/>
      <c r="AL69" s="183"/>
      <c r="AM69" s="183"/>
      <c r="AN69" s="183"/>
      <c r="AO69" s="183"/>
      <c r="AP69" s="183"/>
      <c r="AQ69" s="183"/>
      <c r="AR69" s="183"/>
    </row>
    <row r="70" spans="1:44" s="174" customFormat="1" x14ac:dyDescent="0.25">
      <c r="A70" s="177" t="s">
        <v>163</v>
      </c>
      <c r="B70" s="175"/>
      <c r="C70" s="274"/>
      <c r="D70" s="189"/>
      <c r="E70" s="189"/>
      <c r="F70" s="189"/>
      <c r="G70" s="189"/>
      <c r="H70" s="189"/>
      <c r="I70" s="265"/>
      <c r="J70" s="265"/>
      <c r="K70" s="189"/>
      <c r="L70" s="189"/>
      <c r="M70" s="189"/>
      <c r="N70" s="265"/>
      <c r="O70" s="265"/>
      <c r="P70" s="265"/>
      <c r="Q70" s="265"/>
      <c r="R70" s="189"/>
      <c r="S70" s="189"/>
      <c r="T70" s="178"/>
      <c r="U70" s="178"/>
      <c r="V70" s="178"/>
      <c r="W70" s="178"/>
      <c r="X70" s="178"/>
      <c r="Y70" s="178"/>
      <c r="Z70" s="178"/>
      <c r="AA70" s="178"/>
      <c r="AB70" s="178"/>
      <c r="AC70" s="178"/>
      <c r="AD70" s="178"/>
      <c r="AE70" s="178"/>
      <c r="AF70" s="178"/>
      <c r="AG70" s="179"/>
      <c r="AH70" s="209">
        <f>Данные!N27/1000-SUM(C70:AG70)</f>
        <v>0</v>
      </c>
      <c r="AI70" s="210">
        <f t="shared" ref="AI70:AI79" si="76">SUM(C70:AG70)</f>
        <v>0</v>
      </c>
      <c r="AJ70" s="212"/>
      <c r="AK70" s="183"/>
      <c r="AL70" s="183"/>
      <c r="AM70" s="183"/>
      <c r="AN70" s="183"/>
      <c r="AO70" s="183"/>
      <c r="AP70" s="183"/>
      <c r="AQ70" s="183"/>
      <c r="AR70" s="183"/>
    </row>
    <row r="71" spans="1:44" s="174" customFormat="1" x14ac:dyDescent="0.25">
      <c r="A71" s="234" t="s">
        <v>12</v>
      </c>
      <c r="B71" s="176"/>
      <c r="C71" s="273"/>
      <c r="D71" s="190"/>
      <c r="E71" s="190"/>
      <c r="F71" s="190"/>
      <c r="G71" s="190"/>
      <c r="H71" s="190"/>
      <c r="I71" s="264"/>
      <c r="J71" s="264"/>
      <c r="K71" s="190"/>
      <c r="L71" s="190"/>
      <c r="M71" s="190"/>
      <c r="N71" s="264"/>
      <c r="O71" s="264"/>
      <c r="P71" s="264"/>
      <c r="Q71" s="264"/>
      <c r="R71" s="190"/>
      <c r="S71" s="190"/>
      <c r="T71" s="180"/>
      <c r="U71" s="180"/>
      <c r="V71" s="180"/>
      <c r="W71" s="180"/>
      <c r="X71" s="180"/>
      <c r="Y71" s="180"/>
      <c r="Z71" s="180"/>
      <c r="AA71" s="180"/>
      <c r="AB71" s="180"/>
      <c r="AC71" s="180"/>
      <c r="AD71" s="180"/>
      <c r="AE71" s="180"/>
      <c r="AF71" s="180"/>
      <c r="AG71" s="181"/>
      <c r="AH71" s="209">
        <f>Данные!N28/1000-SUM(C71:AG71)</f>
        <v>0</v>
      </c>
      <c r="AI71" s="210">
        <f t="shared" si="76"/>
        <v>0</v>
      </c>
      <c r="AJ71" s="213"/>
      <c r="AK71" s="183"/>
      <c r="AL71" s="183"/>
      <c r="AM71" s="183"/>
      <c r="AN71" s="183"/>
      <c r="AO71" s="183"/>
      <c r="AP71" s="183"/>
      <c r="AQ71" s="183"/>
      <c r="AR71" s="183"/>
    </row>
    <row r="72" spans="1:44" s="174" customFormat="1" x14ac:dyDescent="0.25">
      <c r="A72" s="208" t="s">
        <v>176</v>
      </c>
      <c r="B72" s="176"/>
      <c r="C72" s="273"/>
      <c r="D72" s="190"/>
      <c r="E72" s="190"/>
      <c r="F72" s="190"/>
      <c r="G72" s="190"/>
      <c r="H72" s="190"/>
      <c r="I72" s="264"/>
      <c r="J72" s="264"/>
      <c r="K72" s="190"/>
      <c r="L72" s="190"/>
      <c r="M72" s="190"/>
      <c r="N72" s="264"/>
      <c r="O72" s="264"/>
      <c r="P72" s="264"/>
      <c r="Q72" s="264"/>
      <c r="R72" s="190"/>
      <c r="S72" s="190"/>
      <c r="T72" s="180"/>
      <c r="U72" s="180"/>
      <c r="V72" s="180"/>
      <c r="W72" s="180"/>
      <c r="X72" s="180"/>
      <c r="Y72" s="180"/>
      <c r="Z72" s="180"/>
      <c r="AA72" s="180"/>
      <c r="AB72" s="180"/>
      <c r="AC72" s="180"/>
      <c r="AD72" s="180"/>
      <c r="AE72" s="180"/>
      <c r="AF72" s="180"/>
      <c r="AG72" s="181"/>
      <c r="AH72" s="209">
        <f>Данные!N29/1000-SUM(C72:AG72)</f>
        <v>0</v>
      </c>
      <c r="AI72" s="210">
        <f t="shared" si="76"/>
        <v>0</v>
      </c>
      <c r="AJ72" s="213"/>
      <c r="AK72" s="183"/>
      <c r="AL72" s="183"/>
      <c r="AM72" s="183"/>
      <c r="AN72" s="183"/>
      <c r="AO72" s="183"/>
      <c r="AP72" s="183"/>
      <c r="AQ72" s="183"/>
      <c r="AR72" s="183"/>
    </row>
    <row r="73" spans="1:44" s="174" customFormat="1" x14ac:dyDescent="0.25">
      <c r="A73" s="208" t="s">
        <v>164</v>
      </c>
      <c r="B73" s="176"/>
      <c r="C73" s="273"/>
      <c r="D73" s="190"/>
      <c r="E73" s="190"/>
      <c r="F73" s="190"/>
      <c r="G73" s="190"/>
      <c r="H73" s="190"/>
      <c r="I73" s="264"/>
      <c r="J73" s="264"/>
      <c r="K73" s="190"/>
      <c r="L73" s="190"/>
      <c r="M73" s="190"/>
      <c r="N73" s="264"/>
      <c r="O73" s="264"/>
      <c r="P73" s="264"/>
      <c r="Q73" s="264"/>
      <c r="R73" s="190"/>
      <c r="S73" s="190"/>
      <c r="T73" s="180"/>
      <c r="U73" s="180"/>
      <c r="V73" s="180"/>
      <c r="W73" s="180"/>
      <c r="X73" s="180"/>
      <c r="Y73" s="180"/>
      <c r="Z73" s="180"/>
      <c r="AA73" s="180"/>
      <c r="AB73" s="180"/>
      <c r="AC73" s="180"/>
      <c r="AD73" s="180"/>
      <c r="AE73" s="180"/>
      <c r="AF73" s="180"/>
      <c r="AG73" s="181"/>
      <c r="AH73" s="209">
        <f>Данные!N30/1000-SUM(C73:AG73)</f>
        <v>0</v>
      </c>
      <c r="AI73" s="210">
        <f t="shared" si="76"/>
        <v>0</v>
      </c>
      <c r="AJ73" s="213"/>
      <c r="AK73" s="183"/>
      <c r="AL73" s="183"/>
      <c r="AM73" s="183"/>
      <c r="AN73" s="183"/>
      <c r="AO73" s="183"/>
      <c r="AP73" s="183"/>
      <c r="AQ73" s="183"/>
      <c r="AR73" s="183"/>
    </row>
    <row r="74" spans="1:44" s="174" customFormat="1" x14ac:dyDescent="0.25">
      <c r="A74" s="235" t="s">
        <v>165</v>
      </c>
      <c r="B74" s="176"/>
      <c r="C74" s="273"/>
      <c r="D74" s="190"/>
      <c r="E74" s="190"/>
      <c r="F74" s="190"/>
      <c r="G74" s="190"/>
      <c r="H74" s="190"/>
      <c r="I74" s="264"/>
      <c r="J74" s="264"/>
      <c r="K74" s="190"/>
      <c r="L74" s="190"/>
      <c r="M74" s="190"/>
      <c r="N74" s="264"/>
      <c r="O74" s="264"/>
      <c r="P74" s="264"/>
      <c r="Q74" s="264"/>
      <c r="R74" s="190"/>
      <c r="S74" s="190"/>
      <c r="T74" s="180"/>
      <c r="U74" s="180"/>
      <c r="V74" s="180"/>
      <c r="W74" s="180"/>
      <c r="X74" s="180"/>
      <c r="Y74" s="180"/>
      <c r="Z74" s="180"/>
      <c r="AA74" s="180"/>
      <c r="AB74" s="180"/>
      <c r="AC74" s="180"/>
      <c r="AD74" s="180"/>
      <c r="AE74" s="180"/>
      <c r="AF74" s="180"/>
      <c r="AG74" s="181"/>
      <c r="AH74" s="209">
        <f>Данные!N31/1000-SUM(C74:AG74)</f>
        <v>0</v>
      </c>
      <c r="AI74" s="210">
        <f t="shared" si="76"/>
        <v>0</v>
      </c>
      <c r="AJ74" s="213"/>
      <c r="AK74" s="183"/>
      <c r="AL74" s="183"/>
      <c r="AM74" s="183"/>
      <c r="AN74" s="183"/>
      <c r="AO74" s="183"/>
      <c r="AP74" s="183"/>
      <c r="AQ74" s="183"/>
      <c r="AR74" s="183"/>
    </row>
    <row r="75" spans="1:44" s="174" customFormat="1" x14ac:dyDescent="0.25">
      <c r="A75" s="235" t="s">
        <v>166</v>
      </c>
      <c r="B75" s="176"/>
      <c r="C75" s="273"/>
      <c r="D75" s="190"/>
      <c r="E75" s="190"/>
      <c r="F75" s="190"/>
      <c r="G75" s="190"/>
      <c r="H75" s="190"/>
      <c r="I75" s="264"/>
      <c r="J75" s="264"/>
      <c r="K75" s="190"/>
      <c r="L75" s="190"/>
      <c r="M75" s="190"/>
      <c r="N75" s="264"/>
      <c r="O75" s="264"/>
      <c r="P75" s="264"/>
      <c r="Q75" s="264"/>
      <c r="R75" s="190"/>
      <c r="S75" s="190"/>
      <c r="T75" s="180"/>
      <c r="U75" s="180"/>
      <c r="V75" s="180"/>
      <c r="W75" s="180"/>
      <c r="X75" s="180"/>
      <c r="Y75" s="180"/>
      <c r="Z75" s="180"/>
      <c r="AA75" s="180"/>
      <c r="AB75" s="180"/>
      <c r="AC75" s="180"/>
      <c r="AD75" s="180"/>
      <c r="AE75" s="180"/>
      <c r="AF75" s="180"/>
      <c r="AG75" s="181"/>
      <c r="AH75" s="209">
        <f>Данные!N32/1000-SUM(C75:AG75)</f>
        <v>0</v>
      </c>
      <c r="AI75" s="210">
        <f t="shared" si="76"/>
        <v>0</v>
      </c>
      <c r="AJ75" s="213"/>
      <c r="AK75" s="183"/>
      <c r="AL75" s="183"/>
      <c r="AM75" s="183"/>
      <c r="AN75" s="183"/>
      <c r="AO75" s="183"/>
      <c r="AP75" s="183"/>
      <c r="AQ75" s="183"/>
      <c r="AR75" s="183"/>
    </row>
    <row r="76" spans="1:44" s="174" customFormat="1" x14ac:dyDescent="0.25">
      <c r="A76" s="235" t="s">
        <v>173</v>
      </c>
      <c r="B76" s="176"/>
      <c r="C76" s="273"/>
      <c r="D76" s="190"/>
      <c r="E76" s="190"/>
      <c r="F76" s="190"/>
      <c r="G76" s="190"/>
      <c r="H76" s="190"/>
      <c r="I76" s="264"/>
      <c r="J76" s="264"/>
      <c r="K76" s="190"/>
      <c r="L76" s="190"/>
      <c r="M76" s="190"/>
      <c r="N76" s="264"/>
      <c r="O76" s="264"/>
      <c r="P76" s="264"/>
      <c r="Q76" s="264"/>
      <c r="R76" s="190"/>
      <c r="S76" s="190"/>
      <c r="T76" s="180"/>
      <c r="U76" s="180"/>
      <c r="V76" s="180"/>
      <c r="W76" s="180"/>
      <c r="X76" s="180"/>
      <c r="Y76" s="180"/>
      <c r="Z76" s="180"/>
      <c r="AA76" s="180"/>
      <c r="AB76" s="180"/>
      <c r="AC76" s="180"/>
      <c r="AD76" s="180"/>
      <c r="AE76" s="180"/>
      <c r="AF76" s="180"/>
      <c r="AG76" s="181"/>
      <c r="AH76" s="209">
        <f>Данные!N33/1000-SUM(C76:AG76)</f>
        <v>0</v>
      </c>
      <c r="AI76" s="210">
        <f t="shared" ref="AI76" si="77">SUM(C76:AG76)</f>
        <v>0</v>
      </c>
      <c r="AJ76" s="213"/>
      <c r="AK76" s="183"/>
      <c r="AL76" s="183"/>
      <c r="AM76" s="183"/>
      <c r="AN76" s="183"/>
      <c r="AO76" s="183"/>
      <c r="AP76" s="183"/>
      <c r="AQ76" s="183"/>
      <c r="AR76" s="183"/>
    </row>
    <row r="77" spans="1:44" s="174" customFormat="1" x14ac:dyDescent="0.25">
      <c r="A77" s="235" t="s">
        <v>174</v>
      </c>
      <c r="B77" s="176"/>
      <c r="C77" s="273"/>
      <c r="D77" s="190"/>
      <c r="E77" s="190"/>
      <c r="F77" s="190"/>
      <c r="G77" s="190"/>
      <c r="H77" s="190"/>
      <c r="I77" s="264"/>
      <c r="J77" s="264"/>
      <c r="K77" s="190"/>
      <c r="L77" s="190"/>
      <c r="M77" s="190">
        <v>2.71</v>
      </c>
      <c r="N77" s="264"/>
      <c r="O77" s="264"/>
      <c r="P77" s="264"/>
      <c r="Q77" s="264"/>
      <c r="R77" s="190"/>
      <c r="S77" s="190"/>
      <c r="T77" s="180"/>
      <c r="U77" s="180"/>
      <c r="V77" s="180"/>
      <c r="W77" s="180"/>
      <c r="X77" s="180"/>
      <c r="Y77" s="180"/>
      <c r="Z77" s="180"/>
      <c r="AA77" s="180"/>
      <c r="AB77" s="180"/>
      <c r="AC77" s="180"/>
      <c r="AD77" s="180"/>
      <c r="AE77" s="180"/>
      <c r="AF77" s="180"/>
      <c r="AG77" s="181"/>
      <c r="AH77" s="209">
        <f>Данные!N33/1000-SUM(C77:AG77)</f>
        <v>-2.71</v>
      </c>
      <c r="AI77" s="210">
        <f t="shared" si="76"/>
        <v>2.71</v>
      </c>
      <c r="AJ77" s="213"/>
      <c r="AK77" s="183"/>
      <c r="AL77" s="183"/>
      <c r="AM77" s="183"/>
      <c r="AN77" s="183"/>
      <c r="AO77" s="183"/>
      <c r="AP77" s="183"/>
      <c r="AQ77" s="183"/>
      <c r="AR77" s="183"/>
    </row>
    <row r="78" spans="1:44" s="174" customFormat="1" x14ac:dyDescent="0.25">
      <c r="A78" s="235" t="s">
        <v>175</v>
      </c>
      <c r="B78" s="176"/>
      <c r="C78" s="273"/>
      <c r="D78" s="190"/>
      <c r="E78" s="190"/>
      <c r="F78" s="190"/>
      <c r="G78" s="190"/>
      <c r="H78" s="190">
        <v>5.4820000000000002</v>
      </c>
      <c r="I78" s="264"/>
      <c r="J78" s="264"/>
      <c r="K78" s="190"/>
      <c r="L78" s="190"/>
      <c r="M78" s="190"/>
      <c r="N78" s="264"/>
      <c r="O78" s="264"/>
      <c r="P78" s="264"/>
      <c r="Q78" s="264"/>
      <c r="R78" s="190"/>
      <c r="S78" s="190"/>
      <c r="T78" s="180"/>
      <c r="U78" s="180"/>
      <c r="V78" s="180"/>
      <c r="W78" s="180"/>
      <c r="X78" s="180"/>
      <c r="Y78" s="180"/>
      <c r="Z78" s="180"/>
      <c r="AA78" s="180"/>
      <c r="AB78" s="180"/>
      <c r="AC78" s="180"/>
      <c r="AD78" s="180"/>
      <c r="AE78" s="180"/>
      <c r="AF78" s="180"/>
      <c r="AG78" s="181"/>
      <c r="AH78" s="209">
        <f>Данные!N34/1000-SUM(C78:AG78)</f>
        <v>-5.4820000000000002</v>
      </c>
      <c r="AI78" s="210">
        <f t="shared" si="76"/>
        <v>5.4820000000000002</v>
      </c>
      <c r="AJ78" s="213"/>
      <c r="AK78" s="183"/>
      <c r="AL78" s="183"/>
      <c r="AM78" s="183"/>
      <c r="AN78" s="183"/>
      <c r="AO78" s="183"/>
      <c r="AP78" s="183"/>
      <c r="AQ78" s="183"/>
      <c r="AR78" s="183"/>
    </row>
    <row r="79" spans="1:44" s="174" customFormat="1" x14ac:dyDescent="0.25">
      <c r="A79" s="242" t="s">
        <v>167</v>
      </c>
      <c r="B79" s="175"/>
      <c r="C79" s="274"/>
      <c r="D79" s="189"/>
      <c r="E79" s="189"/>
      <c r="F79" s="189"/>
      <c r="G79" s="189"/>
      <c r="H79" s="189"/>
      <c r="I79" s="265"/>
      <c r="J79" s="265"/>
      <c r="K79" s="189"/>
      <c r="L79" s="189"/>
      <c r="M79" s="189"/>
      <c r="N79" s="265"/>
      <c r="O79" s="265"/>
      <c r="P79" s="265"/>
      <c r="Q79" s="265"/>
      <c r="R79" s="189"/>
      <c r="S79" s="189"/>
      <c r="T79" s="178"/>
      <c r="U79" s="178"/>
      <c r="V79" s="178"/>
      <c r="W79" s="178"/>
      <c r="X79" s="178"/>
      <c r="Y79" s="178"/>
      <c r="Z79" s="178"/>
      <c r="AA79" s="178"/>
      <c r="AB79" s="178"/>
      <c r="AC79" s="178"/>
      <c r="AD79" s="178"/>
      <c r="AE79" s="178"/>
      <c r="AF79" s="178"/>
      <c r="AG79" s="179"/>
      <c r="AH79" s="209">
        <f>Данные!N35/1000-SUM(C79:AG79)</f>
        <v>0</v>
      </c>
      <c r="AI79" s="210">
        <f t="shared" si="76"/>
        <v>0</v>
      </c>
      <c r="AJ79" s="212"/>
      <c r="AK79" s="183"/>
      <c r="AL79" s="183"/>
      <c r="AM79" s="183"/>
      <c r="AN79" s="183"/>
      <c r="AO79" s="183"/>
      <c r="AP79" s="183"/>
      <c r="AQ79" s="183"/>
      <c r="AR79" s="183"/>
    </row>
    <row r="80" spans="1:44" s="174" customFormat="1" x14ac:dyDescent="0.25">
      <c r="A80" s="226" t="s">
        <v>14</v>
      </c>
      <c r="B80" s="236"/>
      <c r="C80" s="237">
        <f>B80+C3-SUM(C24:C66)+C69+C70-SUM(C72:C79)</f>
        <v>1.8392399999999611</v>
      </c>
      <c r="D80" s="238">
        <f>C80+D3-SUM(D24:D66)+D69+D70-SUM(D72:D79)</f>
        <v>32.949239999999961</v>
      </c>
      <c r="E80" s="238">
        <f t="shared" ref="E80:AG80" si="78">D80+E3-SUM(E24:E66)+E69+E70-SUM(E72:E79)</f>
        <v>35.130239999999951</v>
      </c>
      <c r="F80" s="238">
        <f t="shared" si="78"/>
        <v>76.695439999999948</v>
      </c>
      <c r="G80" s="238">
        <f t="shared" si="78"/>
        <v>137.43543999999991</v>
      </c>
      <c r="H80" s="238">
        <f t="shared" si="78"/>
        <v>244.09143999999995</v>
      </c>
      <c r="I80" s="238">
        <f t="shared" si="78"/>
        <v>326.65143999999992</v>
      </c>
      <c r="J80" s="238">
        <f t="shared" si="78"/>
        <v>349.29143999999991</v>
      </c>
      <c r="K80" s="238">
        <f t="shared" si="78"/>
        <v>392.55443999999989</v>
      </c>
      <c r="L80" s="238">
        <f t="shared" si="78"/>
        <v>451.96843999999987</v>
      </c>
      <c r="M80" s="238">
        <f t="shared" si="78"/>
        <v>498.45243999999997</v>
      </c>
      <c r="N80" s="238">
        <f t="shared" si="78"/>
        <v>532.60843999999997</v>
      </c>
      <c r="O80" s="238">
        <f t="shared" si="78"/>
        <v>549.97669999999994</v>
      </c>
      <c r="P80" s="238">
        <f t="shared" si="78"/>
        <v>589.37669999999991</v>
      </c>
      <c r="Q80" s="238">
        <f t="shared" si="78"/>
        <v>603.57669999999996</v>
      </c>
      <c r="R80" s="238">
        <f t="shared" si="78"/>
        <v>607.41669999999999</v>
      </c>
      <c r="S80" s="238">
        <f t="shared" si="78"/>
        <v>675.48121612903219</v>
      </c>
      <c r="T80" s="238">
        <f t="shared" si="78"/>
        <v>718.10211935483869</v>
      </c>
      <c r="U80" s="238">
        <f t="shared" si="78"/>
        <v>757.92720322580647</v>
      </c>
      <c r="V80" s="238">
        <f t="shared" si="78"/>
        <v>797.83730387096773</v>
      </c>
      <c r="W80" s="238">
        <f t="shared" si="78"/>
        <v>842.88942464516128</v>
      </c>
      <c r="X80" s="238">
        <f t="shared" si="78"/>
        <v>889.98396957419357</v>
      </c>
      <c r="Y80" s="238">
        <f t="shared" si="78"/>
        <v>932.8845202632258</v>
      </c>
      <c r="Z80" s="238">
        <f t="shared" si="78"/>
        <v>975.84100044490322</v>
      </c>
      <c r="AA80" s="238">
        <f t="shared" si="78"/>
        <v>1019.4237598887225</v>
      </c>
      <c r="AB80" s="238">
        <f t="shared" si="78"/>
        <v>1063.7410510922734</v>
      </c>
      <c r="AC80" s="238">
        <f t="shared" si="78"/>
        <v>1107.9113763816958</v>
      </c>
      <c r="AD80" s="238">
        <f t="shared" si="78"/>
        <v>1151.4968577431964</v>
      </c>
      <c r="AE80" s="238">
        <f t="shared" si="78"/>
        <v>1195.2193252391905</v>
      </c>
      <c r="AF80" s="238">
        <f t="shared" si="78"/>
        <v>1239.094990198048</v>
      </c>
      <c r="AG80" s="238">
        <f t="shared" si="78"/>
        <v>1239.094990198048</v>
      </c>
      <c r="AH80" s="240">
        <f>AH3-SUM(AH24:AH66)</f>
        <v>847.85074000000009</v>
      </c>
      <c r="AI80" s="229">
        <f>AI3-SUM(AI24:AI66)</f>
        <v>847.2869901980481</v>
      </c>
      <c r="AJ80" s="228">
        <f>SUM(AJ27:AJ66)</f>
        <v>1375.8082599999998</v>
      </c>
      <c r="AK80" s="183"/>
      <c r="AL80" s="183"/>
      <c r="AM80" s="183"/>
      <c r="AN80" s="183"/>
      <c r="AO80" s="183"/>
      <c r="AP80" s="183"/>
      <c r="AQ80" s="183"/>
      <c r="AR80" s="183"/>
    </row>
    <row r="81" spans="1:44" s="174" customFormat="1" x14ac:dyDescent="0.25">
      <c r="A81" s="241" t="s">
        <v>169</v>
      </c>
      <c r="B81" s="175"/>
      <c r="C81" s="274"/>
      <c r="D81" s="189"/>
      <c r="E81" s="189"/>
      <c r="F81" s="189"/>
      <c r="G81" s="189">
        <v>74.959999999999994</v>
      </c>
      <c r="H81" s="189">
        <f>G81+H82-H83</f>
        <v>76.949999999999989</v>
      </c>
      <c r="I81" s="265">
        <f t="shared" ref="I81:R81" si="79">H81+I82-I83</f>
        <v>86.049999999999983</v>
      </c>
      <c r="J81" s="265">
        <f t="shared" si="79"/>
        <v>90.34999999999998</v>
      </c>
      <c r="K81" s="189">
        <f t="shared" si="79"/>
        <v>96.34999999999998</v>
      </c>
      <c r="L81" s="189">
        <f t="shared" si="79"/>
        <v>111.14999999999998</v>
      </c>
      <c r="M81" s="189">
        <f t="shared" si="79"/>
        <v>134.92999999999998</v>
      </c>
      <c r="N81" s="265">
        <f t="shared" si="79"/>
        <v>142.82999999999998</v>
      </c>
      <c r="O81" s="265">
        <f t="shared" si="79"/>
        <v>156.13</v>
      </c>
      <c r="P81" s="265">
        <f t="shared" si="79"/>
        <v>156.13</v>
      </c>
      <c r="Q81" s="265">
        <f t="shared" si="79"/>
        <v>156.43</v>
      </c>
      <c r="R81" s="189">
        <f t="shared" si="79"/>
        <v>169.98000000000002</v>
      </c>
      <c r="S81" s="189"/>
      <c r="T81" s="178"/>
      <c r="U81" s="178"/>
      <c r="V81" s="178"/>
      <c r="W81" s="178"/>
      <c r="X81" s="178"/>
      <c r="Y81" s="178"/>
      <c r="Z81" s="178"/>
      <c r="AA81" s="178"/>
      <c r="AB81" s="178"/>
      <c r="AC81" s="178"/>
      <c r="AD81" s="178"/>
      <c r="AE81" s="178"/>
      <c r="AF81" s="178"/>
      <c r="AG81" s="179"/>
      <c r="AH81" s="209"/>
      <c r="AI81" s="210"/>
      <c r="AJ81" s="212"/>
      <c r="AK81" s="183"/>
      <c r="AL81" s="183"/>
      <c r="AM81" s="183"/>
      <c r="AN81" s="183"/>
      <c r="AO81" s="183"/>
      <c r="AP81" s="183"/>
      <c r="AQ81" s="183"/>
      <c r="AR81" s="183"/>
    </row>
    <row r="82" spans="1:44" s="174" customFormat="1" x14ac:dyDescent="0.25">
      <c r="A82" s="208" t="s">
        <v>181</v>
      </c>
      <c r="B82" s="176"/>
      <c r="C82" s="278"/>
      <c r="D82" s="243"/>
      <c r="E82" s="243"/>
      <c r="F82" s="243"/>
      <c r="G82" s="171">
        <f>G5</f>
        <v>26.62</v>
      </c>
      <c r="H82" s="171">
        <f t="shared" ref="H82:L82" si="80">H5</f>
        <v>21.99</v>
      </c>
      <c r="I82" s="259">
        <f t="shared" si="80"/>
        <v>9.1</v>
      </c>
      <c r="J82" s="259">
        <f t="shared" si="80"/>
        <v>4.3</v>
      </c>
      <c r="K82" s="171">
        <f t="shared" si="80"/>
        <v>6</v>
      </c>
      <c r="L82" s="171">
        <f t="shared" si="80"/>
        <v>14.8</v>
      </c>
      <c r="M82" s="171">
        <f t="shared" ref="M82:N82" si="81">M5</f>
        <v>23.78</v>
      </c>
      <c r="N82" s="259">
        <f t="shared" si="81"/>
        <v>7.9</v>
      </c>
      <c r="O82" s="259">
        <f t="shared" ref="O82:P82" si="82">O5</f>
        <v>13.3</v>
      </c>
      <c r="P82" s="259">
        <f t="shared" si="82"/>
        <v>0</v>
      </c>
      <c r="Q82" s="259">
        <f t="shared" ref="Q82:R82" si="83">Q5</f>
        <v>0.3</v>
      </c>
      <c r="R82" s="171">
        <f t="shared" si="83"/>
        <v>15.05</v>
      </c>
      <c r="S82" s="171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245"/>
      <c r="AH82" s="209"/>
      <c r="AI82" s="210"/>
      <c r="AJ82" s="213"/>
      <c r="AK82" s="183"/>
      <c r="AL82" s="183"/>
      <c r="AM82" s="183"/>
      <c r="AN82" s="183"/>
      <c r="AO82" s="183"/>
      <c r="AP82" s="183"/>
      <c r="AQ82" s="183"/>
      <c r="AR82" s="183"/>
    </row>
    <row r="83" spans="1:44" s="174" customFormat="1" x14ac:dyDescent="0.25">
      <c r="A83" s="208" t="s">
        <v>150</v>
      </c>
      <c r="B83" s="176"/>
      <c r="C83" s="278"/>
      <c r="D83" s="243"/>
      <c r="E83" s="243"/>
      <c r="F83" s="243"/>
      <c r="G83" s="243">
        <v>0</v>
      </c>
      <c r="H83" s="243">
        <v>20</v>
      </c>
      <c r="I83" s="269">
        <v>0</v>
      </c>
      <c r="J83" s="269">
        <v>0</v>
      </c>
      <c r="K83" s="243">
        <v>0</v>
      </c>
      <c r="L83" s="243">
        <v>0</v>
      </c>
      <c r="M83" s="243">
        <v>0</v>
      </c>
      <c r="N83" s="269">
        <v>0</v>
      </c>
      <c r="O83" s="269">
        <v>0</v>
      </c>
      <c r="P83" s="269">
        <v>0</v>
      </c>
      <c r="Q83" s="269">
        <v>0</v>
      </c>
      <c r="R83" s="243">
        <v>1.5</v>
      </c>
      <c r="S83" s="243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5"/>
      <c r="AH83" s="209"/>
      <c r="AI83" s="210"/>
      <c r="AJ83" s="213"/>
      <c r="AK83" s="183"/>
      <c r="AL83" s="183"/>
      <c r="AM83" s="183"/>
      <c r="AN83" s="183"/>
      <c r="AO83" s="183"/>
      <c r="AP83" s="183"/>
      <c r="AQ83" s="183"/>
      <c r="AR83" s="183"/>
    </row>
    <row r="84" spans="1:44" s="174" customFormat="1" x14ac:dyDescent="0.25">
      <c r="A84" s="234" t="s">
        <v>170</v>
      </c>
      <c r="B84" s="176"/>
      <c r="C84" s="273"/>
      <c r="D84" s="190"/>
      <c r="E84" s="190"/>
      <c r="F84" s="190"/>
      <c r="G84" s="190">
        <v>1.26</v>
      </c>
      <c r="H84" s="189">
        <f>G84+H85-H86</f>
        <v>1.2600000000000051</v>
      </c>
      <c r="I84" s="265">
        <f t="shared" ref="I84" si="84">H84+I85-I86</f>
        <v>1.2600000000000051</v>
      </c>
      <c r="J84" s="265">
        <f t="shared" ref="J84" si="85">I84+J85-J86</f>
        <v>1.2600000000000051</v>
      </c>
      <c r="K84" s="189">
        <f t="shared" ref="K84" si="86">J84+K85-K86</f>
        <v>1.2600000000000051</v>
      </c>
      <c r="L84" s="189">
        <f t="shared" ref="L84:R84" si="87">K84+L85-L86</f>
        <v>1.2600000000000051</v>
      </c>
      <c r="M84" s="189">
        <f t="shared" si="87"/>
        <v>1.2600000000000051</v>
      </c>
      <c r="N84" s="265">
        <f t="shared" si="87"/>
        <v>1.2600000000000051</v>
      </c>
      <c r="O84" s="265">
        <f t="shared" si="87"/>
        <v>1.2600000000000051</v>
      </c>
      <c r="P84" s="265">
        <f t="shared" si="87"/>
        <v>1.2600000000000051</v>
      </c>
      <c r="Q84" s="265">
        <f t="shared" si="87"/>
        <v>1.2600000000000051</v>
      </c>
      <c r="R84" s="189">
        <f t="shared" si="87"/>
        <v>1.2600000000000051</v>
      </c>
      <c r="S84" s="189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1"/>
      <c r="AH84" s="209"/>
      <c r="AI84" s="210"/>
      <c r="AJ84" s="213"/>
      <c r="AK84" s="183"/>
      <c r="AL84" s="183"/>
      <c r="AM84" s="183"/>
      <c r="AN84" s="183"/>
      <c r="AO84" s="183"/>
      <c r="AP84" s="183"/>
      <c r="AQ84" s="183"/>
      <c r="AR84" s="183"/>
    </row>
    <row r="85" spans="1:44" s="174" customFormat="1" x14ac:dyDescent="0.25">
      <c r="A85" s="208" t="s">
        <v>181</v>
      </c>
      <c r="B85" s="176"/>
      <c r="C85" s="278"/>
      <c r="D85" s="243"/>
      <c r="E85" s="243"/>
      <c r="F85" s="243"/>
      <c r="G85" s="171">
        <f>G8</f>
        <v>0</v>
      </c>
      <c r="H85" s="171">
        <f t="shared" ref="H85:L85" si="88">H8</f>
        <v>66</v>
      </c>
      <c r="I85" s="259">
        <f t="shared" si="88"/>
        <v>0</v>
      </c>
      <c r="J85" s="259">
        <f t="shared" si="88"/>
        <v>0</v>
      </c>
      <c r="K85" s="171">
        <f t="shared" si="88"/>
        <v>0</v>
      </c>
      <c r="L85" s="171">
        <f t="shared" si="88"/>
        <v>5</v>
      </c>
      <c r="M85" s="171">
        <f t="shared" ref="M85:N85" si="89">M8</f>
        <v>3</v>
      </c>
      <c r="N85" s="259">
        <f t="shared" si="89"/>
        <v>0</v>
      </c>
      <c r="O85" s="259">
        <f t="shared" ref="O85:P85" si="90">O8</f>
        <v>0</v>
      </c>
      <c r="P85" s="259">
        <f t="shared" si="90"/>
        <v>0</v>
      </c>
      <c r="Q85" s="259">
        <f t="shared" ref="Q85:R85" si="91">Q8</f>
        <v>0</v>
      </c>
      <c r="R85" s="171">
        <f t="shared" si="91"/>
        <v>0</v>
      </c>
      <c r="S85" s="171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5"/>
      <c r="AH85" s="209"/>
      <c r="AI85" s="210"/>
      <c r="AJ85" s="213"/>
      <c r="AK85" s="183"/>
      <c r="AL85" s="183"/>
      <c r="AM85" s="183"/>
      <c r="AN85" s="183"/>
      <c r="AO85" s="183"/>
      <c r="AP85" s="183"/>
      <c r="AQ85" s="183"/>
      <c r="AR85" s="183"/>
    </row>
    <row r="86" spans="1:44" s="174" customFormat="1" x14ac:dyDescent="0.25">
      <c r="A86" s="208" t="s">
        <v>150</v>
      </c>
      <c r="B86" s="176"/>
      <c r="C86" s="278"/>
      <c r="D86" s="243"/>
      <c r="E86" s="243"/>
      <c r="F86" s="243"/>
      <c r="G86" s="243">
        <v>0</v>
      </c>
      <c r="H86" s="243">
        <v>66</v>
      </c>
      <c r="I86" s="269">
        <v>0</v>
      </c>
      <c r="J86" s="269">
        <v>0</v>
      </c>
      <c r="K86" s="243">
        <v>0</v>
      </c>
      <c r="L86" s="243">
        <v>5</v>
      </c>
      <c r="M86" s="243">
        <v>3</v>
      </c>
      <c r="N86" s="269">
        <v>0</v>
      </c>
      <c r="O86" s="269">
        <v>0</v>
      </c>
      <c r="P86" s="269">
        <v>0</v>
      </c>
      <c r="Q86" s="269">
        <v>0</v>
      </c>
      <c r="R86" s="243">
        <v>0</v>
      </c>
      <c r="S86" s="243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5"/>
      <c r="AH86" s="209"/>
      <c r="AI86" s="210"/>
      <c r="AJ86" s="213"/>
      <c r="AK86" s="183"/>
      <c r="AL86" s="183"/>
      <c r="AM86" s="183"/>
      <c r="AN86" s="183"/>
      <c r="AO86" s="183"/>
      <c r="AP86" s="183"/>
      <c r="AQ86" s="183"/>
      <c r="AR86" s="183"/>
    </row>
    <row r="87" spans="1:44" s="174" customFormat="1" x14ac:dyDescent="0.25">
      <c r="A87" s="234" t="s">
        <v>149</v>
      </c>
      <c r="B87" s="176"/>
      <c r="C87" s="273"/>
      <c r="D87" s="190"/>
      <c r="E87" s="190"/>
      <c r="F87" s="190"/>
      <c r="G87" s="190">
        <v>4.74</v>
      </c>
      <c r="H87" s="190">
        <f>G87+H88-H89</f>
        <v>4.74</v>
      </c>
      <c r="I87" s="265">
        <f t="shared" ref="I87" si="92">H87+I88-I89</f>
        <v>4.74</v>
      </c>
      <c r="J87" s="265">
        <f t="shared" ref="J87" si="93">I87+J88-J89</f>
        <v>4.74</v>
      </c>
      <c r="K87" s="189">
        <f t="shared" ref="K87" si="94">J87+K88-K89</f>
        <v>22.740000000000002</v>
      </c>
      <c r="L87" s="189">
        <f t="shared" ref="L87:R87" si="95">K87+L88-L89</f>
        <v>5.240000000000002</v>
      </c>
      <c r="M87" s="189">
        <f t="shared" si="95"/>
        <v>5.240000000000002</v>
      </c>
      <c r="N87" s="265">
        <f t="shared" si="95"/>
        <v>5.240000000000002</v>
      </c>
      <c r="O87" s="265">
        <f t="shared" si="95"/>
        <v>6.240000000000002</v>
      </c>
      <c r="P87" s="265">
        <f t="shared" si="95"/>
        <v>6.240000000000002</v>
      </c>
      <c r="Q87" s="265">
        <f t="shared" si="95"/>
        <v>6.240000000000002</v>
      </c>
      <c r="R87" s="189">
        <f t="shared" si="95"/>
        <v>6.240000000000002</v>
      </c>
      <c r="S87" s="189"/>
      <c r="T87" s="180"/>
      <c r="U87" s="180"/>
      <c r="V87" s="180"/>
      <c r="W87" s="180"/>
      <c r="X87" s="180"/>
      <c r="Y87" s="180"/>
      <c r="Z87" s="180"/>
      <c r="AA87" s="180"/>
      <c r="AB87" s="180"/>
      <c r="AC87" s="180"/>
      <c r="AD87" s="180"/>
      <c r="AE87" s="180"/>
      <c r="AF87" s="180"/>
      <c r="AG87" s="181"/>
      <c r="AH87" s="209"/>
      <c r="AI87" s="210"/>
      <c r="AJ87" s="213"/>
      <c r="AK87" s="183"/>
      <c r="AL87" s="183"/>
      <c r="AM87" s="183"/>
      <c r="AN87" s="183"/>
      <c r="AO87" s="183"/>
      <c r="AP87" s="183"/>
      <c r="AQ87" s="183"/>
      <c r="AR87" s="183"/>
    </row>
    <row r="88" spans="1:44" s="174" customFormat="1" x14ac:dyDescent="0.25">
      <c r="A88" s="208" t="s">
        <v>181</v>
      </c>
      <c r="B88" s="176"/>
      <c r="C88" s="278"/>
      <c r="D88" s="243"/>
      <c r="E88" s="243"/>
      <c r="F88" s="243"/>
      <c r="G88" s="243">
        <f>G11</f>
        <v>0</v>
      </c>
      <c r="H88" s="243">
        <f t="shared" ref="H88:L88" si="96">H11</f>
        <v>0</v>
      </c>
      <c r="I88" s="259">
        <f t="shared" si="96"/>
        <v>0</v>
      </c>
      <c r="J88" s="259">
        <f t="shared" si="96"/>
        <v>0</v>
      </c>
      <c r="K88" s="171">
        <f t="shared" si="96"/>
        <v>18</v>
      </c>
      <c r="L88" s="171">
        <f t="shared" si="96"/>
        <v>7.5</v>
      </c>
      <c r="M88" s="171">
        <f t="shared" ref="M88:N88" si="97">M11</f>
        <v>10</v>
      </c>
      <c r="N88" s="259">
        <f t="shared" si="97"/>
        <v>0</v>
      </c>
      <c r="O88" s="259">
        <f t="shared" ref="O88:P88" si="98">O11</f>
        <v>1</v>
      </c>
      <c r="P88" s="259">
        <f t="shared" si="98"/>
        <v>0</v>
      </c>
      <c r="Q88" s="259">
        <f t="shared" ref="Q88:R88" si="99">Q11</f>
        <v>0</v>
      </c>
      <c r="R88" s="171">
        <f t="shared" si="99"/>
        <v>0</v>
      </c>
      <c r="S88" s="171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5"/>
      <c r="AH88" s="209"/>
      <c r="AI88" s="210"/>
      <c r="AJ88" s="213"/>
      <c r="AK88" s="183"/>
      <c r="AL88" s="183"/>
      <c r="AM88" s="183"/>
      <c r="AN88" s="183"/>
      <c r="AO88" s="183"/>
      <c r="AP88" s="183"/>
      <c r="AQ88" s="183"/>
      <c r="AR88" s="183"/>
    </row>
    <row r="89" spans="1:44" s="174" customFormat="1" x14ac:dyDescent="0.25">
      <c r="A89" s="208" t="s">
        <v>150</v>
      </c>
      <c r="B89" s="176"/>
      <c r="C89" s="278"/>
      <c r="D89" s="243"/>
      <c r="E89" s="243"/>
      <c r="F89" s="243"/>
      <c r="G89" s="243">
        <v>1.26</v>
      </c>
      <c r="H89" s="243">
        <v>0</v>
      </c>
      <c r="I89" s="269">
        <v>0</v>
      </c>
      <c r="J89" s="269">
        <v>0</v>
      </c>
      <c r="K89" s="243">
        <v>0</v>
      </c>
      <c r="L89" s="243">
        <v>25</v>
      </c>
      <c r="M89" s="243">
        <v>10</v>
      </c>
      <c r="N89" s="269">
        <v>0</v>
      </c>
      <c r="O89" s="269">
        <v>0</v>
      </c>
      <c r="P89" s="269">
        <v>0</v>
      </c>
      <c r="Q89" s="269">
        <v>0</v>
      </c>
      <c r="R89" s="243">
        <v>0</v>
      </c>
      <c r="S89" s="243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5"/>
      <c r="AH89" s="209"/>
      <c r="AI89" s="210"/>
      <c r="AJ89" s="213"/>
      <c r="AK89" s="183"/>
      <c r="AL89" s="183"/>
      <c r="AM89" s="183"/>
      <c r="AN89" s="183"/>
      <c r="AO89" s="183"/>
      <c r="AP89" s="183"/>
      <c r="AQ89" s="183"/>
      <c r="AR89" s="183"/>
    </row>
    <row r="90" spans="1:44" s="174" customFormat="1" x14ac:dyDescent="0.25">
      <c r="A90" s="234" t="s">
        <v>171</v>
      </c>
      <c r="B90" s="176"/>
      <c r="C90" s="273"/>
      <c r="D90" s="190"/>
      <c r="E90" s="190"/>
      <c r="F90" s="190"/>
      <c r="G90" s="190">
        <v>8.1</v>
      </c>
      <c r="H90" s="190">
        <f>G90+H91-H92</f>
        <v>8.5</v>
      </c>
      <c r="I90" s="265">
        <f t="shared" ref="I90" si="100">H90+I91-I92</f>
        <v>8.5</v>
      </c>
      <c r="J90" s="265">
        <f t="shared" ref="J90" si="101">I90+J91-J92</f>
        <v>8.5</v>
      </c>
      <c r="K90" s="189">
        <f t="shared" ref="K90" si="102">J90+K91-K92</f>
        <v>8.5</v>
      </c>
      <c r="L90" s="189">
        <f t="shared" ref="L90:R90" si="103">K90+L91-L92</f>
        <v>9</v>
      </c>
      <c r="M90" s="189">
        <f t="shared" si="103"/>
        <v>10.5</v>
      </c>
      <c r="N90" s="265">
        <f t="shared" si="103"/>
        <v>10.5</v>
      </c>
      <c r="O90" s="265">
        <f t="shared" si="103"/>
        <v>10.5</v>
      </c>
      <c r="P90" s="265">
        <f t="shared" si="103"/>
        <v>10.5</v>
      </c>
      <c r="Q90" s="265">
        <f t="shared" si="103"/>
        <v>10.5</v>
      </c>
      <c r="R90" s="189">
        <f t="shared" si="103"/>
        <v>10.5</v>
      </c>
      <c r="S90" s="189"/>
      <c r="T90" s="180"/>
      <c r="U90" s="180"/>
      <c r="V90" s="180"/>
      <c r="W90" s="180"/>
      <c r="X90" s="180"/>
      <c r="Y90" s="180"/>
      <c r="Z90" s="180"/>
      <c r="AA90" s="180"/>
      <c r="AB90" s="180"/>
      <c r="AC90" s="180"/>
      <c r="AD90" s="180"/>
      <c r="AE90" s="180"/>
      <c r="AF90" s="180"/>
      <c r="AG90" s="181"/>
      <c r="AH90" s="209"/>
      <c r="AI90" s="210"/>
      <c r="AJ90" s="213"/>
      <c r="AK90" s="183"/>
      <c r="AL90" s="183"/>
      <c r="AM90" s="183"/>
      <c r="AN90" s="183"/>
      <c r="AO90" s="183"/>
      <c r="AP90" s="183"/>
      <c r="AQ90" s="183"/>
      <c r="AR90" s="183"/>
    </row>
    <row r="91" spans="1:44" s="174" customFormat="1" x14ac:dyDescent="0.25">
      <c r="A91" s="208" t="s">
        <v>181</v>
      </c>
      <c r="B91" s="176"/>
      <c r="C91" s="278"/>
      <c r="D91" s="243"/>
      <c r="E91" s="243"/>
      <c r="F91" s="243"/>
      <c r="G91" s="243">
        <f>G14</f>
        <v>0</v>
      </c>
      <c r="H91" s="243">
        <f t="shared" ref="H91:L91" si="104">H14</f>
        <v>0.4</v>
      </c>
      <c r="I91" s="259">
        <f t="shared" si="104"/>
        <v>0</v>
      </c>
      <c r="J91" s="259">
        <f t="shared" si="104"/>
        <v>0</v>
      </c>
      <c r="K91" s="171">
        <f t="shared" si="104"/>
        <v>0</v>
      </c>
      <c r="L91" s="171">
        <f t="shared" si="104"/>
        <v>0.5</v>
      </c>
      <c r="M91" s="171">
        <f t="shared" ref="M91:N91" si="105">M14</f>
        <v>8.5</v>
      </c>
      <c r="N91" s="259">
        <f t="shared" si="105"/>
        <v>0</v>
      </c>
      <c r="O91" s="259">
        <f t="shared" ref="O91:P91" si="106">O14</f>
        <v>0</v>
      </c>
      <c r="P91" s="259">
        <f t="shared" si="106"/>
        <v>0</v>
      </c>
      <c r="Q91" s="259">
        <f t="shared" ref="Q91:R91" si="107">Q14</f>
        <v>0</v>
      </c>
      <c r="R91" s="171">
        <f t="shared" si="107"/>
        <v>0</v>
      </c>
      <c r="S91" s="171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245"/>
      <c r="AH91" s="209"/>
      <c r="AI91" s="210"/>
      <c r="AJ91" s="213"/>
      <c r="AK91" s="183"/>
      <c r="AL91" s="183"/>
      <c r="AM91" s="183"/>
      <c r="AN91" s="183"/>
      <c r="AO91" s="183"/>
      <c r="AP91" s="183"/>
      <c r="AQ91" s="183"/>
      <c r="AR91" s="183"/>
    </row>
    <row r="92" spans="1:44" s="174" customFormat="1" x14ac:dyDescent="0.25">
      <c r="A92" s="208" t="s">
        <v>150</v>
      </c>
      <c r="B92" s="176"/>
      <c r="C92" s="278"/>
      <c r="D92" s="243"/>
      <c r="E92" s="243"/>
      <c r="F92" s="243"/>
      <c r="G92" s="243">
        <v>0</v>
      </c>
      <c r="H92" s="243">
        <v>0</v>
      </c>
      <c r="I92" s="269">
        <v>0</v>
      </c>
      <c r="J92" s="269">
        <v>0</v>
      </c>
      <c r="K92" s="243">
        <v>0</v>
      </c>
      <c r="L92" s="243">
        <v>0</v>
      </c>
      <c r="M92" s="243">
        <v>7</v>
      </c>
      <c r="N92" s="269">
        <v>0</v>
      </c>
      <c r="O92" s="269">
        <v>0</v>
      </c>
      <c r="P92" s="269">
        <v>0</v>
      </c>
      <c r="Q92" s="269">
        <v>0</v>
      </c>
      <c r="R92" s="243">
        <v>0</v>
      </c>
      <c r="S92" s="243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5"/>
      <c r="AH92" s="209"/>
      <c r="AI92" s="210"/>
      <c r="AJ92" s="213"/>
      <c r="AK92" s="183"/>
      <c r="AL92" s="183"/>
      <c r="AM92" s="183"/>
      <c r="AN92" s="183"/>
      <c r="AO92" s="183"/>
      <c r="AP92" s="183"/>
      <c r="AQ92" s="183"/>
      <c r="AR92" s="183"/>
    </row>
    <row r="93" spans="1:44" s="174" customFormat="1" x14ac:dyDescent="0.25">
      <c r="A93" s="234" t="s">
        <v>172</v>
      </c>
      <c r="B93" s="176"/>
      <c r="C93" s="273"/>
      <c r="D93" s="190"/>
      <c r="E93" s="190"/>
      <c r="F93" s="190"/>
      <c r="G93" s="190">
        <v>0.47</v>
      </c>
      <c r="H93" s="190">
        <f>G93+H94-H95</f>
        <v>3.1899999999999995</v>
      </c>
      <c r="I93" s="265">
        <f t="shared" ref="I93" si="108">H93+I94-I95</f>
        <v>10.19</v>
      </c>
      <c r="J93" s="265">
        <f t="shared" ref="J93" si="109">I93+J94-J95</f>
        <v>8.19</v>
      </c>
      <c r="K93" s="189">
        <f t="shared" ref="K93" si="110">J93+K94-K95</f>
        <v>1.1899999999999977</v>
      </c>
      <c r="L93" s="189">
        <f t="shared" ref="L93:R93" si="111">K93+L94-L95</f>
        <v>2.6899999999999977</v>
      </c>
      <c r="M93" s="189">
        <f t="shared" si="111"/>
        <v>5.6899999999999977</v>
      </c>
      <c r="N93" s="265">
        <f t="shared" si="111"/>
        <v>7.8899999999999979</v>
      </c>
      <c r="O93" s="265">
        <f t="shared" si="111"/>
        <v>9.389999999999997</v>
      </c>
      <c r="P93" s="265">
        <f t="shared" si="111"/>
        <v>13.889999999999997</v>
      </c>
      <c r="Q93" s="265">
        <f t="shared" si="111"/>
        <v>23.689999999999998</v>
      </c>
      <c r="R93" s="189">
        <f t="shared" si="111"/>
        <v>0.18999999999999773</v>
      </c>
      <c r="S93" s="189"/>
      <c r="T93" s="180"/>
      <c r="U93" s="180"/>
      <c r="V93" s="180"/>
      <c r="W93" s="180"/>
      <c r="X93" s="180"/>
      <c r="Y93" s="180"/>
      <c r="Z93" s="180"/>
      <c r="AA93" s="180"/>
      <c r="AB93" s="180"/>
      <c r="AC93" s="180"/>
      <c r="AD93" s="180"/>
      <c r="AE93" s="180"/>
      <c r="AF93" s="180"/>
      <c r="AG93" s="181"/>
      <c r="AH93" s="209"/>
      <c r="AI93" s="210"/>
      <c r="AJ93" s="213"/>
      <c r="AK93" s="183"/>
      <c r="AL93" s="183"/>
      <c r="AM93" s="183"/>
      <c r="AN93" s="183"/>
      <c r="AO93" s="183"/>
      <c r="AP93" s="183"/>
      <c r="AQ93" s="183"/>
      <c r="AR93" s="183"/>
    </row>
    <row r="94" spans="1:44" s="174" customFormat="1" x14ac:dyDescent="0.25">
      <c r="A94" s="208" t="s">
        <v>181</v>
      </c>
      <c r="B94" s="175"/>
      <c r="C94" s="278"/>
      <c r="D94" s="243"/>
      <c r="E94" s="243"/>
      <c r="F94" s="243"/>
      <c r="G94" s="243">
        <f>G17</f>
        <v>5</v>
      </c>
      <c r="H94" s="243">
        <f t="shared" ref="H94:L94" si="112">H17</f>
        <v>3</v>
      </c>
      <c r="I94" s="259">
        <f t="shared" si="112"/>
        <v>11</v>
      </c>
      <c r="J94" s="259">
        <f t="shared" si="112"/>
        <v>0</v>
      </c>
      <c r="K94" s="171">
        <f t="shared" si="112"/>
        <v>31</v>
      </c>
      <c r="L94" s="171">
        <f t="shared" si="112"/>
        <v>9.5</v>
      </c>
      <c r="M94" s="171">
        <f t="shared" ref="M94:N94" si="113">M17</f>
        <v>3</v>
      </c>
      <c r="N94" s="259">
        <f t="shared" si="113"/>
        <v>2.4</v>
      </c>
      <c r="O94" s="259">
        <f t="shared" ref="O94:P94" si="114">O17</f>
        <v>1.5</v>
      </c>
      <c r="P94" s="259">
        <f t="shared" si="114"/>
        <v>9.5</v>
      </c>
      <c r="Q94" s="259">
        <f t="shared" ref="Q94:R94" si="115">Q17</f>
        <v>9.8000000000000007</v>
      </c>
      <c r="R94" s="171">
        <f t="shared" si="115"/>
        <v>1</v>
      </c>
      <c r="S94" s="171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  <c r="AE94" s="244"/>
      <c r="AF94" s="244"/>
      <c r="AG94" s="245"/>
      <c r="AH94" s="209"/>
      <c r="AI94" s="210"/>
      <c r="AJ94" s="212"/>
      <c r="AK94" s="183"/>
      <c r="AL94" s="183"/>
      <c r="AM94" s="183"/>
      <c r="AN94" s="183"/>
      <c r="AO94" s="183"/>
      <c r="AP94" s="183"/>
      <c r="AQ94" s="183"/>
      <c r="AR94" s="183"/>
    </row>
    <row r="95" spans="1:44" s="174" customFormat="1" x14ac:dyDescent="0.25">
      <c r="A95" s="208" t="s">
        <v>150</v>
      </c>
      <c r="B95" s="176"/>
      <c r="C95" s="278"/>
      <c r="D95" s="243"/>
      <c r="E95" s="243"/>
      <c r="F95" s="243"/>
      <c r="G95" s="243">
        <f>-10.64</f>
        <v>-10.64</v>
      </c>
      <c r="H95" s="243">
        <v>0.28000000000000003</v>
      </c>
      <c r="I95" s="269">
        <v>4</v>
      </c>
      <c r="J95" s="279">
        <v>2</v>
      </c>
      <c r="K95" s="243">
        <v>38</v>
      </c>
      <c r="L95" s="243">
        <v>8</v>
      </c>
      <c r="M95" s="243">
        <v>0</v>
      </c>
      <c r="N95" s="269">
        <v>0.2</v>
      </c>
      <c r="O95" s="269">
        <v>0</v>
      </c>
      <c r="P95" s="269">
        <v>5</v>
      </c>
      <c r="Q95" s="269">
        <v>0</v>
      </c>
      <c r="R95" s="243">
        <f>15+5+4.5</f>
        <v>24.5</v>
      </c>
      <c r="S95" s="243"/>
      <c r="T95" s="244"/>
      <c r="U95" s="244"/>
      <c r="V95" s="244"/>
      <c r="W95" s="244"/>
      <c r="X95" s="244"/>
      <c r="Y95" s="244"/>
      <c r="Z95" s="244"/>
      <c r="AA95" s="244"/>
      <c r="AB95" s="244"/>
      <c r="AC95" s="244"/>
      <c r="AD95" s="244"/>
      <c r="AE95" s="244"/>
      <c r="AF95" s="244"/>
      <c r="AG95" s="245"/>
      <c r="AH95" s="209"/>
      <c r="AI95" s="210"/>
      <c r="AJ95" s="213"/>
      <c r="AK95" s="183"/>
      <c r="AL95" s="183"/>
      <c r="AM95" s="183"/>
      <c r="AN95" s="183"/>
      <c r="AO95" s="183"/>
      <c r="AP95" s="183"/>
      <c r="AQ95" s="183"/>
      <c r="AR95" s="183"/>
    </row>
    <row r="96" spans="1:44" s="174" customFormat="1" x14ac:dyDescent="0.25">
      <c r="A96" s="226" t="s">
        <v>180</v>
      </c>
      <c r="B96" s="236"/>
      <c r="C96" s="237"/>
      <c r="D96" s="238"/>
      <c r="E96" s="238"/>
      <c r="F96" s="238"/>
      <c r="G96" s="238">
        <f>G81+G84+G87+G90+G93</f>
        <v>89.529999999999987</v>
      </c>
      <c r="H96" s="238">
        <f t="shared" ref="H96:Q96" si="116">H81+H84+H87+H90+H93</f>
        <v>94.639999999999986</v>
      </c>
      <c r="I96" s="238">
        <f t="shared" si="116"/>
        <v>110.73999999999998</v>
      </c>
      <c r="J96" s="238">
        <f t="shared" si="116"/>
        <v>113.03999999999998</v>
      </c>
      <c r="K96" s="238">
        <f t="shared" si="116"/>
        <v>130.04</v>
      </c>
      <c r="L96" s="238">
        <f t="shared" si="116"/>
        <v>129.33999999999997</v>
      </c>
      <c r="M96" s="238">
        <f t="shared" si="116"/>
        <v>157.62</v>
      </c>
      <c r="N96" s="238">
        <f t="shared" si="116"/>
        <v>167.71999999999997</v>
      </c>
      <c r="O96" s="238">
        <f t="shared" si="116"/>
        <v>183.51999999999998</v>
      </c>
      <c r="P96" s="238">
        <f t="shared" si="116"/>
        <v>188.01999999999998</v>
      </c>
      <c r="Q96" s="238">
        <f t="shared" si="116"/>
        <v>198.12</v>
      </c>
      <c r="R96" s="238">
        <f t="shared" ref="R96" si="117">R81+R84+R87+R90+R93</f>
        <v>188.17000000000002</v>
      </c>
      <c r="S96" s="238"/>
      <c r="T96" s="238"/>
      <c r="U96" s="238"/>
      <c r="V96" s="238"/>
      <c r="W96" s="238"/>
      <c r="X96" s="238"/>
      <c r="Y96" s="238"/>
      <c r="Z96" s="238"/>
      <c r="AA96" s="238"/>
      <c r="AB96" s="238"/>
      <c r="AC96" s="238"/>
      <c r="AD96" s="238"/>
      <c r="AE96" s="238"/>
      <c r="AF96" s="238"/>
      <c r="AG96" s="239"/>
      <c r="AH96" s="240"/>
      <c r="AI96" s="229"/>
      <c r="AJ96" s="228"/>
      <c r="AK96" s="183"/>
      <c r="AL96" s="183"/>
      <c r="AM96" s="183"/>
      <c r="AN96" s="183"/>
      <c r="AO96" s="183"/>
      <c r="AP96" s="183"/>
      <c r="AQ96" s="183"/>
      <c r="AR96" s="183"/>
    </row>
    <row r="97" spans="1:44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183"/>
      <c r="N97" s="183"/>
      <c r="O97" s="183"/>
      <c r="P97" s="183"/>
      <c r="Q97" s="183"/>
      <c r="R97" s="183"/>
      <c r="S97" s="18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85"/>
      <c r="AJ97" s="53"/>
      <c r="AK97" s="53"/>
      <c r="AL97" s="53"/>
      <c r="AM97" s="53"/>
      <c r="AN97" s="53"/>
      <c r="AO97" s="53"/>
      <c r="AP97" s="53"/>
      <c r="AQ97" s="53"/>
      <c r="AR97" s="53"/>
    </row>
    <row r="98" spans="1:44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183"/>
      <c r="N98" s="183"/>
      <c r="O98" s="183"/>
      <c r="P98" s="183"/>
      <c r="Q98" s="183"/>
      <c r="R98" s="183"/>
      <c r="S98" s="18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85"/>
      <c r="AJ98" s="53"/>
      <c r="AK98" s="53"/>
      <c r="AL98" s="53"/>
      <c r="AM98" s="53"/>
      <c r="AN98" s="53"/>
      <c r="AO98" s="53"/>
      <c r="AP98" s="53"/>
      <c r="AQ98" s="53"/>
      <c r="AR98" s="53"/>
    </row>
    <row r="99" spans="1:44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183"/>
      <c r="N99" s="183"/>
      <c r="O99" s="183"/>
      <c r="P99" s="183"/>
      <c r="Q99" s="183"/>
      <c r="R99" s="183"/>
      <c r="S99" s="18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85"/>
      <c r="AJ99" s="53"/>
      <c r="AK99" s="53"/>
      <c r="AL99" s="53"/>
      <c r="AM99" s="53"/>
      <c r="AN99" s="53"/>
      <c r="AO99" s="53"/>
      <c r="AP99" s="53"/>
      <c r="AQ99" s="53"/>
      <c r="AR99" s="53"/>
    </row>
    <row r="100" spans="1:44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183"/>
      <c r="N100" s="183"/>
      <c r="O100" s="183"/>
      <c r="P100" s="183"/>
      <c r="Q100" s="183"/>
      <c r="R100" s="183"/>
      <c r="S100" s="18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85"/>
      <c r="AJ100" s="53"/>
      <c r="AK100" s="53"/>
      <c r="AL100" s="53"/>
      <c r="AM100" s="53"/>
      <c r="AN100" s="53"/>
      <c r="AO100" s="53"/>
      <c r="AP100" s="53"/>
      <c r="AQ100" s="53"/>
      <c r="AR100" s="53"/>
    </row>
    <row r="101" spans="1:44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183"/>
      <c r="N101" s="183"/>
      <c r="O101" s="183"/>
      <c r="P101" s="183"/>
      <c r="Q101" s="183"/>
      <c r="R101" s="183"/>
      <c r="S101" s="18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85"/>
      <c r="AJ101" s="53"/>
      <c r="AK101" s="53"/>
      <c r="AL101" s="53"/>
      <c r="AM101" s="53"/>
      <c r="AN101" s="53"/>
      <c r="AO101" s="53"/>
      <c r="AP101" s="53"/>
      <c r="AQ101" s="53"/>
      <c r="AR101" s="53"/>
    </row>
  </sheetData>
  <pageMargins left="0.7" right="0.7" top="0.75" bottom="0.75" header="0.3" footer="0.3"/>
  <pageSetup paperSize="9" scale="34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B103-B75F-43DD-8331-501B8D7310F1}">
  <dimension ref="A1:AB169"/>
  <sheetViews>
    <sheetView zoomScale="80" zoomScaleNormal="80" zoomScaleSheetLayoutView="100" workbookViewId="0">
      <pane ySplit="2" topLeftCell="A66" activePane="bottomLeft" state="frozen"/>
      <selection pane="bottomLeft" activeCell="E81" sqref="E81"/>
    </sheetView>
  </sheetViews>
  <sheetFormatPr defaultRowHeight="15" x14ac:dyDescent="0.25"/>
  <cols>
    <col min="1" max="1" width="3.42578125" customWidth="1"/>
    <col min="2" max="2" width="25.85546875" customWidth="1"/>
    <col min="3" max="3" width="21.85546875" bestFit="1" customWidth="1"/>
    <col min="4" max="4" width="10.140625" customWidth="1"/>
    <col min="5" max="5" width="10.28515625" customWidth="1"/>
    <col min="6" max="6" width="20.140625" customWidth="1"/>
    <col min="7" max="7" width="34.42578125" customWidth="1"/>
    <col min="8" max="9" width="15.140625" bestFit="1" customWidth="1"/>
    <col min="10" max="10" width="10" bestFit="1" customWidth="1"/>
    <col min="11" max="11" width="10.28515625" style="174" bestFit="1" customWidth="1"/>
    <col min="12" max="12" width="19.28515625" style="174" bestFit="1" customWidth="1"/>
    <col min="13" max="14" width="10.28515625" customWidth="1"/>
    <col min="15" max="15" width="19" style="174" customWidth="1"/>
    <col min="16" max="16" width="9.140625" style="86"/>
    <col min="17" max="17" width="16.140625" style="86" bestFit="1" customWidth="1"/>
    <col min="18" max="18" width="9.140625" style="86"/>
    <col min="19" max="19" width="17.42578125" style="86" bestFit="1" customWidth="1"/>
    <col min="20" max="22" width="9.140625" style="86"/>
    <col min="23" max="23" width="20" style="86" customWidth="1"/>
    <col min="24" max="28" width="9.140625" style="86"/>
  </cols>
  <sheetData>
    <row r="1" spans="1:28" s="174" customFormat="1" ht="19.5" thickTop="1" x14ac:dyDescent="0.3">
      <c r="A1" s="250"/>
      <c r="B1" s="250"/>
      <c r="C1" s="250"/>
      <c r="D1" s="113"/>
      <c r="E1" s="113"/>
      <c r="F1" s="114" t="s">
        <v>74</v>
      </c>
      <c r="G1" s="113"/>
      <c r="H1" s="113"/>
      <c r="I1" s="113"/>
      <c r="J1" s="172"/>
      <c r="K1" s="172"/>
      <c r="L1" s="172"/>
      <c r="M1" s="172"/>
      <c r="N1" s="172"/>
      <c r="O1" s="172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</row>
    <row r="2" spans="1:28" ht="15.75" thickBot="1" x14ac:dyDescent="0.3">
      <c r="A2" s="86"/>
      <c r="B2" s="184" t="s">
        <v>75</v>
      </c>
      <c r="C2" s="185" t="s">
        <v>76</v>
      </c>
      <c r="D2" s="185" t="s">
        <v>77</v>
      </c>
      <c r="E2" s="185" t="s">
        <v>151</v>
      </c>
      <c r="F2" s="185" t="s">
        <v>78</v>
      </c>
      <c r="G2" s="185" t="s">
        <v>79</v>
      </c>
      <c r="H2" s="191" t="s">
        <v>213</v>
      </c>
      <c r="I2" s="191" t="s">
        <v>88</v>
      </c>
      <c r="J2" s="185" t="s">
        <v>217</v>
      </c>
      <c r="K2" s="185" t="s">
        <v>192</v>
      </c>
      <c r="L2" s="185" t="s">
        <v>231</v>
      </c>
      <c r="M2" s="185" t="s">
        <v>216</v>
      </c>
      <c r="N2" s="185" t="s">
        <v>86</v>
      </c>
      <c r="O2" s="185" t="s">
        <v>193</v>
      </c>
    </row>
    <row r="3" spans="1:28" ht="20.25" thickTop="1" thickBot="1" x14ac:dyDescent="0.35">
      <c r="A3" s="104"/>
      <c r="B3" s="204"/>
      <c r="C3" s="204"/>
      <c r="D3" s="204"/>
      <c r="E3" s="204"/>
      <c r="F3" s="205">
        <v>45811</v>
      </c>
      <c r="G3" s="204"/>
      <c r="H3" s="204"/>
      <c r="I3" s="204"/>
      <c r="J3" s="204"/>
      <c r="K3" s="204"/>
      <c r="L3" s="204"/>
      <c r="M3" s="204"/>
      <c r="N3" s="204"/>
      <c r="O3" s="204"/>
    </row>
    <row r="4" spans="1:28" x14ac:dyDescent="0.25">
      <c r="A4" s="93">
        <v>1</v>
      </c>
      <c r="B4" s="96" t="s">
        <v>21</v>
      </c>
      <c r="C4" s="97" t="s">
        <v>0</v>
      </c>
      <c r="D4" s="98">
        <v>23000</v>
      </c>
      <c r="E4" s="98">
        <v>10000</v>
      </c>
      <c r="F4" s="97" t="s">
        <v>80</v>
      </c>
      <c r="G4" s="97" t="s">
        <v>140</v>
      </c>
      <c r="H4" s="97" t="s">
        <v>85</v>
      </c>
      <c r="I4" s="202" t="s">
        <v>89</v>
      </c>
      <c r="J4" s="200">
        <v>10000</v>
      </c>
      <c r="K4" s="252">
        <v>45811</v>
      </c>
      <c r="L4" s="252" t="s">
        <v>222</v>
      </c>
      <c r="M4" s="98">
        <v>10000</v>
      </c>
      <c r="N4" s="98">
        <f t="shared" ref="N4:N10" si="0">M4-J4</f>
        <v>0</v>
      </c>
      <c r="O4" s="200"/>
      <c r="W4" s="101" t="s">
        <v>214</v>
      </c>
    </row>
    <row r="5" spans="1:28" x14ac:dyDescent="0.25">
      <c r="A5" s="93">
        <v>2</v>
      </c>
      <c r="B5" s="96" t="s">
        <v>28</v>
      </c>
      <c r="C5" s="97" t="s">
        <v>0</v>
      </c>
      <c r="D5" s="98">
        <v>23000</v>
      </c>
      <c r="E5" s="98">
        <v>10000</v>
      </c>
      <c r="F5" s="97" t="s">
        <v>82</v>
      </c>
      <c r="G5" s="97" t="s">
        <v>140</v>
      </c>
      <c r="H5" s="97" t="s">
        <v>85</v>
      </c>
      <c r="I5" s="202" t="s">
        <v>89</v>
      </c>
      <c r="J5" s="98">
        <v>10000</v>
      </c>
      <c r="K5" s="252">
        <v>45812</v>
      </c>
      <c r="L5" s="252" t="s">
        <v>218</v>
      </c>
      <c r="M5" s="98">
        <v>10000</v>
      </c>
      <c r="N5" s="98">
        <f t="shared" si="0"/>
        <v>0</v>
      </c>
      <c r="O5" s="200"/>
      <c r="W5" s="102" t="s">
        <v>85</v>
      </c>
    </row>
    <row r="6" spans="1:28" x14ac:dyDescent="0.25">
      <c r="A6" s="93">
        <v>3</v>
      </c>
      <c r="B6" s="96" t="s">
        <v>32</v>
      </c>
      <c r="C6" s="97" t="s">
        <v>0</v>
      </c>
      <c r="D6" s="98">
        <v>40000</v>
      </c>
      <c r="E6" s="98">
        <v>40000</v>
      </c>
      <c r="F6" s="97" t="s">
        <v>83</v>
      </c>
      <c r="G6" s="97" t="s">
        <v>140</v>
      </c>
      <c r="H6" s="97" t="s">
        <v>85</v>
      </c>
      <c r="I6" s="202" t="s">
        <v>89</v>
      </c>
      <c r="J6" s="98">
        <v>40000</v>
      </c>
      <c r="K6" s="252">
        <v>45811</v>
      </c>
      <c r="L6" s="252" t="s">
        <v>220</v>
      </c>
      <c r="M6" s="98">
        <v>40000</v>
      </c>
      <c r="N6" s="98">
        <f t="shared" si="0"/>
        <v>0</v>
      </c>
      <c r="O6" s="200"/>
      <c r="W6" s="102" t="s">
        <v>84</v>
      </c>
    </row>
    <row r="7" spans="1:28" ht="15.75" thickBot="1" x14ac:dyDescent="0.3">
      <c r="A7" s="93">
        <v>4</v>
      </c>
      <c r="B7" s="96" t="s">
        <v>30</v>
      </c>
      <c r="C7" s="97" t="s">
        <v>87</v>
      </c>
      <c r="D7" s="98">
        <v>15000</v>
      </c>
      <c r="E7" s="98">
        <v>22500</v>
      </c>
      <c r="F7" s="97" t="s">
        <v>94</v>
      </c>
      <c r="G7" s="97" t="s">
        <v>87</v>
      </c>
      <c r="H7" s="99" t="s">
        <v>84</v>
      </c>
      <c r="I7" s="202" t="s">
        <v>90</v>
      </c>
      <c r="J7" s="98">
        <v>0</v>
      </c>
      <c r="K7" s="252"/>
      <c r="L7" s="252"/>
      <c r="M7" s="98"/>
      <c r="N7" s="98">
        <f t="shared" si="0"/>
        <v>0</v>
      </c>
      <c r="O7" s="200"/>
      <c r="W7" s="103" t="s">
        <v>90</v>
      </c>
    </row>
    <row r="8" spans="1:28" ht="15.75" x14ac:dyDescent="0.25">
      <c r="A8" s="93">
        <v>5</v>
      </c>
      <c r="B8" s="96" t="s">
        <v>23</v>
      </c>
      <c r="C8" s="97" t="s">
        <v>0</v>
      </c>
      <c r="D8" s="98">
        <v>23000</v>
      </c>
      <c r="E8" s="98">
        <v>5000</v>
      </c>
      <c r="F8" s="97" t="s">
        <v>91</v>
      </c>
      <c r="G8" s="97" t="s">
        <v>140</v>
      </c>
      <c r="H8" s="99" t="s">
        <v>85</v>
      </c>
      <c r="I8" s="202" t="s">
        <v>89</v>
      </c>
      <c r="J8" s="98">
        <v>5000</v>
      </c>
      <c r="K8" s="252">
        <v>45811</v>
      </c>
      <c r="L8" s="252" t="s">
        <v>220</v>
      </c>
      <c r="M8" s="98">
        <v>5000</v>
      </c>
      <c r="N8" s="98">
        <f t="shared" si="0"/>
        <v>0</v>
      </c>
      <c r="O8" s="200"/>
    </row>
    <row r="9" spans="1:28" x14ac:dyDescent="0.25">
      <c r="A9" s="93">
        <v>6</v>
      </c>
      <c r="B9" s="96" t="s">
        <v>25</v>
      </c>
      <c r="C9" s="97" t="s">
        <v>0</v>
      </c>
      <c r="D9" s="98">
        <v>23000</v>
      </c>
      <c r="E9" s="98">
        <v>3000</v>
      </c>
      <c r="F9" s="97" t="s">
        <v>92</v>
      </c>
      <c r="G9" s="97" t="s">
        <v>140</v>
      </c>
      <c r="H9" s="100" t="s">
        <v>85</v>
      </c>
      <c r="I9" s="202" t="s">
        <v>89</v>
      </c>
      <c r="J9" s="98">
        <v>3000</v>
      </c>
      <c r="K9" s="252">
        <v>45811</v>
      </c>
      <c r="L9" s="252" t="s">
        <v>218</v>
      </c>
      <c r="M9" s="98">
        <v>3000</v>
      </c>
      <c r="N9" s="98">
        <f t="shared" si="0"/>
        <v>0</v>
      </c>
      <c r="O9" s="200"/>
      <c r="W9" s="101" t="s">
        <v>215</v>
      </c>
    </row>
    <row r="10" spans="1:28" x14ac:dyDescent="0.25">
      <c r="A10" s="93">
        <v>7</v>
      </c>
      <c r="B10" s="96" t="s">
        <v>25</v>
      </c>
      <c r="C10" s="97" t="s">
        <v>95</v>
      </c>
      <c r="D10" s="98">
        <v>20000</v>
      </c>
      <c r="E10" s="98">
        <v>3500</v>
      </c>
      <c r="F10" s="97" t="s">
        <v>93</v>
      </c>
      <c r="G10" s="97" t="s">
        <v>234</v>
      </c>
      <c r="H10" s="100" t="s">
        <v>85</v>
      </c>
      <c r="I10" s="202" t="s">
        <v>89</v>
      </c>
      <c r="J10" s="98">
        <v>3500</v>
      </c>
      <c r="K10" s="252">
        <v>45811</v>
      </c>
      <c r="L10" s="252" t="s">
        <v>218</v>
      </c>
      <c r="M10" s="98">
        <v>3500</v>
      </c>
      <c r="N10" s="98">
        <f t="shared" si="0"/>
        <v>0</v>
      </c>
      <c r="O10" s="200"/>
      <c r="W10" s="102" t="s">
        <v>84</v>
      </c>
    </row>
    <row r="11" spans="1:28" ht="15.75" thickBot="1" x14ac:dyDescent="0.3">
      <c r="A11" s="108"/>
      <c r="B11" s="107"/>
      <c r="C11" s="107"/>
      <c r="D11" s="94" t="s">
        <v>81</v>
      </c>
      <c r="E11" s="95">
        <f>SUMIFS(E4:E10,H4:H10,$W$5)</f>
        <v>71500</v>
      </c>
      <c r="F11" s="107"/>
      <c r="G11" s="107"/>
      <c r="H11" s="107"/>
      <c r="I11" s="206"/>
      <c r="J11" s="196">
        <f>SUMIFS(J4:J10,I4:I10,$W$11)</f>
        <v>71500</v>
      </c>
      <c r="K11" s="253"/>
      <c r="L11" s="253"/>
      <c r="M11" s="196">
        <f>SUM(M4:M10)</f>
        <v>71500</v>
      </c>
      <c r="N11" s="196">
        <f>SUM(N4:N10)</f>
        <v>0</v>
      </c>
      <c r="O11" s="251"/>
      <c r="W11" s="102" t="s">
        <v>89</v>
      </c>
    </row>
    <row r="12" spans="1:28" ht="20.25" thickTop="1" thickBot="1" x14ac:dyDescent="0.35">
      <c r="A12" s="203"/>
      <c r="B12" s="204"/>
      <c r="C12" s="204"/>
      <c r="D12" s="204"/>
      <c r="E12" s="204"/>
      <c r="F12" s="205">
        <v>45812</v>
      </c>
      <c r="G12" s="204"/>
      <c r="H12" s="204"/>
      <c r="I12" s="204"/>
      <c r="J12" s="204"/>
      <c r="K12" s="254"/>
      <c r="L12" s="254"/>
      <c r="M12" s="204"/>
      <c r="N12" s="204"/>
      <c r="O12" s="204"/>
      <c r="W12" s="103" t="s">
        <v>90</v>
      </c>
    </row>
    <row r="13" spans="1:28" ht="15.75" thickBot="1" x14ac:dyDescent="0.3">
      <c r="A13" s="93">
        <v>1</v>
      </c>
      <c r="B13" s="96" t="s">
        <v>29</v>
      </c>
      <c r="C13" s="97" t="s">
        <v>245</v>
      </c>
      <c r="D13" s="98">
        <v>32000</v>
      </c>
      <c r="E13" s="98">
        <v>29972</v>
      </c>
      <c r="F13" s="97" t="s">
        <v>97</v>
      </c>
      <c r="G13" s="97" t="s">
        <v>98</v>
      </c>
      <c r="H13" s="97" t="s">
        <v>85</v>
      </c>
      <c r="I13" s="202" t="s">
        <v>90</v>
      </c>
      <c r="J13" s="98"/>
      <c r="K13" s="252"/>
      <c r="L13" s="252"/>
      <c r="M13" s="98"/>
      <c r="N13" s="98">
        <f>M13-J13</f>
        <v>0</v>
      </c>
      <c r="O13" s="200"/>
    </row>
    <row r="14" spans="1:28" ht="15.75" thickBot="1" x14ac:dyDescent="0.3">
      <c r="A14" s="93">
        <v>2</v>
      </c>
      <c r="B14" s="96" t="s">
        <v>29</v>
      </c>
      <c r="C14" s="97" t="s">
        <v>9</v>
      </c>
      <c r="D14" s="98">
        <v>42000</v>
      </c>
      <c r="E14" s="98">
        <v>19011</v>
      </c>
      <c r="F14" s="97" t="s">
        <v>99</v>
      </c>
      <c r="G14" s="97" t="s">
        <v>100</v>
      </c>
      <c r="H14" s="97" t="s">
        <v>85</v>
      </c>
      <c r="I14" s="202" t="s">
        <v>89</v>
      </c>
      <c r="J14" s="98">
        <v>19011</v>
      </c>
      <c r="K14" s="252">
        <v>45812</v>
      </c>
      <c r="L14" s="252" t="s">
        <v>221</v>
      </c>
      <c r="M14" s="98">
        <v>19011</v>
      </c>
      <c r="N14" s="98">
        <f>M14-J14</f>
        <v>0</v>
      </c>
      <c r="O14" s="200"/>
      <c r="W14" s="101" t="s">
        <v>194</v>
      </c>
    </row>
    <row r="15" spans="1:28" x14ac:dyDescent="0.25">
      <c r="A15" s="93">
        <v>3</v>
      </c>
      <c r="B15" s="96" t="s">
        <v>195</v>
      </c>
      <c r="C15" s="97" t="s">
        <v>101</v>
      </c>
      <c r="D15" s="98">
        <v>5000</v>
      </c>
      <c r="E15" s="98">
        <v>1260</v>
      </c>
      <c r="F15" s="97" t="s">
        <v>102</v>
      </c>
      <c r="G15" s="97" t="s">
        <v>103</v>
      </c>
      <c r="H15" s="97" t="s">
        <v>85</v>
      </c>
      <c r="I15" s="202" t="s">
        <v>89</v>
      </c>
      <c r="J15" s="98">
        <v>1260</v>
      </c>
      <c r="K15" s="252">
        <v>45813</v>
      </c>
      <c r="L15" s="252" t="s">
        <v>218</v>
      </c>
      <c r="M15" s="98">
        <v>1260</v>
      </c>
      <c r="N15" s="98">
        <f>M15-J15</f>
        <v>0</v>
      </c>
      <c r="O15" s="200"/>
      <c r="W15" s="248" t="s">
        <v>218</v>
      </c>
    </row>
    <row r="16" spans="1:28" ht="15.75" thickBot="1" x14ac:dyDescent="0.3">
      <c r="A16" s="108"/>
      <c r="B16" s="107"/>
      <c r="C16" s="107"/>
      <c r="D16" s="94" t="s">
        <v>81</v>
      </c>
      <c r="E16" s="196">
        <f>SUMIFS(E13:E15,H13:H15,$W$5)</f>
        <v>50243</v>
      </c>
      <c r="F16" s="206"/>
      <c r="G16" s="206"/>
      <c r="H16" s="206"/>
      <c r="I16" s="206"/>
      <c r="J16" s="196">
        <f>SUMIFS(J13:J15,I13:I15,$W$11)</f>
        <v>20271</v>
      </c>
      <c r="K16" s="253"/>
      <c r="L16" s="253"/>
      <c r="M16" s="196">
        <f>SUM(M13:M15)</f>
        <v>20271</v>
      </c>
      <c r="N16" s="196">
        <f>SUM(N13:N15)</f>
        <v>0</v>
      </c>
      <c r="O16" s="251"/>
      <c r="W16" s="102" t="s">
        <v>219</v>
      </c>
    </row>
    <row r="17" spans="1:23" ht="19.5" thickTop="1" x14ac:dyDescent="0.3">
      <c r="A17" s="104"/>
      <c r="B17" s="105"/>
      <c r="C17" s="105"/>
      <c r="D17" s="105"/>
      <c r="E17" s="105"/>
      <c r="F17" s="106">
        <v>45813</v>
      </c>
      <c r="G17" s="105"/>
      <c r="H17" s="105"/>
      <c r="I17" s="204"/>
      <c r="J17" s="105"/>
      <c r="K17" s="254"/>
      <c r="L17" s="254"/>
      <c r="M17" s="105"/>
      <c r="N17" s="105"/>
      <c r="O17" s="204"/>
      <c r="W17" s="102" t="s">
        <v>220</v>
      </c>
    </row>
    <row r="18" spans="1:23" x14ac:dyDescent="0.25">
      <c r="A18" s="93">
        <v>1</v>
      </c>
      <c r="B18" s="96" t="s">
        <v>31</v>
      </c>
      <c r="C18" s="97" t="s">
        <v>104</v>
      </c>
      <c r="D18" s="98">
        <v>5000</v>
      </c>
      <c r="E18" s="98">
        <v>4500</v>
      </c>
      <c r="F18" s="97" t="s">
        <v>106</v>
      </c>
      <c r="G18" s="97" t="s">
        <v>107</v>
      </c>
      <c r="H18" s="97" t="s">
        <v>85</v>
      </c>
      <c r="I18" s="202" t="s">
        <v>89</v>
      </c>
      <c r="J18" s="98">
        <v>4500</v>
      </c>
      <c r="K18" s="252">
        <v>45815</v>
      </c>
      <c r="L18" s="252" t="s">
        <v>222</v>
      </c>
      <c r="M18" s="98">
        <v>4500</v>
      </c>
      <c r="N18" s="98">
        <f>M18-J18</f>
        <v>0</v>
      </c>
      <c r="O18" s="200"/>
      <c r="W18" s="102" t="s">
        <v>221</v>
      </c>
    </row>
    <row r="19" spans="1:23" x14ac:dyDescent="0.25">
      <c r="A19" s="93">
        <v>2</v>
      </c>
      <c r="B19" s="96" t="s">
        <v>31</v>
      </c>
      <c r="C19" s="97" t="s">
        <v>105</v>
      </c>
      <c r="D19" s="98">
        <v>5000</v>
      </c>
      <c r="E19" s="98">
        <v>500</v>
      </c>
      <c r="F19" s="97" t="s">
        <v>108</v>
      </c>
      <c r="G19" s="97" t="s">
        <v>109</v>
      </c>
      <c r="H19" s="97" t="s">
        <v>85</v>
      </c>
      <c r="I19" s="202" t="s">
        <v>89</v>
      </c>
      <c r="J19" s="98">
        <v>500</v>
      </c>
      <c r="K19" s="252">
        <v>45815</v>
      </c>
      <c r="L19" s="252" t="s">
        <v>222</v>
      </c>
      <c r="M19" s="98">
        <v>500</v>
      </c>
      <c r="N19" s="98">
        <f>M19-J19</f>
        <v>0</v>
      </c>
      <c r="O19" s="200"/>
      <c r="W19" s="102" t="s">
        <v>222</v>
      </c>
    </row>
    <row r="20" spans="1:23" x14ac:dyDescent="0.25">
      <c r="A20" s="93">
        <v>3</v>
      </c>
      <c r="B20" s="96" t="s">
        <v>17</v>
      </c>
      <c r="C20" s="97" t="s">
        <v>0</v>
      </c>
      <c r="D20" s="98">
        <v>23000</v>
      </c>
      <c r="E20" s="98">
        <v>20000</v>
      </c>
      <c r="F20" s="97" t="s">
        <v>110</v>
      </c>
      <c r="G20" s="97" t="s">
        <v>140</v>
      </c>
      <c r="H20" s="97" t="s">
        <v>85</v>
      </c>
      <c r="I20" s="202" t="s">
        <v>89</v>
      </c>
      <c r="J20" s="98">
        <v>20000</v>
      </c>
      <c r="K20" s="252">
        <v>45814</v>
      </c>
      <c r="L20" s="252" t="s">
        <v>218</v>
      </c>
      <c r="M20" s="98">
        <v>20000</v>
      </c>
      <c r="N20" s="98">
        <f>M20-J20</f>
        <v>0</v>
      </c>
      <c r="O20" s="200"/>
      <c r="W20" s="102" t="s">
        <v>223</v>
      </c>
    </row>
    <row r="21" spans="1:23" ht="15.75" thickBot="1" x14ac:dyDescent="0.3">
      <c r="A21" s="93">
        <v>4</v>
      </c>
      <c r="B21" s="96" t="s">
        <v>26</v>
      </c>
      <c r="C21" s="97" t="s">
        <v>0</v>
      </c>
      <c r="D21" s="98">
        <v>23000</v>
      </c>
      <c r="E21" s="98">
        <v>10000</v>
      </c>
      <c r="F21" s="97" t="s">
        <v>112</v>
      </c>
      <c r="G21" s="97" t="s">
        <v>140</v>
      </c>
      <c r="H21" s="99" t="s">
        <v>85</v>
      </c>
      <c r="I21" s="202" t="s">
        <v>89</v>
      </c>
      <c r="J21" s="98">
        <v>10000</v>
      </c>
      <c r="K21" s="252">
        <v>45813</v>
      </c>
      <c r="L21" s="252" t="s">
        <v>218</v>
      </c>
      <c r="M21" s="98">
        <v>10000</v>
      </c>
      <c r="N21" s="98">
        <f>M21-J21</f>
        <v>0</v>
      </c>
      <c r="O21" s="200"/>
      <c r="W21" s="103" t="s">
        <v>198</v>
      </c>
    </row>
    <row r="22" spans="1:23" ht="15.75" thickBot="1" x14ac:dyDescent="0.3">
      <c r="A22" s="108"/>
      <c r="B22" s="107"/>
      <c r="C22" s="107"/>
      <c r="D22" s="94" t="s">
        <v>81</v>
      </c>
      <c r="E22" s="196">
        <f>SUMIFS(E18:E21,H18:H21,$W$5)</f>
        <v>35000</v>
      </c>
      <c r="F22" s="206"/>
      <c r="G22" s="206"/>
      <c r="H22" s="206"/>
      <c r="I22" s="206"/>
      <c r="J22" s="196">
        <f>SUMIFS(J18:J21,I18:I21,$W$11)</f>
        <v>35000</v>
      </c>
      <c r="K22" s="253"/>
      <c r="L22" s="253"/>
      <c r="M22" s="196">
        <f>SUM(M18:M21)</f>
        <v>35000</v>
      </c>
      <c r="N22" s="196">
        <f>SUM(N18:N21)</f>
        <v>0</v>
      </c>
      <c r="O22" s="251"/>
    </row>
    <row r="23" spans="1:23" ht="19.5" thickTop="1" x14ac:dyDescent="0.3">
      <c r="A23" s="104"/>
      <c r="B23" s="105"/>
      <c r="C23" s="105"/>
      <c r="D23" s="105"/>
      <c r="E23" s="105"/>
      <c r="F23" s="106">
        <v>45814</v>
      </c>
      <c r="G23" s="105"/>
      <c r="H23" s="105"/>
      <c r="I23" s="204"/>
      <c r="J23" s="105"/>
      <c r="K23" s="254"/>
      <c r="L23" s="254"/>
      <c r="M23" s="105"/>
      <c r="N23" s="105"/>
      <c r="O23" s="204"/>
    </row>
    <row r="24" spans="1:23" x14ac:dyDescent="0.25">
      <c r="A24" s="93">
        <v>1</v>
      </c>
      <c r="B24" s="96" t="s">
        <v>21</v>
      </c>
      <c r="C24" s="97" t="s">
        <v>13</v>
      </c>
      <c r="D24" s="98">
        <v>154000</v>
      </c>
      <c r="E24" s="98">
        <v>59980</v>
      </c>
      <c r="F24" s="97" t="s">
        <v>152</v>
      </c>
      <c r="G24" s="97" t="s">
        <v>113</v>
      </c>
      <c r="H24" s="97" t="s">
        <v>85</v>
      </c>
      <c r="I24" s="202" t="s">
        <v>90</v>
      </c>
      <c r="J24" s="98"/>
      <c r="K24" s="252"/>
      <c r="L24" s="252"/>
      <c r="M24" s="98"/>
      <c r="N24" s="98">
        <f t="shared" ref="N24:N34" si="1">M24-J24</f>
        <v>0</v>
      </c>
      <c r="O24" s="200"/>
    </row>
    <row r="25" spans="1:23" x14ac:dyDescent="0.25">
      <c r="A25" s="93">
        <v>2</v>
      </c>
      <c r="B25" s="96" t="s">
        <v>21</v>
      </c>
      <c r="C25" s="97" t="s">
        <v>95</v>
      </c>
      <c r="D25" s="98">
        <v>16500</v>
      </c>
      <c r="E25" s="98">
        <v>6000</v>
      </c>
      <c r="F25" s="97" t="s">
        <v>93</v>
      </c>
      <c r="G25" s="97" t="s">
        <v>114</v>
      </c>
      <c r="H25" s="97" t="s">
        <v>85</v>
      </c>
      <c r="I25" s="202" t="s">
        <v>89</v>
      </c>
      <c r="J25" s="98">
        <v>20000</v>
      </c>
      <c r="K25" s="252">
        <v>45817</v>
      </c>
      <c r="L25" s="252" t="s">
        <v>220</v>
      </c>
      <c r="M25" s="98">
        <v>7077</v>
      </c>
      <c r="N25" s="98">
        <f t="shared" si="1"/>
        <v>-12923</v>
      </c>
      <c r="O25" s="200"/>
    </row>
    <row r="26" spans="1:23" x14ac:dyDescent="0.25">
      <c r="A26" s="93">
        <v>3</v>
      </c>
      <c r="B26" s="96" t="s">
        <v>21</v>
      </c>
      <c r="C26" s="97" t="s">
        <v>13</v>
      </c>
      <c r="D26" s="98">
        <f>D24-E24</f>
        <v>94020</v>
      </c>
      <c r="E26" s="98">
        <v>2000</v>
      </c>
      <c r="F26" s="97" t="s">
        <v>153</v>
      </c>
      <c r="G26" s="97" t="s">
        <v>116</v>
      </c>
      <c r="H26" s="97" t="s">
        <v>85</v>
      </c>
      <c r="I26" s="202" t="s">
        <v>89</v>
      </c>
      <c r="J26" s="98"/>
      <c r="K26" s="252"/>
      <c r="L26" s="252"/>
      <c r="M26" s="98">
        <f>988+500</f>
        <v>1488</v>
      </c>
      <c r="N26" s="98">
        <f t="shared" si="1"/>
        <v>1488</v>
      </c>
      <c r="O26" s="200"/>
    </row>
    <row r="27" spans="1:23" x14ac:dyDescent="0.25">
      <c r="A27" s="93">
        <v>4</v>
      </c>
      <c r="B27" s="96" t="s">
        <v>21</v>
      </c>
      <c r="C27" s="97" t="s">
        <v>13</v>
      </c>
      <c r="D27" s="98">
        <f>D26-E26</f>
        <v>92020</v>
      </c>
      <c r="E27" s="98">
        <v>2000</v>
      </c>
      <c r="F27" s="97" t="s">
        <v>117</v>
      </c>
      <c r="G27" s="97" t="s">
        <v>118</v>
      </c>
      <c r="H27" s="99" t="s">
        <v>85</v>
      </c>
      <c r="I27" s="202" t="s">
        <v>89</v>
      </c>
      <c r="J27" s="98"/>
      <c r="K27" s="252"/>
      <c r="L27" s="252"/>
      <c r="M27" s="98">
        <v>3000</v>
      </c>
      <c r="N27" s="98">
        <f t="shared" si="1"/>
        <v>3000</v>
      </c>
      <c r="O27" s="200"/>
    </row>
    <row r="28" spans="1:23" x14ac:dyDescent="0.25">
      <c r="A28" s="93">
        <v>5</v>
      </c>
      <c r="B28" s="96" t="s">
        <v>21</v>
      </c>
      <c r="C28" s="97" t="s">
        <v>27</v>
      </c>
      <c r="D28" s="98">
        <v>5000</v>
      </c>
      <c r="E28" s="98">
        <v>2000</v>
      </c>
      <c r="F28" s="97" t="s">
        <v>120</v>
      </c>
      <c r="G28" s="97" t="s">
        <v>119</v>
      </c>
      <c r="H28" s="99" t="s">
        <v>85</v>
      </c>
      <c r="I28" s="202" t="s">
        <v>89</v>
      </c>
      <c r="J28" s="98"/>
      <c r="K28" s="252"/>
      <c r="L28" s="252"/>
      <c r="M28" s="200"/>
      <c r="N28" s="98">
        <f t="shared" si="1"/>
        <v>0</v>
      </c>
      <c r="O28" s="200"/>
    </row>
    <row r="29" spans="1:23" x14ac:dyDescent="0.25">
      <c r="A29" s="93">
        <v>6</v>
      </c>
      <c r="B29" s="96" t="s">
        <v>21</v>
      </c>
      <c r="C29" s="97" t="s">
        <v>13</v>
      </c>
      <c r="D29" s="98">
        <f>D27-E27</f>
        <v>90020</v>
      </c>
      <c r="E29" s="98">
        <v>4000</v>
      </c>
      <c r="F29" s="97" t="s">
        <v>115</v>
      </c>
      <c r="G29" s="97" t="s">
        <v>121</v>
      </c>
      <c r="H29" s="100" t="s">
        <v>85</v>
      </c>
      <c r="I29" s="202" t="s">
        <v>89</v>
      </c>
      <c r="J29" s="98"/>
      <c r="K29" s="252"/>
      <c r="L29" s="252"/>
      <c r="M29" s="98">
        <v>3700</v>
      </c>
      <c r="N29" s="98">
        <f t="shared" si="1"/>
        <v>3700</v>
      </c>
      <c r="O29" s="200"/>
    </row>
    <row r="30" spans="1:23" x14ac:dyDescent="0.25">
      <c r="A30" s="93">
        <v>7</v>
      </c>
      <c r="B30" s="96" t="s">
        <v>21</v>
      </c>
      <c r="C30" s="97" t="s">
        <v>13</v>
      </c>
      <c r="D30" s="98">
        <f>D29-E29</f>
        <v>86020</v>
      </c>
      <c r="E30" s="98">
        <v>3500</v>
      </c>
      <c r="F30" s="97" t="s">
        <v>117</v>
      </c>
      <c r="G30" s="97" t="s">
        <v>118</v>
      </c>
      <c r="H30" s="100" t="s">
        <v>85</v>
      </c>
      <c r="I30" s="202" t="s">
        <v>89</v>
      </c>
      <c r="J30" s="98"/>
      <c r="K30" s="252"/>
      <c r="L30" s="252"/>
      <c r="M30" s="98">
        <f>500+1722+2100</f>
        <v>4322</v>
      </c>
      <c r="N30" s="98">
        <f t="shared" si="1"/>
        <v>4322</v>
      </c>
      <c r="O30" s="200"/>
    </row>
    <row r="31" spans="1:23" x14ac:dyDescent="0.25">
      <c r="A31" s="93">
        <v>8</v>
      </c>
      <c r="B31" s="96" t="s">
        <v>33</v>
      </c>
      <c r="C31" s="97" t="s">
        <v>122</v>
      </c>
      <c r="D31" s="98">
        <v>15000</v>
      </c>
      <c r="E31" s="98">
        <v>11214</v>
      </c>
      <c r="F31" s="97" t="s">
        <v>123</v>
      </c>
      <c r="G31" s="97" t="s">
        <v>124</v>
      </c>
      <c r="H31" s="100" t="s">
        <v>85</v>
      </c>
      <c r="I31" s="202" t="s">
        <v>89</v>
      </c>
      <c r="J31" s="98">
        <v>11214</v>
      </c>
      <c r="K31" s="252">
        <v>45814</v>
      </c>
      <c r="L31" s="252" t="s">
        <v>220</v>
      </c>
      <c r="M31" s="98">
        <v>11214</v>
      </c>
      <c r="N31" s="98">
        <f t="shared" si="1"/>
        <v>0</v>
      </c>
      <c r="O31" s="200"/>
    </row>
    <row r="32" spans="1:23" x14ac:dyDescent="0.25">
      <c r="A32" s="93">
        <v>9</v>
      </c>
      <c r="B32" s="96" t="s">
        <v>195</v>
      </c>
      <c r="C32" s="97" t="s">
        <v>175</v>
      </c>
      <c r="D32" s="98"/>
      <c r="E32" s="98">
        <v>5482</v>
      </c>
      <c r="F32" s="97" t="s">
        <v>125</v>
      </c>
      <c r="G32" s="97" t="s">
        <v>127</v>
      </c>
      <c r="H32" s="100" t="s">
        <v>85</v>
      </c>
      <c r="I32" s="202" t="s">
        <v>89</v>
      </c>
      <c r="J32" s="98">
        <v>5482</v>
      </c>
      <c r="K32" s="252">
        <v>45814</v>
      </c>
      <c r="L32" s="252" t="s">
        <v>220</v>
      </c>
      <c r="M32" s="98">
        <v>5482</v>
      </c>
      <c r="N32" s="98">
        <f t="shared" si="1"/>
        <v>0</v>
      </c>
      <c r="O32" s="200"/>
    </row>
    <row r="33" spans="1:15" x14ac:dyDescent="0.25">
      <c r="A33" s="93">
        <v>10</v>
      </c>
      <c r="B33" s="96" t="s">
        <v>33</v>
      </c>
      <c r="C33" s="97" t="s">
        <v>129</v>
      </c>
      <c r="D33" s="98">
        <v>6000</v>
      </c>
      <c r="E33" s="98">
        <v>5400</v>
      </c>
      <c r="F33" s="97" t="s">
        <v>130</v>
      </c>
      <c r="G33" s="97" t="s">
        <v>131</v>
      </c>
      <c r="H33" s="100" t="s">
        <v>85</v>
      </c>
      <c r="I33" s="246" t="s">
        <v>89</v>
      </c>
      <c r="J33" s="98">
        <v>5400</v>
      </c>
      <c r="K33" s="252">
        <v>45819</v>
      </c>
      <c r="L33" s="252" t="s">
        <v>221</v>
      </c>
      <c r="M33" s="98"/>
      <c r="N33" s="98">
        <f t="shared" si="1"/>
        <v>-5400</v>
      </c>
      <c r="O33" s="200"/>
    </row>
    <row r="34" spans="1:15" x14ac:dyDescent="0.25">
      <c r="A34" s="93">
        <v>11</v>
      </c>
      <c r="B34" s="96"/>
      <c r="C34" s="97" t="s">
        <v>126</v>
      </c>
      <c r="D34" s="98">
        <f>D32-E32</f>
        <v>-5482</v>
      </c>
      <c r="E34" s="98">
        <v>1000</v>
      </c>
      <c r="F34" s="97" t="s">
        <v>142</v>
      </c>
      <c r="G34" s="199" t="s">
        <v>233</v>
      </c>
      <c r="H34" s="100" t="s">
        <v>85</v>
      </c>
      <c r="I34" s="246" t="s">
        <v>89</v>
      </c>
      <c r="J34" s="200">
        <v>1000</v>
      </c>
      <c r="K34" s="252">
        <v>45812</v>
      </c>
      <c r="L34" s="252" t="s">
        <v>220</v>
      </c>
      <c r="M34" s="98">
        <v>1000</v>
      </c>
      <c r="N34" s="98">
        <f t="shared" si="1"/>
        <v>0</v>
      </c>
      <c r="O34" s="200"/>
    </row>
    <row r="35" spans="1:15" ht="15.75" thickBot="1" x14ac:dyDescent="0.3">
      <c r="A35" s="108"/>
      <c r="B35" s="107"/>
      <c r="C35" s="107"/>
      <c r="D35" s="94" t="s">
        <v>81</v>
      </c>
      <c r="E35" s="196">
        <f>SUMIFS(E24:E34,H24:H34,$W$5)</f>
        <v>102576</v>
      </c>
      <c r="F35" s="206"/>
      <c r="G35" s="206"/>
      <c r="H35" s="206"/>
      <c r="I35" s="206"/>
      <c r="J35" s="196">
        <f>SUMIFS(J24:J34,I24:I34,$W$11)</f>
        <v>43096</v>
      </c>
      <c r="K35" s="253"/>
      <c r="L35" s="253"/>
      <c r="M35" s="196">
        <f>SUM(M24:M34)</f>
        <v>37283</v>
      </c>
      <c r="N35" s="196">
        <f>SUM(N24:N34)</f>
        <v>-5813</v>
      </c>
      <c r="O35" s="251"/>
    </row>
    <row r="36" spans="1:15" ht="19.5" thickTop="1" x14ac:dyDescent="0.3">
      <c r="A36" s="104"/>
      <c r="B36" s="105"/>
      <c r="C36" s="105"/>
      <c r="D36" s="105"/>
      <c r="E36" s="105"/>
      <c r="F36" s="106">
        <v>45817</v>
      </c>
      <c r="G36" s="105"/>
      <c r="H36" s="105"/>
      <c r="I36" s="204"/>
      <c r="J36" s="105"/>
      <c r="K36" s="254"/>
      <c r="L36" s="254"/>
      <c r="M36" s="105"/>
      <c r="N36" s="105"/>
      <c r="O36" s="204"/>
    </row>
    <row r="37" spans="1:15" x14ac:dyDescent="0.25">
      <c r="A37" s="93">
        <v>1</v>
      </c>
      <c r="B37" s="96" t="s">
        <v>22</v>
      </c>
      <c r="C37" s="97" t="s">
        <v>0</v>
      </c>
      <c r="D37" s="98">
        <v>70000</v>
      </c>
      <c r="E37" s="98">
        <v>15000</v>
      </c>
      <c r="F37" s="97" t="s">
        <v>139</v>
      </c>
      <c r="G37" s="97" t="s">
        <v>140</v>
      </c>
      <c r="H37" s="97" t="s">
        <v>85</v>
      </c>
      <c r="I37" s="202" t="s">
        <v>89</v>
      </c>
      <c r="J37" s="200">
        <v>15000</v>
      </c>
      <c r="K37" s="252">
        <v>45819</v>
      </c>
      <c r="L37" s="252" t="s">
        <v>223</v>
      </c>
      <c r="M37" s="200"/>
      <c r="N37" s="200">
        <f t="shared" ref="N37:N61" si="2">M37-J37</f>
        <v>-15000</v>
      </c>
      <c r="O37" s="200"/>
    </row>
    <row r="38" spans="1:15" x14ac:dyDescent="0.25">
      <c r="A38" s="93">
        <v>2</v>
      </c>
      <c r="B38" s="96" t="s">
        <v>21</v>
      </c>
      <c r="C38" s="97" t="s">
        <v>0</v>
      </c>
      <c r="D38" s="98">
        <v>60000</v>
      </c>
      <c r="E38" s="98">
        <v>15000</v>
      </c>
      <c r="F38" s="97" t="s">
        <v>80</v>
      </c>
      <c r="G38" s="97" t="s">
        <v>140</v>
      </c>
      <c r="H38" s="97" t="s">
        <v>85</v>
      </c>
      <c r="I38" s="202" t="s">
        <v>89</v>
      </c>
      <c r="J38" s="200">
        <v>15000</v>
      </c>
      <c r="K38" s="252">
        <v>45818</v>
      </c>
      <c r="L38" s="252" t="s">
        <v>219</v>
      </c>
      <c r="M38" s="200">
        <v>15000</v>
      </c>
      <c r="N38" s="200">
        <f t="shared" si="2"/>
        <v>0</v>
      </c>
      <c r="O38" s="200"/>
    </row>
    <row r="39" spans="1:15" x14ac:dyDescent="0.25">
      <c r="A39" s="93">
        <v>4</v>
      </c>
      <c r="B39" s="96" t="s">
        <v>23</v>
      </c>
      <c r="C39" s="97" t="s">
        <v>0</v>
      </c>
      <c r="D39" s="98">
        <v>65000</v>
      </c>
      <c r="E39" s="98">
        <v>15000</v>
      </c>
      <c r="F39" s="97" t="s">
        <v>91</v>
      </c>
      <c r="G39" s="97" t="s">
        <v>140</v>
      </c>
      <c r="H39" s="99" t="s">
        <v>85</v>
      </c>
      <c r="I39" s="246" t="s">
        <v>89</v>
      </c>
      <c r="J39" s="200">
        <v>16000</v>
      </c>
      <c r="K39" s="252">
        <v>45818</v>
      </c>
      <c r="L39" s="252" t="s">
        <v>210</v>
      </c>
      <c r="M39" s="200">
        <v>16000</v>
      </c>
      <c r="N39" s="200">
        <f t="shared" si="2"/>
        <v>0</v>
      </c>
      <c r="O39" s="200"/>
    </row>
    <row r="40" spans="1:15" x14ac:dyDescent="0.25">
      <c r="A40" s="93">
        <v>5</v>
      </c>
      <c r="B40" s="96" t="s">
        <v>26</v>
      </c>
      <c r="C40" s="97" t="s">
        <v>0</v>
      </c>
      <c r="D40" s="98">
        <v>60000</v>
      </c>
      <c r="E40" s="98">
        <v>5000</v>
      </c>
      <c r="F40" s="97" t="s">
        <v>112</v>
      </c>
      <c r="G40" s="97" t="s">
        <v>140</v>
      </c>
      <c r="H40" s="99" t="s">
        <v>85</v>
      </c>
      <c r="I40" s="246" t="s">
        <v>89</v>
      </c>
      <c r="J40" s="200">
        <v>5000</v>
      </c>
      <c r="K40" s="252">
        <v>45822</v>
      </c>
      <c r="L40" s="252" t="s">
        <v>218</v>
      </c>
      <c r="M40" s="200"/>
      <c r="N40" s="200">
        <f t="shared" si="2"/>
        <v>-5000</v>
      </c>
      <c r="O40" s="200"/>
    </row>
    <row r="41" spans="1:15" x14ac:dyDescent="0.25">
      <c r="A41" s="93">
        <v>6</v>
      </c>
      <c r="B41" s="96" t="s">
        <v>31</v>
      </c>
      <c r="C41" s="97" t="s">
        <v>0</v>
      </c>
      <c r="D41" s="98">
        <v>50000</v>
      </c>
      <c r="E41" s="98">
        <v>30000</v>
      </c>
      <c r="F41" s="97" t="s">
        <v>141</v>
      </c>
      <c r="G41" s="97" t="s">
        <v>140</v>
      </c>
      <c r="H41" s="100" t="s">
        <v>85</v>
      </c>
      <c r="I41" s="246" t="s">
        <v>89</v>
      </c>
      <c r="J41" s="200">
        <v>30000</v>
      </c>
      <c r="K41" s="252">
        <v>45814</v>
      </c>
      <c r="L41" s="252" t="s">
        <v>223</v>
      </c>
      <c r="M41" s="200">
        <v>30000</v>
      </c>
      <c r="N41" s="200">
        <f t="shared" si="2"/>
        <v>0</v>
      </c>
      <c r="O41" s="200"/>
    </row>
    <row r="42" spans="1:15" x14ac:dyDescent="0.25">
      <c r="A42" s="93">
        <v>7</v>
      </c>
      <c r="B42" s="96" t="s">
        <v>25</v>
      </c>
      <c r="C42" s="97" t="s">
        <v>122</v>
      </c>
      <c r="D42" s="98">
        <v>3800</v>
      </c>
      <c r="E42" s="173">
        <v>1000</v>
      </c>
      <c r="F42" s="199" t="s">
        <v>92</v>
      </c>
      <c r="G42" s="199" t="s">
        <v>154</v>
      </c>
      <c r="H42" s="202" t="s">
        <v>84</v>
      </c>
      <c r="I42" s="246" t="s">
        <v>89</v>
      </c>
      <c r="J42" s="200">
        <v>1000</v>
      </c>
      <c r="K42" s="252">
        <v>45813</v>
      </c>
      <c r="L42" s="252" t="s">
        <v>218</v>
      </c>
      <c r="M42" s="200">
        <v>1000</v>
      </c>
      <c r="N42" s="200">
        <f t="shared" si="2"/>
        <v>0</v>
      </c>
      <c r="O42" s="200"/>
    </row>
    <row r="43" spans="1:15" x14ac:dyDescent="0.25">
      <c r="A43" s="93">
        <v>8</v>
      </c>
      <c r="B43" s="96" t="s">
        <v>28</v>
      </c>
      <c r="C43" s="97" t="s">
        <v>160</v>
      </c>
      <c r="D43" s="98">
        <v>3000</v>
      </c>
      <c r="E43" s="173">
        <v>500</v>
      </c>
      <c r="F43" s="199" t="s">
        <v>82</v>
      </c>
      <c r="G43" s="199" t="s">
        <v>155</v>
      </c>
      <c r="H43" s="202" t="s">
        <v>84</v>
      </c>
      <c r="I43" s="246" t="s">
        <v>89</v>
      </c>
      <c r="J43" s="200">
        <v>500</v>
      </c>
      <c r="K43" s="252">
        <v>45814</v>
      </c>
      <c r="L43" s="252" t="s">
        <v>218</v>
      </c>
      <c r="M43" s="200">
        <v>500</v>
      </c>
      <c r="N43" s="200">
        <f t="shared" si="2"/>
        <v>0</v>
      </c>
      <c r="O43" s="200"/>
    </row>
    <row r="44" spans="1:15" x14ac:dyDescent="0.25">
      <c r="A44" s="93">
        <v>9</v>
      </c>
      <c r="B44" s="96" t="s">
        <v>26</v>
      </c>
      <c r="C44" s="97" t="s">
        <v>27</v>
      </c>
      <c r="D44" s="98">
        <v>5000</v>
      </c>
      <c r="E44" s="173">
        <v>280</v>
      </c>
      <c r="F44" s="199" t="s">
        <v>112</v>
      </c>
      <c r="G44" s="199" t="s">
        <v>156</v>
      </c>
      <c r="H44" s="202" t="s">
        <v>84</v>
      </c>
      <c r="I44" s="246" t="s">
        <v>89</v>
      </c>
      <c r="J44" s="200">
        <v>280</v>
      </c>
      <c r="K44" s="252">
        <v>45813</v>
      </c>
      <c r="L44" s="252" t="s">
        <v>218</v>
      </c>
      <c r="M44" s="200">
        <v>280</v>
      </c>
      <c r="N44" s="200">
        <f t="shared" si="2"/>
        <v>0</v>
      </c>
      <c r="O44" s="200"/>
    </row>
    <row r="45" spans="1:15" x14ac:dyDescent="0.25">
      <c r="A45" s="93">
        <v>10</v>
      </c>
      <c r="B45" s="96" t="s">
        <v>26</v>
      </c>
      <c r="C45" s="97" t="s">
        <v>27</v>
      </c>
      <c r="D45" s="98">
        <f>D44-E44</f>
        <v>4720</v>
      </c>
      <c r="E45" s="173">
        <v>640</v>
      </c>
      <c r="F45" s="199" t="s">
        <v>112</v>
      </c>
      <c r="G45" s="199" t="s">
        <v>156</v>
      </c>
      <c r="H45" s="202" t="s">
        <v>84</v>
      </c>
      <c r="I45" s="246" t="s">
        <v>89</v>
      </c>
      <c r="J45" s="200">
        <v>640</v>
      </c>
      <c r="K45" s="252">
        <v>45813</v>
      </c>
      <c r="L45" s="252" t="s">
        <v>218</v>
      </c>
      <c r="M45" s="200">
        <v>640</v>
      </c>
      <c r="N45" s="200">
        <f t="shared" si="2"/>
        <v>0</v>
      </c>
      <c r="O45" s="200"/>
    </row>
    <row r="46" spans="1:15" x14ac:dyDescent="0.25">
      <c r="A46" s="93">
        <v>11</v>
      </c>
      <c r="B46" s="96" t="s">
        <v>25</v>
      </c>
      <c r="C46" s="97" t="s">
        <v>160</v>
      </c>
      <c r="D46" s="98">
        <f>D43-E43</f>
        <v>2500</v>
      </c>
      <c r="E46" s="173">
        <v>200</v>
      </c>
      <c r="F46" s="199" t="s">
        <v>92</v>
      </c>
      <c r="G46" s="199" t="s">
        <v>155</v>
      </c>
      <c r="H46" s="202" t="s">
        <v>84</v>
      </c>
      <c r="I46" s="246" t="s">
        <v>89</v>
      </c>
      <c r="J46" s="200">
        <v>200</v>
      </c>
      <c r="K46" s="252">
        <v>45812</v>
      </c>
      <c r="L46" s="252" t="s">
        <v>218</v>
      </c>
      <c r="M46" s="200">
        <v>200</v>
      </c>
      <c r="N46" s="200">
        <f t="shared" si="2"/>
        <v>0</v>
      </c>
      <c r="O46" s="200"/>
    </row>
    <row r="47" spans="1:15" x14ac:dyDescent="0.25">
      <c r="A47" s="93">
        <v>12</v>
      </c>
      <c r="B47" s="96" t="s">
        <v>30</v>
      </c>
      <c r="C47" s="97" t="s">
        <v>179</v>
      </c>
      <c r="D47" s="98">
        <v>5000</v>
      </c>
      <c r="E47" s="173">
        <v>1000</v>
      </c>
      <c r="F47" s="199" t="s">
        <v>157</v>
      </c>
      <c r="G47" s="199" t="s">
        <v>158</v>
      </c>
      <c r="H47" s="202" t="s">
        <v>84</v>
      </c>
      <c r="I47" s="246" t="s">
        <v>89</v>
      </c>
      <c r="J47" s="200">
        <v>1000</v>
      </c>
      <c r="K47" s="252">
        <v>45812</v>
      </c>
      <c r="L47" s="252" t="s">
        <v>221</v>
      </c>
      <c r="M47" s="200">
        <v>1000</v>
      </c>
      <c r="N47" s="200">
        <f t="shared" si="2"/>
        <v>0</v>
      </c>
      <c r="O47" s="200"/>
    </row>
    <row r="48" spans="1:15" x14ac:dyDescent="0.25">
      <c r="A48" s="93">
        <v>13</v>
      </c>
      <c r="B48" s="96" t="s">
        <v>195</v>
      </c>
      <c r="C48" s="97" t="s">
        <v>0</v>
      </c>
      <c r="D48" s="98">
        <v>106000</v>
      </c>
      <c r="E48" s="173">
        <v>20000</v>
      </c>
      <c r="F48" s="199" t="s">
        <v>159</v>
      </c>
      <c r="G48" s="199" t="s">
        <v>140</v>
      </c>
      <c r="H48" s="202" t="s">
        <v>84</v>
      </c>
      <c r="I48" s="246" t="s">
        <v>89</v>
      </c>
      <c r="J48" s="200">
        <v>20000</v>
      </c>
      <c r="K48" s="252">
        <v>45809</v>
      </c>
      <c r="L48" s="252" t="s">
        <v>222</v>
      </c>
      <c r="M48" s="200">
        <v>20000</v>
      </c>
      <c r="N48" s="200">
        <f t="shared" si="2"/>
        <v>0</v>
      </c>
      <c r="O48" s="200"/>
    </row>
    <row r="49" spans="1:28" s="174" customFormat="1" x14ac:dyDescent="0.25">
      <c r="A49" s="193">
        <v>14</v>
      </c>
      <c r="B49" s="197" t="s">
        <v>28</v>
      </c>
      <c r="C49" s="199" t="s">
        <v>0</v>
      </c>
      <c r="D49" s="200"/>
      <c r="E49" s="200">
        <v>15500</v>
      </c>
      <c r="F49" s="199" t="s">
        <v>82</v>
      </c>
      <c r="G49" s="199" t="s">
        <v>140</v>
      </c>
      <c r="H49" s="202" t="s">
        <v>84</v>
      </c>
      <c r="I49" s="246" t="s">
        <v>89</v>
      </c>
      <c r="J49" s="200">
        <v>15500</v>
      </c>
      <c r="K49" s="252">
        <v>45809</v>
      </c>
      <c r="L49" s="252" t="s">
        <v>219</v>
      </c>
      <c r="M49" s="200">
        <v>15500</v>
      </c>
      <c r="N49" s="200">
        <f t="shared" si="2"/>
        <v>0</v>
      </c>
      <c r="O49" s="200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</row>
    <row r="50" spans="1:28" s="174" customFormat="1" x14ac:dyDescent="0.25">
      <c r="A50" s="193">
        <v>15</v>
      </c>
      <c r="B50" s="197" t="s">
        <v>29</v>
      </c>
      <c r="C50" s="199" t="s">
        <v>0</v>
      </c>
      <c r="D50" s="200"/>
      <c r="E50" s="200">
        <v>14500</v>
      </c>
      <c r="F50" s="199" t="s">
        <v>196</v>
      </c>
      <c r="G50" s="199" t="s">
        <v>140</v>
      </c>
      <c r="H50" s="202" t="s">
        <v>84</v>
      </c>
      <c r="I50" s="246" t="s">
        <v>89</v>
      </c>
      <c r="J50" s="200">
        <v>14500</v>
      </c>
      <c r="K50" s="252">
        <v>45809</v>
      </c>
      <c r="L50" s="252" t="s">
        <v>222</v>
      </c>
      <c r="M50" s="200">
        <v>14500</v>
      </c>
      <c r="N50" s="200">
        <f t="shared" si="2"/>
        <v>0</v>
      </c>
      <c r="O50" s="200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</row>
    <row r="51" spans="1:28" s="174" customFormat="1" x14ac:dyDescent="0.25">
      <c r="A51" s="193">
        <v>16</v>
      </c>
      <c r="B51" s="197" t="s">
        <v>23</v>
      </c>
      <c r="C51" s="199" t="s">
        <v>0</v>
      </c>
      <c r="D51" s="200"/>
      <c r="E51" s="200">
        <v>10000</v>
      </c>
      <c r="F51" s="199" t="s">
        <v>91</v>
      </c>
      <c r="G51" s="199" t="s">
        <v>140</v>
      </c>
      <c r="H51" s="202" t="s">
        <v>84</v>
      </c>
      <c r="I51" s="246" t="s">
        <v>89</v>
      </c>
      <c r="J51" s="200">
        <v>10000</v>
      </c>
      <c r="K51" s="252">
        <v>45810</v>
      </c>
      <c r="L51" s="252" t="s">
        <v>220</v>
      </c>
      <c r="M51" s="200">
        <v>10000</v>
      </c>
      <c r="N51" s="200">
        <f t="shared" si="2"/>
        <v>0</v>
      </c>
      <c r="O51" s="200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</row>
    <row r="52" spans="1:28" s="174" customFormat="1" x14ac:dyDescent="0.25">
      <c r="A52" s="193">
        <v>17</v>
      </c>
      <c r="B52" s="197" t="s">
        <v>29</v>
      </c>
      <c r="C52" s="199" t="s">
        <v>9</v>
      </c>
      <c r="D52" s="200"/>
      <c r="E52" s="200">
        <v>374000</v>
      </c>
      <c r="F52" s="199" t="s">
        <v>99</v>
      </c>
      <c r="G52" s="199" t="s">
        <v>197</v>
      </c>
      <c r="H52" s="202" t="s">
        <v>84</v>
      </c>
      <c r="I52" s="246" t="s">
        <v>89</v>
      </c>
      <c r="J52" s="200">
        <f>19000+355000</f>
        <v>374000</v>
      </c>
      <c r="K52" s="252">
        <v>45809</v>
      </c>
      <c r="L52" s="252" t="s">
        <v>221</v>
      </c>
      <c r="M52" s="200">
        <f>19000+355000</f>
        <v>374000</v>
      </c>
      <c r="N52" s="200">
        <f t="shared" si="2"/>
        <v>0</v>
      </c>
      <c r="O52" s="200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</row>
    <row r="53" spans="1:28" s="174" customFormat="1" x14ac:dyDescent="0.25">
      <c r="A53" s="193">
        <v>18</v>
      </c>
      <c r="B53" s="197" t="s">
        <v>31</v>
      </c>
      <c r="C53" s="199" t="s">
        <v>0</v>
      </c>
      <c r="D53" s="200"/>
      <c r="E53" s="200">
        <v>1230</v>
      </c>
      <c r="F53" s="199" t="s">
        <v>141</v>
      </c>
      <c r="G53" s="199" t="s">
        <v>140</v>
      </c>
      <c r="H53" s="202" t="s">
        <v>84</v>
      </c>
      <c r="I53" s="246" t="s">
        <v>89</v>
      </c>
      <c r="J53" s="200">
        <f>E53</f>
        <v>1230</v>
      </c>
      <c r="K53" s="252">
        <v>45809</v>
      </c>
      <c r="L53" s="252" t="s">
        <v>198</v>
      </c>
      <c r="M53" s="200">
        <v>1230</v>
      </c>
      <c r="N53" s="200">
        <f t="shared" si="2"/>
        <v>0</v>
      </c>
      <c r="O53" s="200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 s="174" customFormat="1" x14ac:dyDescent="0.25">
      <c r="A54" s="193">
        <v>19</v>
      </c>
      <c r="B54" s="197" t="s">
        <v>31</v>
      </c>
      <c r="C54" s="199" t="s">
        <v>0</v>
      </c>
      <c r="D54" s="200"/>
      <c r="E54" s="200">
        <v>1728</v>
      </c>
      <c r="F54" s="199" t="s">
        <v>141</v>
      </c>
      <c r="G54" s="199" t="s">
        <v>140</v>
      </c>
      <c r="H54" s="202" t="s">
        <v>84</v>
      </c>
      <c r="I54" s="246" t="s">
        <v>89</v>
      </c>
      <c r="J54" s="200">
        <f>E54</f>
        <v>1728</v>
      </c>
      <c r="K54" s="252">
        <v>45811</v>
      </c>
      <c r="L54" s="252" t="s">
        <v>198</v>
      </c>
      <c r="M54" s="200">
        <v>1728</v>
      </c>
      <c r="N54" s="200">
        <f t="shared" si="2"/>
        <v>0</v>
      </c>
      <c r="O54" s="200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 s="174" customFormat="1" x14ac:dyDescent="0.25">
      <c r="A55" s="193">
        <v>20</v>
      </c>
      <c r="B55" s="197" t="s">
        <v>31</v>
      </c>
      <c r="C55" s="199" t="s">
        <v>0</v>
      </c>
      <c r="D55" s="200"/>
      <c r="E55" s="200">
        <v>16810</v>
      </c>
      <c r="F55" s="199" t="s">
        <v>141</v>
      </c>
      <c r="G55" s="199" t="s">
        <v>140</v>
      </c>
      <c r="H55" s="202" t="s">
        <v>84</v>
      </c>
      <c r="I55" s="246" t="s">
        <v>89</v>
      </c>
      <c r="J55" s="200">
        <f>E55</f>
        <v>16810</v>
      </c>
      <c r="K55" s="252">
        <v>45812</v>
      </c>
      <c r="L55" s="252" t="s">
        <v>198</v>
      </c>
      <c r="M55" s="200">
        <v>16810</v>
      </c>
      <c r="N55" s="200">
        <f t="shared" si="2"/>
        <v>0</v>
      </c>
      <c r="O55" s="200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 s="174" customFormat="1" x14ac:dyDescent="0.25">
      <c r="A56" s="193">
        <v>21</v>
      </c>
      <c r="B56" s="197" t="s">
        <v>25</v>
      </c>
      <c r="C56" s="199" t="s">
        <v>0</v>
      </c>
      <c r="D56" s="200"/>
      <c r="E56" s="200">
        <v>4000</v>
      </c>
      <c r="F56" s="199" t="s">
        <v>92</v>
      </c>
      <c r="G56" s="199" t="s">
        <v>140</v>
      </c>
      <c r="H56" s="202" t="s">
        <v>84</v>
      </c>
      <c r="I56" s="246" t="s">
        <v>89</v>
      </c>
      <c r="J56" s="200">
        <f>E56</f>
        <v>4000</v>
      </c>
      <c r="K56" s="252">
        <v>45815</v>
      </c>
      <c r="L56" s="252" t="s">
        <v>218</v>
      </c>
      <c r="M56" s="200">
        <v>4000</v>
      </c>
      <c r="N56" s="200">
        <f t="shared" si="2"/>
        <v>0</v>
      </c>
      <c r="O56" s="200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 s="174" customFormat="1" x14ac:dyDescent="0.25">
      <c r="A57" s="193">
        <v>22</v>
      </c>
      <c r="B57" s="197" t="s">
        <v>33</v>
      </c>
      <c r="C57" s="199" t="s">
        <v>0</v>
      </c>
      <c r="D57" s="200"/>
      <c r="E57" s="200">
        <v>13000</v>
      </c>
      <c r="F57" s="199" t="s">
        <v>208</v>
      </c>
      <c r="G57" s="199" t="s">
        <v>140</v>
      </c>
      <c r="H57" s="202" t="s">
        <v>84</v>
      </c>
      <c r="I57" s="246" t="s">
        <v>89</v>
      </c>
      <c r="J57" s="200">
        <f>E57</f>
        <v>13000</v>
      </c>
      <c r="K57" s="252">
        <v>45817</v>
      </c>
      <c r="L57" s="252" t="s">
        <v>198</v>
      </c>
      <c r="M57" s="200">
        <v>13000</v>
      </c>
      <c r="N57" s="200">
        <f t="shared" si="2"/>
        <v>0</v>
      </c>
      <c r="O57" s="200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 s="174" customFormat="1" x14ac:dyDescent="0.25">
      <c r="A58" s="193">
        <v>23</v>
      </c>
      <c r="B58" s="197" t="s">
        <v>25</v>
      </c>
      <c r="C58" s="199" t="s">
        <v>0</v>
      </c>
      <c r="D58" s="200"/>
      <c r="E58" s="200">
        <v>10000</v>
      </c>
      <c r="F58" s="199" t="s">
        <v>92</v>
      </c>
      <c r="G58" s="199" t="s">
        <v>140</v>
      </c>
      <c r="H58" s="202" t="s">
        <v>84</v>
      </c>
      <c r="I58" s="246" t="s">
        <v>89</v>
      </c>
      <c r="J58" s="200">
        <v>10000</v>
      </c>
      <c r="K58" s="252">
        <v>45817</v>
      </c>
      <c r="L58" s="252" t="s">
        <v>218</v>
      </c>
      <c r="M58" s="200">
        <v>10000</v>
      </c>
      <c r="N58" s="200">
        <f t="shared" si="2"/>
        <v>0</v>
      </c>
      <c r="O58" s="200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 s="174" customFormat="1" x14ac:dyDescent="0.25">
      <c r="A59" s="193">
        <v>24</v>
      </c>
      <c r="B59" s="197" t="s">
        <v>25</v>
      </c>
      <c r="C59" s="199" t="s">
        <v>0</v>
      </c>
      <c r="D59" s="200"/>
      <c r="E59" s="200">
        <v>5000</v>
      </c>
      <c r="F59" s="199" t="s">
        <v>92</v>
      </c>
      <c r="G59" s="199" t="s">
        <v>140</v>
      </c>
      <c r="H59" s="202" t="s">
        <v>84</v>
      </c>
      <c r="I59" s="246" t="s">
        <v>89</v>
      </c>
      <c r="J59" s="200">
        <f>E59</f>
        <v>5000</v>
      </c>
      <c r="K59" s="252">
        <v>45818</v>
      </c>
      <c r="L59" s="252" t="s">
        <v>218</v>
      </c>
      <c r="M59" s="200">
        <v>5000</v>
      </c>
      <c r="N59" s="200">
        <f t="shared" si="2"/>
        <v>0</v>
      </c>
      <c r="O59" s="200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 s="174" customFormat="1" x14ac:dyDescent="0.25">
      <c r="A60" s="193">
        <v>25</v>
      </c>
      <c r="B60" s="197" t="s">
        <v>33</v>
      </c>
      <c r="C60" s="199" t="s">
        <v>122</v>
      </c>
      <c r="D60" s="200"/>
      <c r="E60" s="200">
        <v>550</v>
      </c>
      <c r="F60" s="199" t="s">
        <v>212</v>
      </c>
      <c r="G60" s="199" t="s">
        <v>211</v>
      </c>
      <c r="H60" s="202" t="s">
        <v>84</v>
      </c>
      <c r="I60" s="246" t="s">
        <v>89</v>
      </c>
      <c r="J60" s="200">
        <f>E60</f>
        <v>550</v>
      </c>
      <c r="K60" s="252">
        <v>45818</v>
      </c>
      <c r="L60" s="252" t="s">
        <v>221</v>
      </c>
      <c r="M60" s="200">
        <v>550</v>
      </c>
      <c r="N60" s="200">
        <f t="shared" si="2"/>
        <v>0</v>
      </c>
      <c r="O60" s="200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 s="174" customFormat="1" x14ac:dyDescent="0.25">
      <c r="A61" s="193">
        <v>26</v>
      </c>
      <c r="B61" s="197" t="s">
        <v>33</v>
      </c>
      <c r="C61" s="199" t="s">
        <v>122</v>
      </c>
      <c r="D61" s="200"/>
      <c r="E61" s="200">
        <v>600</v>
      </c>
      <c r="F61" s="199" t="s">
        <v>212</v>
      </c>
      <c r="G61" s="199" t="s">
        <v>211</v>
      </c>
      <c r="H61" s="202" t="s">
        <v>84</v>
      </c>
      <c r="I61" s="246" t="s">
        <v>89</v>
      </c>
      <c r="J61" s="200">
        <f>E61</f>
        <v>600</v>
      </c>
      <c r="K61" s="252">
        <v>45819</v>
      </c>
      <c r="L61" s="252" t="s">
        <v>221</v>
      </c>
      <c r="M61" s="200">
        <v>600</v>
      </c>
      <c r="N61" s="200">
        <f t="shared" si="2"/>
        <v>0</v>
      </c>
      <c r="O61" s="200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 ht="15.75" thickBot="1" x14ac:dyDescent="0.3">
      <c r="A62" s="108"/>
      <c r="B62" s="107"/>
      <c r="C62" s="107"/>
      <c r="D62" s="94" t="s">
        <v>81</v>
      </c>
      <c r="E62" s="196">
        <f>SUMIFS(E37:E61,H37:H61,$W$5)</f>
        <v>80000</v>
      </c>
      <c r="F62" s="206"/>
      <c r="G62" s="206"/>
      <c r="H62" s="206"/>
      <c r="I62" s="206"/>
      <c r="J62" s="196">
        <f>SUMIFS(J37:J61,I37:I61,$W$11)</f>
        <v>571538</v>
      </c>
      <c r="K62" s="253"/>
      <c r="L62" s="253"/>
      <c r="M62" s="196">
        <f>SUM(M37:M61)</f>
        <v>551538</v>
      </c>
      <c r="N62" s="196">
        <f>SUM(N37:N61)</f>
        <v>-20000</v>
      </c>
      <c r="O62" s="251"/>
    </row>
    <row r="63" spans="1:28" ht="19.5" thickTop="1" x14ac:dyDescent="0.3">
      <c r="A63" s="104"/>
      <c r="B63" s="105"/>
      <c r="C63" s="105"/>
      <c r="D63" s="105"/>
      <c r="E63" s="105"/>
      <c r="F63" s="106">
        <v>45818</v>
      </c>
      <c r="G63" s="105"/>
      <c r="H63" s="105"/>
      <c r="I63" s="204"/>
      <c r="J63" s="105"/>
      <c r="K63" s="254"/>
      <c r="L63" s="254"/>
      <c r="M63" s="105"/>
      <c r="N63" s="105"/>
      <c r="O63" s="204"/>
    </row>
    <row r="64" spans="1:28" x14ac:dyDescent="0.25">
      <c r="A64" s="93">
        <v>1</v>
      </c>
      <c r="B64" s="96" t="s">
        <v>21</v>
      </c>
      <c r="C64" s="97" t="s">
        <v>13</v>
      </c>
      <c r="D64" s="98">
        <v>141500</v>
      </c>
      <c r="E64" s="98">
        <v>3000</v>
      </c>
      <c r="F64" s="97" t="s">
        <v>177</v>
      </c>
      <c r="G64" s="97" t="s">
        <v>178</v>
      </c>
      <c r="H64" s="97" t="s">
        <v>85</v>
      </c>
      <c r="I64" s="202" t="s">
        <v>89</v>
      </c>
      <c r="J64" s="98">
        <v>3000</v>
      </c>
      <c r="K64" s="252">
        <v>45818</v>
      </c>
      <c r="L64" s="252"/>
      <c r="M64" s="98"/>
      <c r="N64" s="200">
        <f>M64-J64</f>
        <v>-3000</v>
      </c>
      <c r="O64" s="200"/>
    </row>
    <row r="65" spans="1:28" x14ac:dyDescent="0.25">
      <c r="A65" s="93">
        <v>2</v>
      </c>
      <c r="B65" s="96" t="s">
        <v>32</v>
      </c>
      <c r="C65" s="97" t="s">
        <v>0</v>
      </c>
      <c r="D65" s="98">
        <v>80000</v>
      </c>
      <c r="E65" s="98">
        <v>10000</v>
      </c>
      <c r="F65" s="97" t="s">
        <v>83</v>
      </c>
      <c r="G65" s="97" t="s">
        <v>140</v>
      </c>
      <c r="H65" s="99" t="s">
        <v>85</v>
      </c>
      <c r="I65" s="246" t="s">
        <v>89</v>
      </c>
      <c r="J65" s="98">
        <v>10000</v>
      </c>
      <c r="K65" s="252">
        <v>45819</v>
      </c>
      <c r="L65" s="252" t="s">
        <v>218</v>
      </c>
      <c r="M65" s="98">
        <v>10000</v>
      </c>
      <c r="N65" s="200">
        <f t="shared" ref="N65:N72" si="3">M65-J65</f>
        <v>0</v>
      </c>
      <c r="O65" s="200"/>
    </row>
    <row r="66" spans="1:28" s="174" customFormat="1" x14ac:dyDescent="0.25">
      <c r="A66" s="193"/>
      <c r="B66" s="197" t="s">
        <v>32</v>
      </c>
      <c r="C66" s="199" t="s">
        <v>0</v>
      </c>
      <c r="D66" s="200">
        <f>D65-E65</f>
        <v>70000</v>
      </c>
      <c r="E66" s="200">
        <v>10000</v>
      </c>
      <c r="F66" s="199" t="s">
        <v>83</v>
      </c>
      <c r="G66" s="199" t="s">
        <v>140</v>
      </c>
      <c r="H66" s="201" t="s">
        <v>85</v>
      </c>
      <c r="I66" s="246" t="s">
        <v>89</v>
      </c>
      <c r="J66" s="200">
        <v>10000</v>
      </c>
      <c r="K66" s="252">
        <v>45820</v>
      </c>
      <c r="L66" s="252" t="s">
        <v>223</v>
      </c>
      <c r="M66" s="200">
        <v>10000</v>
      </c>
      <c r="N66" s="200">
        <f t="shared" si="3"/>
        <v>0</v>
      </c>
      <c r="O66" s="200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67" spans="1:28" x14ac:dyDescent="0.25">
      <c r="A67" s="93">
        <v>3</v>
      </c>
      <c r="B67" s="96"/>
      <c r="C67" s="97" t="s">
        <v>179</v>
      </c>
      <c r="D67" s="98">
        <v>4000</v>
      </c>
      <c r="E67" s="98">
        <v>1377</v>
      </c>
      <c r="F67" s="97" t="s">
        <v>183</v>
      </c>
      <c r="G67" s="97" t="s">
        <v>182</v>
      </c>
      <c r="H67" s="99" t="s">
        <v>85</v>
      </c>
      <c r="I67" s="246" t="s">
        <v>89</v>
      </c>
      <c r="J67" s="98">
        <v>1377</v>
      </c>
      <c r="K67" s="252">
        <v>45818</v>
      </c>
      <c r="L67" s="252"/>
      <c r="M67" s="98">
        <v>1377</v>
      </c>
      <c r="N67" s="200">
        <f t="shared" si="3"/>
        <v>0</v>
      </c>
      <c r="O67" s="200"/>
    </row>
    <row r="68" spans="1:28" x14ac:dyDescent="0.25">
      <c r="A68" s="93">
        <v>4</v>
      </c>
      <c r="B68" s="96" t="s">
        <v>33</v>
      </c>
      <c r="C68" s="97" t="s">
        <v>129</v>
      </c>
      <c r="D68" s="98">
        <v>20000</v>
      </c>
      <c r="E68" s="98">
        <v>1800</v>
      </c>
      <c r="F68" s="97" t="s">
        <v>130</v>
      </c>
      <c r="G68" s="97" t="s">
        <v>224</v>
      </c>
      <c r="H68" s="100" t="s">
        <v>85</v>
      </c>
      <c r="I68" s="246" t="s">
        <v>89</v>
      </c>
      <c r="J68" s="98">
        <v>1800</v>
      </c>
      <c r="K68" s="252">
        <v>45819</v>
      </c>
      <c r="L68" s="252" t="s">
        <v>221</v>
      </c>
      <c r="M68" s="98"/>
      <c r="N68" s="200">
        <f t="shared" si="3"/>
        <v>-1800</v>
      </c>
      <c r="O68" s="200"/>
    </row>
    <row r="69" spans="1:28" x14ac:dyDescent="0.25">
      <c r="A69" s="93">
        <v>5</v>
      </c>
      <c r="B69" s="96" t="s">
        <v>33</v>
      </c>
      <c r="C69" s="97" t="s">
        <v>129</v>
      </c>
      <c r="D69" s="98">
        <f>D68-E68</f>
        <v>18200</v>
      </c>
      <c r="E69" s="98">
        <v>11988</v>
      </c>
      <c r="F69" s="97" t="s">
        <v>184</v>
      </c>
      <c r="G69" s="97" t="s">
        <v>185</v>
      </c>
      <c r="H69" s="100" t="s">
        <v>85</v>
      </c>
      <c r="I69" s="246" t="s">
        <v>89</v>
      </c>
      <c r="J69" s="98">
        <v>11988</v>
      </c>
      <c r="K69" s="252">
        <v>45820</v>
      </c>
      <c r="L69" s="252" t="s">
        <v>221</v>
      </c>
      <c r="M69" s="98"/>
      <c r="N69" s="200">
        <f t="shared" si="3"/>
        <v>-11988</v>
      </c>
      <c r="O69" s="200"/>
    </row>
    <row r="70" spans="1:28" x14ac:dyDescent="0.25">
      <c r="A70" s="93">
        <v>6</v>
      </c>
      <c r="B70" s="96" t="s">
        <v>31</v>
      </c>
      <c r="C70" s="97" t="s">
        <v>166</v>
      </c>
      <c r="D70" s="98"/>
      <c r="E70" s="98">
        <v>22410</v>
      </c>
      <c r="F70" s="97" t="s">
        <v>186</v>
      </c>
      <c r="G70" s="97" t="s">
        <v>187</v>
      </c>
      <c r="H70" s="100" t="s">
        <v>85</v>
      </c>
      <c r="I70" s="246" t="s">
        <v>90</v>
      </c>
      <c r="J70" s="98"/>
      <c r="K70" s="252"/>
      <c r="L70" s="252"/>
      <c r="M70" s="98"/>
      <c r="N70" s="200">
        <f t="shared" si="3"/>
        <v>0</v>
      </c>
      <c r="O70" s="200"/>
    </row>
    <row r="71" spans="1:28" x14ac:dyDescent="0.25">
      <c r="A71" s="93">
        <v>7</v>
      </c>
      <c r="B71" s="96" t="s">
        <v>31</v>
      </c>
      <c r="C71" s="97" t="s">
        <v>188</v>
      </c>
      <c r="D71" s="98">
        <v>10000</v>
      </c>
      <c r="E71" s="98">
        <v>447</v>
      </c>
      <c r="F71" s="97" t="s">
        <v>189</v>
      </c>
      <c r="G71" s="97" t="s">
        <v>190</v>
      </c>
      <c r="H71" s="100" t="s">
        <v>85</v>
      </c>
      <c r="I71" s="246" t="s">
        <v>89</v>
      </c>
      <c r="J71" s="98">
        <v>447</v>
      </c>
      <c r="K71" s="252">
        <v>45818</v>
      </c>
      <c r="L71" s="252"/>
      <c r="M71" s="98">
        <v>447</v>
      </c>
      <c r="N71" s="200">
        <f t="shared" si="3"/>
        <v>0</v>
      </c>
      <c r="O71" s="200"/>
    </row>
    <row r="72" spans="1:28" x14ac:dyDescent="0.25">
      <c r="A72" s="93">
        <v>8</v>
      </c>
      <c r="B72" s="96" t="s">
        <v>31</v>
      </c>
      <c r="C72" s="97" t="s">
        <v>105</v>
      </c>
      <c r="D72" s="98">
        <v>4500</v>
      </c>
      <c r="E72" s="98">
        <v>2037</v>
      </c>
      <c r="F72" s="97" t="s">
        <v>120</v>
      </c>
      <c r="G72" s="97" t="s">
        <v>191</v>
      </c>
      <c r="H72" s="100" t="s">
        <v>85</v>
      </c>
      <c r="I72" s="246" t="s">
        <v>89</v>
      </c>
      <c r="J72" s="98">
        <v>2037</v>
      </c>
      <c r="K72" s="252">
        <v>45818</v>
      </c>
      <c r="L72" s="252"/>
      <c r="M72" s="98">
        <v>2037</v>
      </c>
      <c r="N72" s="200">
        <f t="shared" si="3"/>
        <v>0</v>
      </c>
      <c r="O72" s="200"/>
    </row>
    <row r="73" spans="1:28" ht="15.75" thickBot="1" x14ac:dyDescent="0.3">
      <c r="A73" s="108"/>
      <c r="B73" s="107"/>
      <c r="C73" s="107"/>
      <c r="D73" s="94" t="s">
        <v>81</v>
      </c>
      <c r="E73" s="196">
        <f>SUMIFS(E64:E72,H64:H72,$W$5)</f>
        <v>63059</v>
      </c>
      <c r="F73" s="206"/>
      <c r="G73" s="206"/>
      <c r="H73" s="206"/>
      <c r="I73" s="206"/>
      <c r="J73" s="196">
        <f>SUMIFS(J64:J72,I64:I72,$W$11)</f>
        <v>40649</v>
      </c>
      <c r="K73" s="253"/>
      <c r="L73" s="253"/>
      <c r="M73" s="196">
        <f>SUM(M64:M72)</f>
        <v>23861</v>
      </c>
      <c r="N73" s="196">
        <f>SUM(N64:N72)</f>
        <v>-16788</v>
      </c>
      <c r="O73" s="251"/>
    </row>
    <row r="74" spans="1:28" ht="19.5" thickTop="1" x14ac:dyDescent="0.3">
      <c r="A74" s="203"/>
      <c r="B74" s="204"/>
      <c r="C74" s="204"/>
      <c r="D74" s="204"/>
      <c r="E74" s="204"/>
      <c r="F74" s="205">
        <v>45819</v>
      </c>
      <c r="G74" s="204"/>
      <c r="H74" s="204"/>
      <c r="I74" s="204"/>
      <c r="J74" s="204"/>
      <c r="K74" s="254"/>
      <c r="L74" s="254"/>
      <c r="M74" s="204"/>
      <c r="N74" s="204"/>
      <c r="O74" s="204"/>
    </row>
    <row r="75" spans="1:28" s="174" customFormat="1" x14ac:dyDescent="0.25">
      <c r="A75" s="193">
        <v>1</v>
      </c>
      <c r="B75" s="197" t="s">
        <v>31</v>
      </c>
      <c r="C75" s="199" t="s">
        <v>174</v>
      </c>
      <c r="D75" s="200"/>
      <c r="E75" s="200">
        <v>2710</v>
      </c>
      <c r="F75" s="199" t="s">
        <v>225</v>
      </c>
      <c r="G75" s="199" t="s">
        <v>226</v>
      </c>
      <c r="H75" s="199" t="s">
        <v>85</v>
      </c>
      <c r="I75" s="202" t="s">
        <v>89</v>
      </c>
      <c r="J75" s="200">
        <v>2710</v>
      </c>
      <c r="K75" s="252">
        <v>45819</v>
      </c>
      <c r="L75" s="252" t="s">
        <v>221</v>
      </c>
      <c r="M75" s="200">
        <v>2710</v>
      </c>
      <c r="N75" s="200">
        <f t="shared" ref="N75:N83" si="4">M75-J75</f>
        <v>0</v>
      </c>
      <c r="O75" s="200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</row>
    <row r="76" spans="1:28" s="174" customFormat="1" x14ac:dyDescent="0.25">
      <c r="A76" s="193">
        <v>2</v>
      </c>
      <c r="B76" s="197" t="s">
        <v>25</v>
      </c>
      <c r="C76" s="199" t="s">
        <v>95</v>
      </c>
      <c r="D76" s="200">
        <v>9400</v>
      </c>
      <c r="E76" s="200">
        <v>3000</v>
      </c>
      <c r="F76" s="199" t="s">
        <v>93</v>
      </c>
      <c r="G76" s="199" t="s">
        <v>234</v>
      </c>
      <c r="H76" s="201" t="s">
        <v>85</v>
      </c>
      <c r="I76" s="246" t="s">
        <v>89</v>
      </c>
      <c r="J76" s="200">
        <v>3000</v>
      </c>
      <c r="K76" s="252">
        <v>45818</v>
      </c>
      <c r="L76" s="252" t="s">
        <v>218</v>
      </c>
      <c r="M76" s="200">
        <v>3000</v>
      </c>
      <c r="N76" s="200">
        <f t="shared" si="4"/>
        <v>0</v>
      </c>
      <c r="O76" s="200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</row>
    <row r="77" spans="1:28" s="174" customFormat="1" x14ac:dyDescent="0.25">
      <c r="A77" s="193">
        <v>3</v>
      </c>
      <c r="B77" s="197" t="s">
        <v>24</v>
      </c>
      <c r="C77" s="199" t="s">
        <v>0</v>
      </c>
      <c r="D77" s="200">
        <v>70000</v>
      </c>
      <c r="E77" s="200">
        <v>7000</v>
      </c>
      <c r="F77" s="199" t="s">
        <v>235</v>
      </c>
      <c r="G77" s="199" t="s">
        <v>140</v>
      </c>
      <c r="H77" s="201" t="s">
        <v>85</v>
      </c>
      <c r="I77" s="246" t="s">
        <v>89</v>
      </c>
      <c r="J77" s="200">
        <v>7000</v>
      </c>
      <c r="K77" s="252">
        <v>45819</v>
      </c>
      <c r="L77" s="252" t="s">
        <v>218</v>
      </c>
      <c r="M77" s="200">
        <v>7000</v>
      </c>
      <c r="N77" s="200">
        <f t="shared" si="4"/>
        <v>0</v>
      </c>
      <c r="O77" s="200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</row>
    <row r="78" spans="1:28" s="174" customFormat="1" x14ac:dyDescent="0.25">
      <c r="A78" s="193">
        <v>4</v>
      </c>
      <c r="B78" s="197" t="s">
        <v>19</v>
      </c>
      <c r="C78" s="199" t="s">
        <v>95</v>
      </c>
      <c r="D78" s="200">
        <f>D76-E76</f>
        <v>6400</v>
      </c>
      <c r="E78" s="200">
        <v>870</v>
      </c>
      <c r="F78" s="199" t="s">
        <v>236</v>
      </c>
      <c r="G78" s="199" t="s">
        <v>237</v>
      </c>
      <c r="H78" s="202" t="s">
        <v>85</v>
      </c>
      <c r="I78" s="246" t="s">
        <v>89</v>
      </c>
      <c r="J78" s="200">
        <v>870</v>
      </c>
      <c r="K78" s="252">
        <v>45820</v>
      </c>
      <c r="L78" s="252" t="s">
        <v>222</v>
      </c>
      <c r="M78" s="200">
        <v>870</v>
      </c>
      <c r="N78" s="200">
        <f t="shared" si="4"/>
        <v>0</v>
      </c>
      <c r="O78" s="200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</row>
    <row r="79" spans="1:28" s="174" customFormat="1" x14ac:dyDescent="0.25">
      <c r="A79" s="193">
        <v>5</v>
      </c>
      <c r="B79" s="197"/>
      <c r="C79" s="199" t="s">
        <v>179</v>
      </c>
      <c r="D79" s="200">
        <v>4000</v>
      </c>
      <c r="E79" s="200">
        <v>1500</v>
      </c>
      <c r="F79" s="199" t="s">
        <v>239</v>
      </c>
      <c r="G79" s="199" t="s">
        <v>238</v>
      </c>
      <c r="H79" s="202" t="s">
        <v>84</v>
      </c>
      <c r="I79" s="246" t="s">
        <v>89</v>
      </c>
      <c r="J79" s="200">
        <v>1500</v>
      </c>
      <c r="K79" s="252">
        <v>45820</v>
      </c>
      <c r="L79" s="252" t="s">
        <v>222</v>
      </c>
      <c r="M79" s="200"/>
      <c r="N79" s="200">
        <f t="shared" si="4"/>
        <v>-1500</v>
      </c>
      <c r="O79" s="200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</row>
    <row r="80" spans="1:28" s="174" customFormat="1" x14ac:dyDescent="0.25">
      <c r="A80" s="193">
        <v>6</v>
      </c>
      <c r="B80" s="197" t="s">
        <v>19</v>
      </c>
      <c r="C80" s="199" t="s">
        <v>0</v>
      </c>
      <c r="D80" s="200">
        <v>39000</v>
      </c>
      <c r="E80" s="200">
        <v>15000</v>
      </c>
      <c r="F80" s="199" t="s">
        <v>240</v>
      </c>
      <c r="G80" s="199" t="s">
        <v>140</v>
      </c>
      <c r="H80" s="202" t="s">
        <v>85</v>
      </c>
      <c r="I80" s="246" t="s">
        <v>89</v>
      </c>
      <c r="J80" s="200">
        <v>15000</v>
      </c>
      <c r="K80" s="252">
        <v>45821</v>
      </c>
      <c r="L80" s="252" t="s">
        <v>223</v>
      </c>
      <c r="M80" s="200">
        <v>15000</v>
      </c>
      <c r="N80" s="200">
        <f t="shared" si="4"/>
        <v>0</v>
      </c>
      <c r="O80" s="200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</row>
    <row r="81" spans="1:28" s="174" customFormat="1" x14ac:dyDescent="0.25">
      <c r="A81" s="193">
        <v>7</v>
      </c>
      <c r="B81" s="197" t="s">
        <v>25</v>
      </c>
      <c r="C81" s="199" t="s">
        <v>160</v>
      </c>
      <c r="D81" s="200">
        <v>2300</v>
      </c>
      <c r="E81" s="200">
        <v>200</v>
      </c>
      <c r="F81" s="199" t="s">
        <v>92</v>
      </c>
      <c r="G81" s="199" t="s">
        <v>155</v>
      </c>
      <c r="H81" s="202" t="s">
        <v>85</v>
      </c>
      <c r="I81" s="246" t="s">
        <v>89</v>
      </c>
      <c r="J81" s="200">
        <v>200</v>
      </c>
      <c r="K81" s="252">
        <v>45820</v>
      </c>
      <c r="L81" s="252" t="s">
        <v>218</v>
      </c>
      <c r="M81" s="200"/>
      <c r="N81" s="200">
        <f t="shared" si="4"/>
        <v>-200</v>
      </c>
      <c r="O81" s="200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</row>
    <row r="82" spans="1:28" s="174" customFormat="1" x14ac:dyDescent="0.25">
      <c r="A82" s="193">
        <v>18</v>
      </c>
      <c r="B82" s="197" t="s">
        <v>31</v>
      </c>
      <c r="C82" s="199" t="s">
        <v>0</v>
      </c>
      <c r="D82" s="200">
        <v>200</v>
      </c>
      <c r="E82" s="200">
        <v>15000</v>
      </c>
      <c r="F82" s="199" t="s">
        <v>141</v>
      </c>
      <c r="G82" s="199" t="s">
        <v>140</v>
      </c>
      <c r="H82" s="202" t="s">
        <v>84</v>
      </c>
      <c r="I82" s="246" t="s">
        <v>89</v>
      </c>
      <c r="J82" s="200">
        <f>E82</f>
        <v>15000</v>
      </c>
      <c r="K82" s="252">
        <v>45821</v>
      </c>
      <c r="L82" s="252" t="s">
        <v>223</v>
      </c>
      <c r="M82" s="200">
        <v>200</v>
      </c>
      <c r="N82" s="200">
        <f t="shared" si="4"/>
        <v>-14800</v>
      </c>
      <c r="O82" s="200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</row>
    <row r="83" spans="1:28" s="174" customFormat="1" x14ac:dyDescent="0.25">
      <c r="A83" s="193">
        <v>12</v>
      </c>
      <c r="B83" s="197" t="s">
        <v>29</v>
      </c>
      <c r="C83" s="199" t="s">
        <v>9</v>
      </c>
      <c r="D83" s="200">
        <v>0</v>
      </c>
      <c r="E83" s="200">
        <v>1231.74</v>
      </c>
      <c r="F83" s="199" t="s">
        <v>99</v>
      </c>
      <c r="G83" s="199" t="s">
        <v>241</v>
      </c>
      <c r="H83" s="202" t="s">
        <v>85</v>
      </c>
      <c r="I83" s="246" t="s">
        <v>89</v>
      </c>
      <c r="J83" s="200">
        <v>1231.74</v>
      </c>
      <c r="K83" s="252">
        <v>45821</v>
      </c>
      <c r="L83" s="252" t="s">
        <v>221</v>
      </c>
      <c r="M83" s="200">
        <v>1231.74</v>
      </c>
      <c r="N83" s="200">
        <f t="shared" si="4"/>
        <v>0</v>
      </c>
      <c r="O83" s="200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</row>
    <row r="84" spans="1:28" s="174" customFormat="1" ht="15.75" thickBot="1" x14ac:dyDescent="0.3">
      <c r="A84" s="207"/>
      <c r="B84" s="206"/>
      <c r="C84" s="206"/>
      <c r="D84" s="195" t="s">
        <v>81</v>
      </c>
      <c r="E84" s="196">
        <f>SUMIFS(E75:E83,H75:H83,$W$5)</f>
        <v>30011.74</v>
      </c>
      <c r="F84" s="206"/>
      <c r="G84" s="206"/>
      <c r="H84" s="206"/>
      <c r="I84" s="206"/>
      <c r="J84" s="196">
        <f>SUMIFS(J75:J83,I75:I83,$W$11)</f>
        <v>46511.74</v>
      </c>
      <c r="K84" s="253"/>
      <c r="L84" s="253"/>
      <c r="M84" s="196">
        <f>SUM(M75:M83)</f>
        <v>30011.74</v>
      </c>
      <c r="N84" s="196">
        <f>SUM(N75:N83)</f>
        <v>-16500</v>
      </c>
      <c r="O84" s="251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</row>
    <row r="85" spans="1:28" s="174" customFormat="1" ht="19.5" thickTop="1" x14ac:dyDescent="0.3">
      <c r="A85" s="203"/>
      <c r="B85" s="204"/>
      <c r="C85" s="204"/>
      <c r="D85" s="204"/>
      <c r="E85" s="204"/>
      <c r="F85" s="205">
        <v>45824</v>
      </c>
      <c r="G85" s="204"/>
      <c r="H85" s="204"/>
      <c r="I85" s="204"/>
      <c r="J85" s="204"/>
      <c r="K85" s="254"/>
      <c r="L85" s="254"/>
      <c r="M85" s="204"/>
      <c r="N85" s="204"/>
      <c r="O85" s="204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</row>
    <row r="86" spans="1:28" s="174" customFormat="1" x14ac:dyDescent="0.25">
      <c r="A86" s="193">
        <v>1</v>
      </c>
      <c r="B86" s="197" t="s">
        <v>28</v>
      </c>
      <c r="C86" s="199" t="s">
        <v>0</v>
      </c>
      <c r="D86" s="200">
        <v>44500</v>
      </c>
      <c r="E86" s="200">
        <v>1000</v>
      </c>
      <c r="F86" s="199" t="s">
        <v>82</v>
      </c>
      <c r="G86" s="199" t="s">
        <v>140</v>
      </c>
      <c r="H86" s="202" t="s">
        <v>84</v>
      </c>
      <c r="I86" s="246" t="s">
        <v>89</v>
      </c>
      <c r="J86" s="200">
        <v>1000</v>
      </c>
      <c r="K86" s="252">
        <v>45819</v>
      </c>
      <c r="L86" s="252" t="s">
        <v>222</v>
      </c>
      <c r="M86" s="200">
        <v>1000</v>
      </c>
      <c r="N86" s="200">
        <f t="shared" ref="N86:N100" si="5">M86-J86</f>
        <v>0</v>
      </c>
      <c r="O86" s="200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</row>
    <row r="87" spans="1:28" s="174" customFormat="1" x14ac:dyDescent="0.25">
      <c r="A87" s="193">
        <v>2</v>
      </c>
      <c r="B87" s="197" t="s">
        <v>28</v>
      </c>
      <c r="C87" s="199" t="s">
        <v>0</v>
      </c>
      <c r="D87" s="200">
        <f>D86-E86</f>
        <v>43500</v>
      </c>
      <c r="E87" s="200">
        <v>3000</v>
      </c>
      <c r="F87" s="199" t="s">
        <v>82</v>
      </c>
      <c r="G87" s="199" t="s">
        <v>140</v>
      </c>
      <c r="H87" s="202" t="s">
        <v>84</v>
      </c>
      <c r="I87" s="246" t="s">
        <v>89</v>
      </c>
      <c r="J87" s="200">
        <v>3000</v>
      </c>
      <c r="K87" s="252">
        <v>45819</v>
      </c>
      <c r="L87" s="252" t="s">
        <v>218</v>
      </c>
      <c r="M87" s="200">
        <v>3000</v>
      </c>
      <c r="N87" s="200">
        <f t="shared" si="5"/>
        <v>0</v>
      </c>
      <c r="O87" s="200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</row>
    <row r="88" spans="1:28" s="174" customFormat="1" x14ac:dyDescent="0.25">
      <c r="A88" s="193">
        <v>3</v>
      </c>
      <c r="B88" s="197" t="s">
        <v>28</v>
      </c>
      <c r="C88" s="199" t="s">
        <v>0</v>
      </c>
      <c r="D88" s="200">
        <f>D87-E87</f>
        <v>40500</v>
      </c>
      <c r="E88" s="200">
        <v>6000</v>
      </c>
      <c r="F88" s="199" t="s">
        <v>82</v>
      </c>
      <c r="G88" s="199" t="s">
        <v>140</v>
      </c>
      <c r="H88" s="202" t="s">
        <v>84</v>
      </c>
      <c r="I88" s="246" t="s">
        <v>89</v>
      </c>
      <c r="J88" s="200">
        <v>6000</v>
      </c>
      <c r="K88" s="252">
        <v>45819</v>
      </c>
      <c r="L88" s="252" t="s">
        <v>223</v>
      </c>
      <c r="M88" s="200">
        <v>6000</v>
      </c>
      <c r="N88" s="200">
        <f t="shared" si="5"/>
        <v>0</v>
      </c>
      <c r="O88" s="200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</row>
    <row r="89" spans="1:28" s="174" customFormat="1" x14ac:dyDescent="0.25">
      <c r="A89" s="193">
        <v>4</v>
      </c>
      <c r="B89" s="197" t="s">
        <v>30</v>
      </c>
      <c r="C89" s="199" t="s">
        <v>0</v>
      </c>
      <c r="D89" s="200">
        <v>80000</v>
      </c>
      <c r="E89" s="200">
        <v>2000</v>
      </c>
      <c r="F89" s="199" t="s">
        <v>157</v>
      </c>
      <c r="G89" s="199" t="s">
        <v>140</v>
      </c>
      <c r="H89" s="202" t="s">
        <v>84</v>
      </c>
      <c r="I89" s="246" t="s">
        <v>89</v>
      </c>
      <c r="J89" s="200">
        <v>2000</v>
      </c>
      <c r="K89" s="252">
        <v>45819</v>
      </c>
      <c r="L89" s="252" t="s">
        <v>198</v>
      </c>
      <c r="M89" s="200">
        <v>2000</v>
      </c>
      <c r="N89" s="200">
        <f t="shared" si="5"/>
        <v>0</v>
      </c>
      <c r="O89" s="200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</row>
    <row r="90" spans="1:28" s="174" customFormat="1" x14ac:dyDescent="0.25">
      <c r="A90" s="193">
        <v>5</v>
      </c>
      <c r="B90" s="197" t="s">
        <v>30</v>
      </c>
      <c r="C90" s="199" t="s">
        <v>0</v>
      </c>
      <c r="D90" s="200">
        <f>D89-E89</f>
        <v>78000</v>
      </c>
      <c r="E90" s="200">
        <v>8000</v>
      </c>
      <c r="F90" s="199" t="s">
        <v>157</v>
      </c>
      <c r="G90" s="199" t="s">
        <v>140</v>
      </c>
      <c r="H90" s="201" t="s">
        <v>84</v>
      </c>
      <c r="I90" s="246" t="s">
        <v>89</v>
      </c>
      <c r="J90" s="200">
        <v>8000</v>
      </c>
      <c r="K90" s="252">
        <v>45821</v>
      </c>
      <c r="L90" s="252" t="s">
        <v>198</v>
      </c>
      <c r="M90" s="200">
        <v>8000</v>
      </c>
      <c r="N90" s="200">
        <f t="shared" si="5"/>
        <v>0</v>
      </c>
      <c r="O90" s="200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</row>
    <row r="91" spans="1:28" s="174" customFormat="1" x14ac:dyDescent="0.25">
      <c r="A91" s="193">
        <v>6</v>
      </c>
      <c r="B91" s="197" t="s">
        <v>25</v>
      </c>
      <c r="C91" s="199" t="s">
        <v>95</v>
      </c>
      <c r="D91" s="200">
        <v>14400</v>
      </c>
      <c r="E91" s="200">
        <v>5000</v>
      </c>
      <c r="F91" s="199" t="s">
        <v>93</v>
      </c>
      <c r="G91" s="199" t="s">
        <v>114</v>
      </c>
      <c r="H91" s="202" t="s">
        <v>85</v>
      </c>
      <c r="I91" s="246" t="s">
        <v>89</v>
      </c>
      <c r="J91" s="200">
        <v>5000</v>
      </c>
      <c r="K91" s="252">
        <v>45824</v>
      </c>
      <c r="L91" s="252" t="s">
        <v>218</v>
      </c>
      <c r="M91" s="200"/>
      <c r="N91" s="200">
        <f t="shared" si="5"/>
        <v>-5000</v>
      </c>
      <c r="O91" s="200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</row>
    <row r="92" spans="1:28" s="174" customFormat="1" x14ac:dyDescent="0.25">
      <c r="A92" s="193">
        <v>7</v>
      </c>
      <c r="B92" s="197" t="s">
        <v>25</v>
      </c>
      <c r="C92" s="199" t="s">
        <v>0</v>
      </c>
      <c r="D92" s="200">
        <v>38000</v>
      </c>
      <c r="E92" s="200">
        <v>15000</v>
      </c>
      <c r="F92" s="199" t="s">
        <v>92</v>
      </c>
      <c r="G92" s="199" t="s">
        <v>140</v>
      </c>
      <c r="H92" s="202" t="s">
        <v>85</v>
      </c>
      <c r="I92" s="246" t="s">
        <v>89</v>
      </c>
      <c r="J92" s="200">
        <v>15000</v>
      </c>
      <c r="K92" s="252">
        <v>45824</v>
      </c>
      <c r="L92" s="252" t="s">
        <v>218</v>
      </c>
      <c r="M92" s="200">
        <v>15000</v>
      </c>
      <c r="N92" s="200">
        <f t="shared" si="5"/>
        <v>0</v>
      </c>
      <c r="O92" s="200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</row>
    <row r="93" spans="1:28" s="174" customFormat="1" x14ac:dyDescent="0.25">
      <c r="A93" s="193">
        <v>8</v>
      </c>
      <c r="B93" s="197" t="s">
        <v>21</v>
      </c>
      <c r="C93" s="199" t="s">
        <v>13</v>
      </c>
      <c r="D93" s="200">
        <v>133500</v>
      </c>
      <c r="E93" s="200">
        <v>3500</v>
      </c>
      <c r="F93" s="199" t="s">
        <v>177</v>
      </c>
      <c r="G93" s="199" t="s">
        <v>242</v>
      </c>
      <c r="H93" s="202" t="s">
        <v>85</v>
      </c>
      <c r="I93" s="246"/>
      <c r="J93" s="200"/>
      <c r="K93" s="252"/>
      <c r="L93" s="252"/>
      <c r="M93" s="200"/>
      <c r="N93" s="200">
        <f t="shared" si="5"/>
        <v>0</v>
      </c>
      <c r="O93" s="200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</row>
    <row r="94" spans="1:28" s="174" customFormat="1" x14ac:dyDescent="0.25">
      <c r="A94" s="193">
        <v>9</v>
      </c>
      <c r="B94" s="197" t="s">
        <v>21</v>
      </c>
      <c r="C94" s="199" t="s">
        <v>27</v>
      </c>
      <c r="D94" s="200">
        <v>4100</v>
      </c>
      <c r="E94" s="200">
        <v>2900</v>
      </c>
      <c r="F94" s="199" t="s">
        <v>189</v>
      </c>
      <c r="G94" s="199" t="s">
        <v>119</v>
      </c>
      <c r="H94" s="202" t="s">
        <v>85</v>
      </c>
      <c r="I94" s="246"/>
      <c r="J94" s="200"/>
      <c r="K94" s="252"/>
      <c r="L94" s="252"/>
      <c r="M94" s="200"/>
      <c r="N94" s="200">
        <f t="shared" si="5"/>
        <v>0</v>
      </c>
      <c r="O94" s="200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</row>
    <row r="95" spans="1:28" s="174" customFormat="1" x14ac:dyDescent="0.25">
      <c r="A95" s="193">
        <v>10</v>
      </c>
      <c r="B95" s="197" t="s">
        <v>21</v>
      </c>
      <c r="C95" s="199" t="s">
        <v>13</v>
      </c>
      <c r="D95" s="200">
        <f>D93-E93</f>
        <v>130000</v>
      </c>
      <c r="E95" s="200">
        <v>3000</v>
      </c>
      <c r="F95" s="199" t="s">
        <v>117</v>
      </c>
      <c r="G95" s="199" t="s">
        <v>243</v>
      </c>
      <c r="H95" s="202" t="s">
        <v>85</v>
      </c>
      <c r="I95" s="246"/>
      <c r="J95" s="200"/>
      <c r="K95" s="252"/>
      <c r="L95" s="252"/>
      <c r="M95" s="200"/>
      <c r="N95" s="200">
        <f t="shared" si="5"/>
        <v>0</v>
      </c>
      <c r="O95" s="200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</row>
    <row r="96" spans="1:28" s="174" customFormat="1" x14ac:dyDescent="0.25">
      <c r="A96" s="193">
        <v>11</v>
      </c>
      <c r="B96" s="197" t="s">
        <v>21</v>
      </c>
      <c r="C96" s="199" t="s">
        <v>13</v>
      </c>
      <c r="D96" s="200">
        <f>D95-E95</f>
        <v>127000</v>
      </c>
      <c r="E96" s="200">
        <v>2000</v>
      </c>
      <c r="F96" s="199" t="s">
        <v>117</v>
      </c>
      <c r="G96" s="199" t="s">
        <v>244</v>
      </c>
      <c r="H96" s="202" t="s">
        <v>85</v>
      </c>
      <c r="I96" s="246"/>
      <c r="J96" s="200"/>
      <c r="K96" s="252"/>
      <c r="L96" s="252"/>
      <c r="M96" s="200"/>
      <c r="N96" s="200">
        <f t="shared" si="5"/>
        <v>0</v>
      </c>
      <c r="O96" s="200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</row>
    <row r="97" spans="1:28" s="174" customFormat="1" x14ac:dyDescent="0.25">
      <c r="A97" s="193">
        <v>12</v>
      </c>
      <c r="B97" s="197" t="s">
        <v>21</v>
      </c>
      <c r="C97" s="199" t="s">
        <v>95</v>
      </c>
      <c r="D97" s="200">
        <f>D91-E91</f>
        <v>9400</v>
      </c>
      <c r="E97" s="200">
        <v>5000</v>
      </c>
      <c r="F97" s="199" t="s">
        <v>93</v>
      </c>
      <c r="G97" s="199" t="s">
        <v>114</v>
      </c>
      <c r="H97" s="202" t="s">
        <v>85</v>
      </c>
      <c r="I97" s="246"/>
      <c r="J97" s="200"/>
      <c r="K97" s="252"/>
      <c r="L97" s="252"/>
      <c r="M97" s="200"/>
      <c r="N97" s="200">
        <f t="shared" si="5"/>
        <v>0</v>
      </c>
      <c r="O97" s="200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</row>
    <row r="98" spans="1:28" s="174" customFormat="1" x14ac:dyDescent="0.25">
      <c r="A98" s="193">
        <v>13</v>
      </c>
      <c r="B98" s="197"/>
      <c r="C98" s="199"/>
      <c r="D98" s="200"/>
      <c r="E98" s="200"/>
      <c r="F98" s="199"/>
      <c r="G98" s="199"/>
      <c r="H98" s="202"/>
      <c r="I98" s="246"/>
      <c r="J98" s="200"/>
      <c r="K98" s="252"/>
      <c r="L98" s="252"/>
      <c r="M98" s="200"/>
      <c r="N98" s="200">
        <f t="shared" si="5"/>
        <v>0</v>
      </c>
      <c r="O98" s="200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</row>
    <row r="99" spans="1:28" s="174" customFormat="1" x14ac:dyDescent="0.25">
      <c r="A99" s="193">
        <v>14</v>
      </c>
      <c r="B99" s="197"/>
      <c r="C99" s="199"/>
      <c r="D99" s="200"/>
      <c r="E99" s="200"/>
      <c r="F99" s="199"/>
      <c r="G99" s="199"/>
      <c r="H99" s="202"/>
      <c r="I99" s="246"/>
      <c r="J99" s="200"/>
      <c r="K99" s="252"/>
      <c r="L99" s="252"/>
      <c r="M99" s="200"/>
      <c r="N99" s="200">
        <f t="shared" si="5"/>
        <v>0</v>
      </c>
      <c r="O99" s="200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</row>
    <row r="100" spans="1:28" s="174" customFormat="1" x14ac:dyDescent="0.25">
      <c r="A100" s="193">
        <v>15</v>
      </c>
      <c r="B100" s="198"/>
      <c r="C100" s="187"/>
      <c r="D100" s="188"/>
      <c r="E100" s="188"/>
      <c r="F100" s="187"/>
      <c r="G100" s="187"/>
      <c r="H100" s="192"/>
      <c r="I100" s="247"/>
      <c r="J100" s="188"/>
      <c r="K100" s="255"/>
      <c r="L100" s="255"/>
      <c r="M100" s="188"/>
      <c r="N100" s="200">
        <f t="shared" si="5"/>
        <v>0</v>
      </c>
      <c r="O100" s="188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</row>
    <row r="101" spans="1:28" s="174" customFormat="1" ht="15.75" thickBot="1" x14ac:dyDescent="0.3">
      <c r="A101" s="207"/>
      <c r="B101" s="206"/>
      <c r="C101" s="206"/>
      <c r="D101" s="195" t="s">
        <v>81</v>
      </c>
      <c r="E101" s="196">
        <f>SUMIFS(E86:E100,H86:H100,$W$5)</f>
        <v>36400</v>
      </c>
      <c r="F101" s="206"/>
      <c r="G101" s="206"/>
      <c r="H101" s="206"/>
      <c r="I101" s="206"/>
      <c r="J101" s="196">
        <f>SUMIFS(J86:J100,I86:I100,$W$11)</f>
        <v>40000</v>
      </c>
      <c r="K101" s="253"/>
      <c r="L101" s="253"/>
      <c r="M101" s="196">
        <f>SUM(M86:M100)</f>
        <v>35000</v>
      </c>
      <c r="N101" s="196">
        <f>SUM(N86:N100)</f>
        <v>-5000</v>
      </c>
      <c r="O101" s="251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</row>
    <row r="102" spans="1:28" s="174" customFormat="1" ht="19.5" thickTop="1" x14ac:dyDescent="0.3">
      <c r="A102" s="203"/>
      <c r="B102" s="204"/>
      <c r="C102" s="204"/>
      <c r="D102" s="204"/>
      <c r="E102" s="204"/>
      <c r="F102" s="205">
        <v>45825</v>
      </c>
      <c r="G102" s="204"/>
      <c r="H102" s="204"/>
      <c r="I102" s="204"/>
      <c r="J102" s="204"/>
      <c r="K102" s="254"/>
      <c r="L102" s="254"/>
      <c r="M102" s="204"/>
      <c r="N102" s="204"/>
      <c r="O102" s="204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</row>
    <row r="103" spans="1:28" s="174" customFormat="1" x14ac:dyDescent="0.25">
      <c r="A103" s="193">
        <v>1</v>
      </c>
      <c r="B103" s="197" t="s">
        <v>18</v>
      </c>
      <c r="C103" s="199" t="s">
        <v>245</v>
      </c>
      <c r="D103" s="200">
        <v>32000</v>
      </c>
      <c r="E103" s="200">
        <v>1500</v>
      </c>
      <c r="F103" s="199" t="s">
        <v>97</v>
      </c>
      <c r="G103" s="199" t="s">
        <v>246</v>
      </c>
      <c r="H103" s="199" t="s">
        <v>85</v>
      </c>
      <c r="I103" s="202" t="s">
        <v>89</v>
      </c>
      <c r="J103" s="200">
        <v>1500</v>
      </c>
      <c r="K103" s="252">
        <v>45824</v>
      </c>
      <c r="L103" s="252" t="s">
        <v>218</v>
      </c>
      <c r="M103" s="200">
        <v>1500</v>
      </c>
      <c r="N103" s="200">
        <f t="shared" ref="N103:N115" si="6">M103-J103</f>
        <v>0</v>
      </c>
      <c r="O103" s="200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</row>
    <row r="104" spans="1:28" s="174" customFormat="1" x14ac:dyDescent="0.25">
      <c r="A104" s="193">
        <v>2</v>
      </c>
      <c r="B104" s="197" t="s">
        <v>28</v>
      </c>
      <c r="C104" s="199" t="s">
        <v>0</v>
      </c>
      <c r="D104" s="200">
        <v>34500</v>
      </c>
      <c r="E104" s="200">
        <v>4500</v>
      </c>
      <c r="F104" s="199" t="s">
        <v>82</v>
      </c>
      <c r="G104" s="199" t="s">
        <v>140</v>
      </c>
      <c r="H104" s="201" t="s">
        <v>85</v>
      </c>
      <c r="I104" s="246" t="s">
        <v>89</v>
      </c>
      <c r="J104" s="200">
        <v>4500</v>
      </c>
      <c r="K104" s="252">
        <v>45824</v>
      </c>
      <c r="L104" s="252" t="s">
        <v>218</v>
      </c>
      <c r="M104" s="200">
        <v>4500</v>
      </c>
      <c r="N104" s="200">
        <f t="shared" si="6"/>
        <v>0</v>
      </c>
      <c r="O104" s="200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</row>
    <row r="105" spans="1:28" s="174" customFormat="1" x14ac:dyDescent="0.25">
      <c r="A105" s="193">
        <v>3</v>
      </c>
      <c r="B105" s="197" t="s">
        <v>29</v>
      </c>
      <c r="C105" s="199" t="s">
        <v>9</v>
      </c>
      <c r="D105" s="200">
        <v>0</v>
      </c>
      <c r="E105" s="200">
        <v>609.39</v>
      </c>
      <c r="F105" s="199" t="s">
        <v>99</v>
      </c>
      <c r="G105" s="199" t="s">
        <v>247</v>
      </c>
      <c r="H105" s="201" t="s">
        <v>85</v>
      </c>
      <c r="I105" s="246"/>
      <c r="J105" s="200"/>
      <c r="K105" s="252"/>
      <c r="L105" s="252"/>
      <c r="M105" s="200"/>
      <c r="N105" s="200">
        <f t="shared" si="6"/>
        <v>0</v>
      </c>
      <c r="O105" s="200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</row>
    <row r="106" spans="1:28" s="174" customFormat="1" x14ac:dyDescent="0.25">
      <c r="A106" s="193">
        <v>4</v>
      </c>
      <c r="B106" s="197" t="s">
        <v>29</v>
      </c>
      <c r="C106" s="199" t="s">
        <v>9</v>
      </c>
      <c r="D106" s="200">
        <v>0</v>
      </c>
      <c r="E106" s="200">
        <v>57756.34</v>
      </c>
      <c r="F106" s="199" t="s">
        <v>99</v>
      </c>
      <c r="G106" s="199" t="s">
        <v>248</v>
      </c>
      <c r="H106" s="202" t="s">
        <v>85</v>
      </c>
      <c r="I106" s="246"/>
      <c r="J106" s="200"/>
      <c r="K106" s="252"/>
      <c r="L106" s="252"/>
      <c r="M106" s="200"/>
      <c r="N106" s="200">
        <f t="shared" si="6"/>
        <v>0</v>
      </c>
      <c r="O106" s="200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</row>
    <row r="107" spans="1:28" s="174" customFormat="1" x14ac:dyDescent="0.25">
      <c r="A107" s="193">
        <v>5</v>
      </c>
      <c r="B107" s="197"/>
      <c r="C107" s="199"/>
      <c r="D107" s="200"/>
      <c r="E107" s="200"/>
      <c r="F107" s="199"/>
      <c r="G107" s="199"/>
      <c r="H107" s="202"/>
      <c r="I107" s="246"/>
      <c r="J107" s="200"/>
      <c r="K107" s="252"/>
      <c r="L107" s="252"/>
      <c r="M107" s="200"/>
      <c r="N107" s="200">
        <f t="shared" si="6"/>
        <v>0</v>
      </c>
      <c r="O107" s="200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</row>
    <row r="108" spans="1:28" s="174" customFormat="1" x14ac:dyDescent="0.25">
      <c r="A108" s="193">
        <v>6</v>
      </c>
      <c r="B108" s="197"/>
      <c r="C108" s="199"/>
      <c r="D108" s="200"/>
      <c r="E108" s="200"/>
      <c r="F108" s="199"/>
      <c r="G108" s="199"/>
      <c r="H108" s="202"/>
      <c r="I108" s="246"/>
      <c r="J108" s="200"/>
      <c r="K108" s="252"/>
      <c r="L108" s="252"/>
      <c r="M108" s="200"/>
      <c r="N108" s="200">
        <f t="shared" si="6"/>
        <v>0</v>
      </c>
      <c r="O108" s="200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</row>
    <row r="109" spans="1:28" s="174" customFormat="1" x14ac:dyDescent="0.25">
      <c r="A109" s="193">
        <v>7</v>
      </c>
      <c r="B109" s="197"/>
      <c r="C109" s="199"/>
      <c r="D109" s="200"/>
      <c r="E109" s="200"/>
      <c r="F109" s="199"/>
      <c r="G109" s="199"/>
      <c r="H109" s="202"/>
      <c r="I109" s="246"/>
      <c r="J109" s="200"/>
      <c r="K109" s="252"/>
      <c r="L109" s="252"/>
      <c r="M109" s="200"/>
      <c r="N109" s="200">
        <f t="shared" si="6"/>
        <v>0</v>
      </c>
      <c r="O109" s="200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</row>
    <row r="110" spans="1:28" s="174" customFormat="1" x14ac:dyDescent="0.25">
      <c r="A110" s="193">
        <v>8</v>
      </c>
      <c r="B110" s="197"/>
      <c r="C110" s="199"/>
      <c r="D110" s="200"/>
      <c r="E110" s="200"/>
      <c r="F110" s="199"/>
      <c r="G110" s="199"/>
      <c r="H110" s="202"/>
      <c r="I110" s="246"/>
      <c r="J110" s="200"/>
      <c r="K110" s="252"/>
      <c r="L110" s="252"/>
      <c r="M110" s="200"/>
      <c r="N110" s="200">
        <f t="shared" si="6"/>
        <v>0</v>
      </c>
      <c r="O110" s="200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</row>
    <row r="111" spans="1:28" s="174" customFormat="1" x14ac:dyDescent="0.25">
      <c r="A111" s="193">
        <v>11</v>
      </c>
      <c r="B111" s="197"/>
      <c r="C111" s="199"/>
      <c r="D111" s="200"/>
      <c r="E111" s="200"/>
      <c r="F111" s="199"/>
      <c r="G111" s="199"/>
      <c r="H111" s="202"/>
      <c r="I111" s="246"/>
      <c r="J111" s="200"/>
      <c r="K111" s="252"/>
      <c r="L111" s="252"/>
      <c r="M111" s="200"/>
      <c r="N111" s="200">
        <f t="shared" si="6"/>
        <v>0</v>
      </c>
      <c r="O111" s="200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</row>
    <row r="112" spans="1:28" s="174" customFormat="1" x14ac:dyDescent="0.25">
      <c r="A112" s="193">
        <v>12</v>
      </c>
      <c r="B112" s="197"/>
      <c r="C112" s="199"/>
      <c r="D112" s="200"/>
      <c r="E112" s="200"/>
      <c r="F112" s="199"/>
      <c r="G112" s="199"/>
      <c r="H112" s="202"/>
      <c r="I112" s="246"/>
      <c r="J112" s="200"/>
      <c r="K112" s="252"/>
      <c r="L112" s="252"/>
      <c r="M112" s="200"/>
      <c r="N112" s="200">
        <f t="shared" si="6"/>
        <v>0</v>
      </c>
      <c r="O112" s="200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</row>
    <row r="113" spans="1:28" s="174" customFormat="1" x14ac:dyDescent="0.25">
      <c r="A113" s="193">
        <v>13</v>
      </c>
      <c r="B113" s="197"/>
      <c r="C113" s="199"/>
      <c r="D113" s="200"/>
      <c r="E113" s="200"/>
      <c r="F113" s="199"/>
      <c r="G113" s="199"/>
      <c r="H113" s="202"/>
      <c r="I113" s="246"/>
      <c r="J113" s="200"/>
      <c r="K113" s="252"/>
      <c r="L113" s="252"/>
      <c r="M113" s="200"/>
      <c r="N113" s="200">
        <f t="shared" si="6"/>
        <v>0</v>
      </c>
      <c r="O113" s="200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</row>
    <row r="114" spans="1:28" s="174" customFormat="1" x14ac:dyDescent="0.25">
      <c r="A114" s="193">
        <v>14</v>
      </c>
      <c r="B114" s="197"/>
      <c r="C114" s="199"/>
      <c r="D114" s="200"/>
      <c r="E114" s="200"/>
      <c r="F114" s="199"/>
      <c r="G114" s="199"/>
      <c r="H114" s="202"/>
      <c r="I114" s="246"/>
      <c r="J114" s="200"/>
      <c r="K114" s="252"/>
      <c r="L114" s="252"/>
      <c r="M114" s="200"/>
      <c r="N114" s="200">
        <f t="shared" si="6"/>
        <v>0</v>
      </c>
      <c r="O114" s="200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</row>
    <row r="115" spans="1:28" s="174" customFormat="1" x14ac:dyDescent="0.25">
      <c r="A115" s="194">
        <v>15</v>
      </c>
      <c r="B115" s="198"/>
      <c r="C115" s="187"/>
      <c r="D115" s="188"/>
      <c r="E115" s="188"/>
      <c r="F115" s="187"/>
      <c r="G115" s="187"/>
      <c r="H115" s="192"/>
      <c r="I115" s="247"/>
      <c r="J115" s="188"/>
      <c r="K115" s="255"/>
      <c r="L115" s="255"/>
      <c r="M115" s="188"/>
      <c r="N115" s="200">
        <f t="shared" si="6"/>
        <v>0</v>
      </c>
      <c r="O115" s="188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</row>
    <row r="116" spans="1:28" s="174" customFormat="1" ht="15.75" thickBot="1" x14ac:dyDescent="0.3">
      <c r="A116" s="207"/>
      <c r="B116" s="206"/>
      <c r="C116" s="206"/>
      <c r="D116" s="195" t="s">
        <v>81</v>
      </c>
      <c r="E116" s="196">
        <f>SUMIFS(E103:E115,H103:H115,$W$5)</f>
        <v>64365.729999999996</v>
      </c>
      <c r="F116" s="206"/>
      <c r="G116" s="206"/>
      <c r="H116" s="206"/>
      <c r="I116" s="206"/>
      <c r="J116" s="196">
        <f>SUMIFS(J103:J115,I103:I115,$W$11)</f>
        <v>6000</v>
      </c>
      <c r="K116" s="253"/>
      <c r="L116" s="253"/>
      <c r="M116" s="196">
        <f>SUM(M103:M115)</f>
        <v>6000</v>
      </c>
      <c r="N116" s="196">
        <f>SUM(N103:N115)</f>
        <v>0</v>
      </c>
      <c r="O116" s="251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</row>
    <row r="117" spans="1:28" s="174" customFormat="1" ht="19.5" thickTop="1" x14ac:dyDescent="0.3">
      <c r="A117" s="203"/>
      <c r="B117" s="204"/>
      <c r="C117" s="204"/>
      <c r="D117" s="204"/>
      <c r="E117" s="204"/>
      <c r="F117" s="205">
        <v>45826</v>
      </c>
      <c r="G117" s="204"/>
      <c r="H117" s="204"/>
      <c r="I117" s="204"/>
      <c r="J117" s="204"/>
      <c r="K117" s="254"/>
      <c r="L117" s="254"/>
      <c r="M117" s="204"/>
      <c r="N117" s="204"/>
      <c r="O117" s="204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</row>
    <row r="118" spans="1:28" s="174" customFormat="1" x14ac:dyDescent="0.25">
      <c r="A118" s="193">
        <v>1</v>
      </c>
      <c r="B118" s="197"/>
      <c r="C118" s="199"/>
      <c r="D118" s="200"/>
      <c r="E118" s="200"/>
      <c r="F118" s="199"/>
      <c r="G118" s="199"/>
      <c r="H118" s="199"/>
      <c r="I118" s="202"/>
      <c r="J118" s="200"/>
      <c r="K118" s="252"/>
      <c r="L118" s="252"/>
      <c r="M118" s="200"/>
      <c r="N118" s="200"/>
      <c r="O118" s="200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</row>
    <row r="119" spans="1:28" s="174" customFormat="1" x14ac:dyDescent="0.25">
      <c r="A119" s="193">
        <v>2</v>
      </c>
      <c r="B119" s="197"/>
      <c r="C119" s="199"/>
      <c r="D119" s="200"/>
      <c r="E119" s="200"/>
      <c r="F119" s="199"/>
      <c r="G119" s="199"/>
      <c r="H119" s="201"/>
      <c r="I119" s="246"/>
      <c r="J119" s="200"/>
      <c r="K119" s="252"/>
      <c r="L119" s="252"/>
      <c r="M119" s="200"/>
      <c r="N119" s="200"/>
      <c r="O119" s="200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</row>
    <row r="120" spans="1:28" s="174" customFormat="1" x14ac:dyDescent="0.25">
      <c r="A120" s="193">
        <v>3</v>
      </c>
      <c r="B120" s="197"/>
      <c r="C120" s="199"/>
      <c r="D120" s="200"/>
      <c r="E120" s="200"/>
      <c r="F120" s="199"/>
      <c r="G120" s="199"/>
      <c r="H120" s="201"/>
      <c r="I120" s="246"/>
      <c r="J120" s="200"/>
      <c r="K120" s="252"/>
      <c r="L120" s="252"/>
      <c r="M120" s="200"/>
      <c r="N120" s="200"/>
      <c r="O120" s="200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</row>
    <row r="121" spans="1:28" s="174" customFormat="1" x14ac:dyDescent="0.25">
      <c r="A121" s="193">
        <v>4</v>
      </c>
      <c r="B121" s="197"/>
      <c r="C121" s="199"/>
      <c r="D121" s="200"/>
      <c r="E121" s="200"/>
      <c r="F121" s="199"/>
      <c r="G121" s="199"/>
      <c r="H121" s="202"/>
      <c r="I121" s="246"/>
      <c r="J121" s="200"/>
      <c r="K121" s="252"/>
      <c r="L121" s="252"/>
      <c r="M121" s="200"/>
      <c r="N121" s="200"/>
      <c r="O121" s="200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</row>
    <row r="122" spans="1:28" s="174" customFormat="1" x14ac:dyDescent="0.25">
      <c r="A122" s="193">
        <v>5</v>
      </c>
      <c r="B122" s="197"/>
      <c r="C122" s="199"/>
      <c r="D122" s="200"/>
      <c r="E122" s="200"/>
      <c r="F122" s="199"/>
      <c r="G122" s="199"/>
      <c r="H122" s="202"/>
      <c r="I122" s="246"/>
      <c r="J122" s="200"/>
      <c r="K122" s="252"/>
      <c r="L122" s="252"/>
      <c r="M122" s="200"/>
      <c r="N122" s="200"/>
      <c r="O122" s="200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</row>
    <row r="123" spans="1:28" s="174" customFormat="1" x14ac:dyDescent="0.25">
      <c r="A123" s="193">
        <v>6</v>
      </c>
      <c r="B123" s="197"/>
      <c r="C123" s="199"/>
      <c r="D123" s="200"/>
      <c r="E123" s="200"/>
      <c r="F123" s="199"/>
      <c r="G123" s="199"/>
      <c r="H123" s="202"/>
      <c r="I123" s="246"/>
      <c r="J123" s="200"/>
      <c r="K123" s="252"/>
      <c r="L123" s="252"/>
      <c r="M123" s="200"/>
      <c r="N123" s="200"/>
      <c r="O123" s="200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</row>
    <row r="124" spans="1:28" s="174" customFormat="1" x14ac:dyDescent="0.25">
      <c r="A124" s="193">
        <v>7</v>
      </c>
      <c r="B124" s="197"/>
      <c r="C124" s="199"/>
      <c r="D124" s="200"/>
      <c r="E124" s="200"/>
      <c r="F124" s="199"/>
      <c r="G124" s="199"/>
      <c r="H124" s="202"/>
      <c r="I124" s="246"/>
      <c r="J124" s="200"/>
      <c r="K124" s="252"/>
      <c r="L124" s="252"/>
      <c r="M124" s="200"/>
      <c r="N124" s="200"/>
      <c r="O124" s="200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</row>
    <row r="125" spans="1:28" s="174" customFormat="1" x14ac:dyDescent="0.25">
      <c r="A125" s="193">
        <v>8</v>
      </c>
      <c r="B125" s="197"/>
      <c r="C125" s="199"/>
      <c r="D125" s="200"/>
      <c r="E125" s="200"/>
      <c r="F125" s="199"/>
      <c r="G125" s="199"/>
      <c r="H125" s="202"/>
      <c r="I125" s="246"/>
      <c r="J125" s="200"/>
      <c r="K125" s="252"/>
      <c r="L125" s="252"/>
      <c r="M125" s="200"/>
      <c r="N125" s="200"/>
      <c r="O125" s="200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</row>
    <row r="126" spans="1:28" s="174" customFormat="1" x14ac:dyDescent="0.25">
      <c r="A126" s="193">
        <v>11</v>
      </c>
      <c r="B126" s="197"/>
      <c r="C126" s="199"/>
      <c r="D126" s="200"/>
      <c r="E126" s="200"/>
      <c r="F126" s="199"/>
      <c r="G126" s="199"/>
      <c r="H126" s="202"/>
      <c r="I126" s="246"/>
      <c r="J126" s="200"/>
      <c r="K126" s="252"/>
      <c r="L126" s="252"/>
      <c r="M126" s="200"/>
      <c r="N126" s="200"/>
      <c r="O126" s="200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</row>
    <row r="127" spans="1:28" s="174" customFormat="1" x14ac:dyDescent="0.25">
      <c r="A127" s="193">
        <v>12</v>
      </c>
      <c r="B127" s="197"/>
      <c r="C127" s="199"/>
      <c r="D127" s="200"/>
      <c r="E127" s="200"/>
      <c r="F127" s="199"/>
      <c r="G127" s="199"/>
      <c r="H127" s="202"/>
      <c r="I127" s="246"/>
      <c r="J127" s="200"/>
      <c r="K127" s="252"/>
      <c r="L127" s="252"/>
      <c r="M127" s="200"/>
      <c r="N127" s="200"/>
      <c r="O127" s="200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</row>
    <row r="128" spans="1:28" s="174" customFormat="1" x14ac:dyDescent="0.25">
      <c r="A128" s="193">
        <v>13</v>
      </c>
      <c r="B128" s="197"/>
      <c r="C128" s="199"/>
      <c r="D128" s="200"/>
      <c r="E128" s="200"/>
      <c r="F128" s="199"/>
      <c r="G128" s="199"/>
      <c r="H128" s="202"/>
      <c r="I128" s="246"/>
      <c r="J128" s="200"/>
      <c r="K128" s="252"/>
      <c r="L128" s="252"/>
      <c r="M128" s="200"/>
      <c r="N128" s="200"/>
      <c r="O128" s="200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</row>
    <row r="129" spans="1:28" s="174" customFormat="1" x14ac:dyDescent="0.25">
      <c r="A129" s="193">
        <v>14</v>
      </c>
      <c r="B129" s="197"/>
      <c r="C129" s="199"/>
      <c r="D129" s="200"/>
      <c r="E129" s="200"/>
      <c r="F129" s="199"/>
      <c r="G129" s="199"/>
      <c r="H129" s="202"/>
      <c r="I129" s="246"/>
      <c r="J129" s="200"/>
      <c r="K129" s="252"/>
      <c r="L129" s="252"/>
      <c r="M129" s="200"/>
      <c r="N129" s="200"/>
      <c r="O129" s="200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</row>
    <row r="130" spans="1:28" s="174" customFormat="1" x14ac:dyDescent="0.25">
      <c r="A130" s="194">
        <v>15</v>
      </c>
      <c r="B130" s="198"/>
      <c r="C130" s="187"/>
      <c r="D130" s="188"/>
      <c r="E130" s="188"/>
      <c r="F130" s="187"/>
      <c r="G130" s="187"/>
      <c r="H130" s="192"/>
      <c r="I130" s="247"/>
      <c r="J130" s="188"/>
      <c r="K130" s="255"/>
      <c r="L130" s="255"/>
      <c r="M130" s="188"/>
      <c r="N130" s="188"/>
      <c r="O130" s="188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</row>
    <row r="131" spans="1:28" s="174" customFormat="1" ht="15.75" thickBot="1" x14ac:dyDescent="0.3">
      <c r="A131" s="207"/>
      <c r="B131" s="206"/>
      <c r="C131" s="206"/>
      <c r="D131" s="195" t="s">
        <v>81</v>
      </c>
      <c r="E131" s="196">
        <f>SUMIFS(E118:E130,H118:H130,$W$5)</f>
        <v>0</v>
      </c>
      <c r="F131" s="206"/>
      <c r="G131" s="206"/>
      <c r="H131" s="206"/>
      <c r="I131" s="206"/>
      <c r="J131" s="196">
        <f>SUMIFS(J118:J130,I118:I130,$W$11)</f>
        <v>0</v>
      </c>
      <c r="K131" s="253"/>
      <c r="L131" s="253"/>
      <c r="M131" s="196">
        <f>SUM(M118:M130)</f>
        <v>0</v>
      </c>
      <c r="N131" s="196">
        <f>SUM(N118:N130)</f>
        <v>0</v>
      </c>
      <c r="O131" s="251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</row>
    <row r="132" spans="1:28" ht="15.75" thickTop="1" x14ac:dyDescent="0.25">
      <c r="K132" s="256"/>
      <c r="L132" s="256"/>
    </row>
    <row r="133" spans="1:28" x14ac:dyDescent="0.25">
      <c r="K133" s="256"/>
      <c r="L133" s="256"/>
    </row>
    <row r="134" spans="1:28" x14ac:dyDescent="0.25">
      <c r="K134" s="256"/>
      <c r="L134" s="256"/>
    </row>
    <row r="135" spans="1:28" x14ac:dyDescent="0.25">
      <c r="K135" s="256"/>
      <c r="L135" s="256"/>
    </row>
    <row r="136" spans="1:28" x14ac:dyDescent="0.25">
      <c r="K136" s="256"/>
      <c r="L136" s="256"/>
    </row>
    <row r="137" spans="1:28" x14ac:dyDescent="0.25">
      <c r="K137" s="256"/>
      <c r="L137" s="256"/>
    </row>
    <row r="138" spans="1:28" x14ac:dyDescent="0.25">
      <c r="K138" s="256"/>
      <c r="L138" s="256"/>
    </row>
    <row r="139" spans="1:28" x14ac:dyDescent="0.25">
      <c r="K139" s="256"/>
      <c r="L139" s="256"/>
    </row>
    <row r="140" spans="1:28" x14ac:dyDescent="0.25">
      <c r="K140" s="256"/>
      <c r="L140" s="256"/>
    </row>
    <row r="141" spans="1:28" x14ac:dyDescent="0.25">
      <c r="K141" s="256"/>
      <c r="L141" s="256"/>
    </row>
    <row r="142" spans="1:28" x14ac:dyDescent="0.25">
      <c r="K142" s="256"/>
      <c r="L142" s="256"/>
    </row>
    <row r="143" spans="1:28" x14ac:dyDescent="0.25">
      <c r="K143" s="256"/>
      <c r="L143" s="256"/>
    </row>
    <row r="144" spans="1:28" x14ac:dyDescent="0.25">
      <c r="K144" s="256"/>
      <c r="L144" s="256"/>
    </row>
    <row r="145" spans="11:12" x14ac:dyDescent="0.25">
      <c r="K145" s="256"/>
      <c r="L145" s="256"/>
    </row>
    <row r="146" spans="11:12" x14ac:dyDescent="0.25">
      <c r="K146" s="256"/>
      <c r="L146" s="256"/>
    </row>
    <row r="147" spans="11:12" x14ac:dyDescent="0.25">
      <c r="K147" s="256"/>
      <c r="L147" s="256"/>
    </row>
    <row r="148" spans="11:12" x14ac:dyDescent="0.25">
      <c r="K148" s="256"/>
      <c r="L148" s="256"/>
    </row>
    <row r="149" spans="11:12" x14ac:dyDescent="0.25">
      <c r="K149" s="256"/>
      <c r="L149" s="256"/>
    </row>
    <row r="150" spans="11:12" x14ac:dyDescent="0.25">
      <c r="K150" s="256"/>
      <c r="L150" s="256"/>
    </row>
    <row r="151" spans="11:12" x14ac:dyDescent="0.25">
      <c r="K151" s="256"/>
      <c r="L151" s="256"/>
    </row>
    <row r="152" spans="11:12" x14ac:dyDescent="0.25">
      <c r="K152" s="256"/>
      <c r="L152" s="256"/>
    </row>
    <row r="153" spans="11:12" x14ac:dyDescent="0.25">
      <c r="K153" s="256"/>
      <c r="L153" s="256"/>
    </row>
    <row r="154" spans="11:12" x14ac:dyDescent="0.25">
      <c r="K154" s="256"/>
      <c r="L154" s="256"/>
    </row>
    <row r="155" spans="11:12" x14ac:dyDescent="0.25">
      <c r="K155" s="256"/>
      <c r="L155" s="256"/>
    </row>
    <row r="156" spans="11:12" x14ac:dyDescent="0.25">
      <c r="K156" s="256"/>
      <c r="L156" s="256"/>
    </row>
    <row r="157" spans="11:12" x14ac:dyDescent="0.25">
      <c r="K157" s="256"/>
      <c r="L157" s="256"/>
    </row>
    <row r="158" spans="11:12" x14ac:dyDescent="0.25">
      <c r="K158" s="256"/>
      <c r="L158" s="256"/>
    </row>
    <row r="159" spans="11:12" x14ac:dyDescent="0.25">
      <c r="K159" s="256"/>
      <c r="L159" s="256"/>
    </row>
    <row r="160" spans="11:12" x14ac:dyDescent="0.25">
      <c r="K160" s="256"/>
      <c r="L160" s="256"/>
    </row>
    <row r="161" spans="11:12" x14ac:dyDescent="0.25">
      <c r="K161" s="256"/>
      <c r="L161" s="256"/>
    </row>
    <row r="162" spans="11:12" x14ac:dyDescent="0.25">
      <c r="K162" s="256"/>
      <c r="L162" s="256"/>
    </row>
    <row r="163" spans="11:12" x14ac:dyDescent="0.25">
      <c r="K163" s="256"/>
      <c r="L163" s="256"/>
    </row>
    <row r="164" spans="11:12" x14ac:dyDescent="0.25">
      <c r="K164" s="256"/>
      <c r="L164" s="256"/>
    </row>
    <row r="165" spans="11:12" x14ac:dyDescent="0.25">
      <c r="K165" s="256"/>
      <c r="L165" s="256"/>
    </row>
    <row r="166" spans="11:12" x14ac:dyDescent="0.25">
      <c r="K166" s="256"/>
      <c r="L166" s="256"/>
    </row>
    <row r="167" spans="11:12" x14ac:dyDescent="0.25">
      <c r="K167" s="256"/>
      <c r="L167" s="256"/>
    </row>
    <row r="168" spans="11:12" x14ac:dyDescent="0.25">
      <c r="K168" s="256"/>
      <c r="L168" s="256"/>
    </row>
    <row r="169" spans="11:12" x14ac:dyDescent="0.25">
      <c r="K169" s="256"/>
      <c r="L169" s="256"/>
    </row>
  </sheetData>
  <autoFilter ref="A2:AB116" xr:uid="{8165B103-B75F-43DD-8331-501B8D7310F1}"/>
  <phoneticPr fontId="11" type="noConversion"/>
  <conditionalFormatting sqref="E13:E15 E18:E21 E24:E34 E4:E10 E37:E48 E64:E72 E83 E89:E99">
    <cfRule type="cellIs" dxfId="120" priority="265" operator="greaterThan">
      <formula>D4</formula>
    </cfRule>
  </conditionalFormatting>
  <conditionalFormatting sqref="J13:J15 J5:J10 J37:K48 J64:K72 J83:K83 J90:K99">
    <cfRule type="cellIs" dxfId="119" priority="174" operator="greaterThan">
      <formula>E5</formula>
    </cfRule>
  </conditionalFormatting>
  <conditionalFormatting sqref="M13:N15 M4:N10 M37:O48 M64:O72 M83:O83 M91:M99 O91:O99 N91:N100">
    <cfRule type="cellIs" dxfId="118" priority="175" operator="greaterThan">
      <formula>E4</formula>
    </cfRule>
  </conditionalFormatting>
  <conditionalFormatting sqref="J18:J21">
    <cfRule type="cellIs" dxfId="117" priority="172" operator="greaterThan">
      <formula>E18</formula>
    </cfRule>
  </conditionalFormatting>
  <conditionalFormatting sqref="M18:N21">
    <cfRule type="cellIs" dxfId="116" priority="173" operator="greaterThan">
      <formula>E18</formula>
    </cfRule>
  </conditionalFormatting>
  <conditionalFormatting sqref="J24:J34">
    <cfRule type="cellIs" dxfId="115" priority="170" operator="greaterThan">
      <formula>E24</formula>
    </cfRule>
  </conditionalFormatting>
  <conditionalFormatting sqref="M24:N34">
    <cfRule type="cellIs" dxfId="114" priority="171" operator="greaterThan">
      <formula>E24</formula>
    </cfRule>
  </conditionalFormatting>
  <conditionalFormatting sqref="N13:N15">
    <cfRule type="cellIs" dxfId="113" priority="167" operator="greaterThan">
      <formula>J13</formula>
    </cfRule>
  </conditionalFormatting>
  <conditionalFormatting sqref="N18:N21">
    <cfRule type="cellIs" dxfId="112" priority="166" operator="greaterThan">
      <formula>J18</formula>
    </cfRule>
  </conditionalFormatting>
  <conditionalFormatting sqref="N24:N34 N37:O48 N64:N72 N83 N91:N100">
    <cfRule type="cellIs" dxfId="111" priority="163" operator="lessThan">
      <formula>0</formula>
    </cfRule>
    <cfRule type="cellIs" dxfId="110" priority="164" operator="greaterThan">
      <formula>0</formula>
    </cfRule>
    <cfRule type="cellIs" dxfId="109" priority="165" operator="greaterThan">
      <formula>J24</formula>
    </cfRule>
  </conditionalFormatting>
  <conditionalFormatting sqref="K13:K15 K4:K10">
    <cfRule type="cellIs" dxfId="108" priority="139" operator="greaterThan">
      <formula>F4</formula>
    </cfRule>
  </conditionalFormatting>
  <conditionalFormatting sqref="K18:K21">
    <cfRule type="cellIs" dxfId="107" priority="138" operator="greaterThan">
      <formula>F18</formula>
    </cfRule>
  </conditionalFormatting>
  <conditionalFormatting sqref="K24:K34">
    <cfRule type="cellIs" dxfId="106" priority="137" operator="greaterThan">
      <formula>F24</formula>
    </cfRule>
  </conditionalFormatting>
  <conditionalFormatting sqref="O13:O15 O4:O10">
    <cfRule type="cellIs" dxfId="105" priority="126" operator="greaterThan">
      <formula>G4</formula>
    </cfRule>
  </conditionalFormatting>
  <conditionalFormatting sqref="O18:O21">
    <cfRule type="cellIs" dxfId="104" priority="125" operator="greaterThan">
      <formula>G18</formula>
    </cfRule>
  </conditionalFormatting>
  <conditionalFormatting sqref="O24:O34">
    <cfRule type="cellIs" dxfId="103" priority="124" operator="greaterThan">
      <formula>G24</formula>
    </cfRule>
  </conditionalFormatting>
  <conditionalFormatting sqref="O13:O15">
    <cfRule type="cellIs" dxfId="102" priority="123" operator="greaterThan">
      <formula>K13</formula>
    </cfRule>
  </conditionalFormatting>
  <conditionalFormatting sqref="O18:O21">
    <cfRule type="cellIs" dxfId="101" priority="122" operator="greaterThan">
      <formula>K18</formula>
    </cfRule>
  </conditionalFormatting>
  <conditionalFormatting sqref="O24:O34">
    <cfRule type="cellIs" dxfId="100" priority="119" operator="lessThan">
      <formula>0</formula>
    </cfRule>
    <cfRule type="cellIs" dxfId="99" priority="120" operator="greaterThan">
      <formula>0</formula>
    </cfRule>
    <cfRule type="cellIs" dxfId="98" priority="121" operator="greaterThan">
      <formula>K24</formula>
    </cfRule>
  </conditionalFormatting>
  <conditionalFormatting sqref="J4">
    <cfRule type="cellIs" dxfId="97" priority="117" operator="greaterThan">
      <formula>I4</formula>
    </cfRule>
  </conditionalFormatting>
  <conditionalFormatting sqref="J75:K81">
    <cfRule type="cellIs" dxfId="96" priority="94" operator="greaterThan">
      <formula>E75</formula>
    </cfRule>
  </conditionalFormatting>
  <conditionalFormatting sqref="O49:O61">
    <cfRule type="cellIs" dxfId="95" priority="100" operator="lessThan">
      <formula>0</formula>
    </cfRule>
    <cfRule type="cellIs" dxfId="94" priority="101" operator="greaterThan">
      <formula>0</formula>
    </cfRule>
    <cfRule type="cellIs" dxfId="93" priority="102" operator="greaterThan">
      <formula>K49</formula>
    </cfRule>
  </conditionalFormatting>
  <conditionalFormatting sqref="J103:K114">
    <cfRule type="cellIs" dxfId="92" priority="82" operator="greaterThan">
      <formula>E103</formula>
    </cfRule>
  </conditionalFormatting>
  <conditionalFormatting sqref="E49:E61">
    <cfRule type="cellIs" dxfId="91" priority="113" operator="greaterThan">
      <formula>D49</formula>
    </cfRule>
  </conditionalFormatting>
  <conditionalFormatting sqref="J49:J61">
    <cfRule type="cellIs" dxfId="90" priority="111" operator="greaterThan">
      <formula>E49</formula>
    </cfRule>
  </conditionalFormatting>
  <conditionalFormatting sqref="M49:N61">
    <cfRule type="cellIs" dxfId="89" priority="112" operator="greaterThan">
      <formula>E49</formula>
    </cfRule>
  </conditionalFormatting>
  <conditionalFormatting sqref="N49:N61">
    <cfRule type="cellIs" dxfId="88" priority="108" operator="lessThan">
      <formula>0</formula>
    </cfRule>
    <cfRule type="cellIs" dxfId="87" priority="109" operator="greaterThan">
      <formula>0</formula>
    </cfRule>
    <cfRule type="cellIs" dxfId="86" priority="110" operator="greaterThan">
      <formula>J49</formula>
    </cfRule>
  </conditionalFormatting>
  <conditionalFormatting sqref="K49:K61">
    <cfRule type="cellIs" dxfId="85" priority="107" operator="greaterThan">
      <formula>F49</formula>
    </cfRule>
  </conditionalFormatting>
  <conditionalFormatting sqref="O49:O61">
    <cfRule type="cellIs" dxfId="84" priority="103" operator="greaterThan">
      <formula>G49</formula>
    </cfRule>
  </conditionalFormatting>
  <conditionalFormatting sqref="E75:E81">
    <cfRule type="cellIs" dxfId="83" priority="96" operator="greaterThan">
      <formula>D75</formula>
    </cfRule>
  </conditionalFormatting>
  <conditionalFormatting sqref="M75:M81 O75:O81">
    <cfRule type="cellIs" dxfId="82" priority="95" operator="greaterThan">
      <formula>E75</formula>
    </cfRule>
  </conditionalFormatting>
  <conditionalFormatting sqref="K89">
    <cfRule type="cellIs" dxfId="81" priority="88" operator="greaterThan">
      <formula>F89</formula>
    </cfRule>
  </conditionalFormatting>
  <conditionalFormatting sqref="M90:O90 M89 O89">
    <cfRule type="cellIs" dxfId="80" priority="89" operator="greaterThan">
      <formula>E89</formula>
    </cfRule>
  </conditionalFormatting>
  <conditionalFormatting sqref="E103:E114">
    <cfRule type="cellIs" dxfId="79" priority="84" operator="greaterThan">
      <formula>D103</formula>
    </cfRule>
  </conditionalFormatting>
  <conditionalFormatting sqref="M103:M114 O103:O114">
    <cfRule type="cellIs" dxfId="78" priority="83" operator="greaterThan">
      <formula>E103</formula>
    </cfRule>
  </conditionalFormatting>
  <conditionalFormatting sqref="N75:N81">
    <cfRule type="cellIs" dxfId="77" priority="71" operator="greaterThan">
      <formula>F75</formula>
    </cfRule>
  </conditionalFormatting>
  <conditionalFormatting sqref="N75:N81">
    <cfRule type="cellIs" dxfId="76" priority="68" operator="lessThan">
      <formula>0</formula>
    </cfRule>
    <cfRule type="cellIs" dxfId="75" priority="69" operator="greaterThan">
      <formula>0</formula>
    </cfRule>
    <cfRule type="cellIs" dxfId="74" priority="70" operator="greaterThan">
      <formula>J75</formula>
    </cfRule>
  </conditionalFormatting>
  <conditionalFormatting sqref="O86:O88">
    <cfRule type="cellIs" dxfId="73" priority="51" operator="lessThan">
      <formula>0</formula>
    </cfRule>
    <cfRule type="cellIs" dxfId="72" priority="52" operator="greaterThan">
      <formula>0</formula>
    </cfRule>
    <cfRule type="cellIs" dxfId="71" priority="53" operator="greaterThan">
      <formula>K86</formula>
    </cfRule>
  </conditionalFormatting>
  <conditionalFormatting sqref="E86:E88">
    <cfRule type="cellIs" dxfId="70" priority="64" operator="greaterThan">
      <formula>D86</formula>
    </cfRule>
  </conditionalFormatting>
  <conditionalFormatting sqref="J86:J89">
    <cfRule type="cellIs" dxfId="69" priority="62" operator="greaterThan">
      <formula>E86</formula>
    </cfRule>
  </conditionalFormatting>
  <conditionalFormatting sqref="M86:N88 N87:N89">
    <cfRule type="cellIs" dxfId="68" priority="63" operator="greaterThan">
      <formula>E86</formula>
    </cfRule>
  </conditionalFormatting>
  <conditionalFormatting sqref="N86:N89">
    <cfRule type="cellIs" dxfId="67" priority="59" operator="lessThan">
      <formula>0</formula>
    </cfRule>
    <cfRule type="cellIs" dxfId="66" priority="60" operator="greaterThan">
      <formula>0</formula>
    </cfRule>
    <cfRule type="cellIs" dxfId="65" priority="61" operator="greaterThan">
      <formula>J86</formula>
    </cfRule>
  </conditionalFormatting>
  <conditionalFormatting sqref="K86:K88">
    <cfRule type="cellIs" dxfId="64" priority="58" operator="greaterThan">
      <formula>F86</formula>
    </cfRule>
  </conditionalFormatting>
  <conditionalFormatting sqref="O86:O88">
    <cfRule type="cellIs" dxfId="63" priority="54" operator="greaterThan">
      <formula>G86</formula>
    </cfRule>
  </conditionalFormatting>
  <conditionalFormatting sqref="O82">
    <cfRule type="cellIs" dxfId="62" priority="34" operator="lessThan">
      <formula>0</formula>
    </cfRule>
    <cfRule type="cellIs" dxfId="61" priority="35" operator="greaterThan">
      <formula>0</formula>
    </cfRule>
    <cfRule type="cellIs" dxfId="60" priority="36" operator="greaterThan">
      <formula>K82</formula>
    </cfRule>
  </conditionalFormatting>
  <conditionalFormatting sqref="E82">
    <cfRule type="cellIs" dxfId="59" priority="47" operator="greaterThan">
      <formula>D82</formula>
    </cfRule>
  </conditionalFormatting>
  <conditionalFormatting sqref="J82">
    <cfRule type="cellIs" dxfId="58" priority="45" operator="greaterThan">
      <formula>E82</formula>
    </cfRule>
  </conditionalFormatting>
  <conditionalFormatting sqref="M82:N82">
    <cfRule type="cellIs" dxfId="57" priority="46" operator="greaterThan">
      <formula>E82</formula>
    </cfRule>
  </conditionalFormatting>
  <conditionalFormatting sqref="N82">
    <cfRule type="cellIs" dxfId="56" priority="42" operator="lessThan">
      <formula>0</formula>
    </cfRule>
    <cfRule type="cellIs" dxfId="55" priority="43" operator="greaterThan">
      <formula>0</formula>
    </cfRule>
    <cfRule type="cellIs" dxfId="54" priority="44" operator="greaterThan">
      <formula>J82</formula>
    </cfRule>
  </conditionalFormatting>
  <conditionalFormatting sqref="K82">
    <cfRule type="cellIs" dxfId="53" priority="41" operator="greaterThan">
      <formula>F82</formula>
    </cfRule>
  </conditionalFormatting>
  <conditionalFormatting sqref="O82">
    <cfRule type="cellIs" dxfId="52" priority="37" operator="greaterThan">
      <formula>G82</formula>
    </cfRule>
  </conditionalFormatting>
  <conditionalFormatting sqref="J118:K129">
    <cfRule type="cellIs" dxfId="12" priority="8" operator="greaterThan">
      <formula>E118</formula>
    </cfRule>
  </conditionalFormatting>
  <conditionalFormatting sqref="E118:E129">
    <cfRule type="cellIs" dxfId="11" priority="10" operator="greaterThan">
      <formula>D118</formula>
    </cfRule>
  </conditionalFormatting>
  <conditionalFormatting sqref="M118:O129">
    <cfRule type="cellIs" dxfId="10" priority="9" operator="greaterThan">
      <formula>E118</formula>
    </cfRule>
  </conditionalFormatting>
  <conditionalFormatting sqref="N103:N115">
    <cfRule type="cellIs" dxfId="6" priority="4" operator="greaterThan">
      <formula>F103</formula>
    </cfRule>
  </conditionalFormatting>
  <conditionalFormatting sqref="N103:N115">
    <cfRule type="cellIs" dxfId="5" priority="1" operator="lessThan">
      <formula>0</formula>
    </cfRule>
    <cfRule type="cellIs" dxfId="4" priority="2" operator="greaterThan">
      <formula>0</formula>
    </cfRule>
    <cfRule type="cellIs" dxfId="3" priority="3" operator="greaterThan">
      <formula>J103</formula>
    </cfRule>
  </conditionalFormatting>
  <dataValidations count="3">
    <dataValidation type="list" allowBlank="1" showInputMessage="1" showErrorMessage="1" sqref="H64:H72 H24:H34 H13:H15 H4:H10 H18:H21 H37:H61 H103:H115 H75:H83 H86:H100 H118:H130" xr:uid="{C7A8811D-CDCC-4F0C-95B9-3C1A10A53115}">
      <formula1>$W$5:$W$7</formula1>
    </dataValidation>
    <dataValidation type="list" allowBlank="1" showInputMessage="1" showErrorMessage="1" sqref="I4:I10 I103:I115 I37:I61 I64:I72 I24:I34 I18:I21 I13:I15 I75:I83 I86:I100 I118:I130" xr:uid="{8A66638C-071F-4AA0-A4B2-489F722CE82F}">
      <formula1>$W$10:$W$12</formula1>
    </dataValidation>
    <dataValidation type="list" allowBlank="1" showInputMessage="1" showErrorMessage="1" sqref="L3:L38 M3:N3 L40:L131" xr:uid="{46CC2220-87E0-4859-A755-D83F02511F6E}">
      <formula1>$W$15:$W$21</formula1>
    </dataValidation>
  </dataValidations>
  <pageMargins left="0.7" right="0.7" top="0.75" bottom="0.75" header="0.3" footer="0.3"/>
  <pageSetup paperSize="9" scale="65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4" operator="containsText" id="{7C460FBA-CB4C-4294-9D08-20AFB0348577}">
            <xm:f>NOT(ISERROR(SEARCH($W$7,H4)))</xm:f>
            <xm:f>$W$7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75" operator="containsText" id="{810E9990-FEAD-48F8-86D5-2A4F6A64F680}">
            <xm:f>NOT(ISERROR(SEARCH(#REF!,H4)))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76" operator="containsText" id="{82853632-6F93-4787-A9EE-86D49B210C4E}">
            <xm:f>NOT(ISERROR(SEARCH($W$6,H4)))</xm:f>
            <xm:f>$W$6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M4:N10 M13:N15 M18:N21 M24:N34 H5:K10 H13:K15 H18:K21 H24:K34 H64:K72 H4:I4 K4 M37:O48 H37:K48 M64:M72 O64:O72 H90:K100 M91:O100</xm:sqref>
        </x14:conditionalFormatting>
        <x14:conditionalFormatting xmlns:xm="http://schemas.microsoft.com/office/excel/2006/main">
          <x14:cfRule type="containsText" priority="127" operator="containsText" id="{C4EB9BE0-84FA-42CB-A1A4-F8BA5F162AD2}">
            <xm:f>NOT(ISERROR(SEARCH($W$7,O4)))</xm:f>
            <xm:f>$W$7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28" operator="containsText" id="{7B97F606-5FB3-4D1F-BC43-E882625E039F}">
            <xm:f>NOT(ISERROR(SEARCH(#REF!,O4)))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9" operator="containsText" id="{B1599D85-2CE2-44E1-A427-009BFDFD7F9C}">
            <xm:f>NOT(ISERROR(SEARCH($W$6,O4)))</xm:f>
            <xm:f>$W$6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O4:O10 O13:O15 O18:O21 O24:O34</xm:sqref>
        </x14:conditionalFormatting>
        <x14:conditionalFormatting xmlns:xm="http://schemas.microsoft.com/office/excel/2006/main">
          <x14:cfRule type="containsText" priority="114" operator="containsText" id="{E8223C70-88BA-4AF1-AAB8-05D661F4173D}">
            <xm:f>NOT(ISERROR(SEARCH($W$7,H49)))</xm:f>
            <xm:f>$W$7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15" operator="containsText" id="{BA1D45E1-8AA6-409F-991A-9663EED03B6E}">
            <xm:f>NOT(ISERROR(SEARCH(#REF!,H49)))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16" operator="containsText" id="{934640D1-29AF-46F3-A525-93ECED75E9E8}">
            <xm:f>NOT(ISERROR(SEARCH($W$6,H49)))</xm:f>
            <xm:f>$W$6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M49:N61 H49:K61</xm:sqref>
        </x14:conditionalFormatting>
        <x14:conditionalFormatting xmlns:xm="http://schemas.microsoft.com/office/excel/2006/main">
          <x14:cfRule type="containsText" priority="104" operator="containsText" id="{1404F9B3-F62F-4944-B471-64802A5A3D6F}">
            <xm:f>NOT(ISERROR(SEARCH($W$7,O49)))</xm:f>
            <xm:f>$W$7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05" operator="containsText" id="{5AEADF65-7121-4380-9706-7AFCF837FEE1}">
            <xm:f>NOT(ISERROR(SEARCH(#REF!,O49)))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06" operator="containsText" id="{0D15A997-FE04-4637-A23A-4C4BE9381B90}">
            <xm:f>NOT(ISERROR(SEARCH($W$6,O49)))</xm:f>
            <xm:f>$W$6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O49:O61</xm:sqref>
        </x14:conditionalFormatting>
        <x14:conditionalFormatting xmlns:xm="http://schemas.microsoft.com/office/excel/2006/main">
          <x14:cfRule type="containsText" priority="97" operator="containsText" id="{B036D515-3A0C-4AA5-9B24-8F991A81B82D}">
            <xm:f>NOT(ISERROR(SEARCH($W$7,H75)))</xm:f>
            <xm:f>$W$7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98" operator="containsText" id="{7644B2B8-4AAA-45E0-8A03-632C74688744}">
            <xm:f>NOT(ISERROR(SEARCH(#REF!,H75)))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9" operator="containsText" id="{27117803-3510-4A8F-9053-B0F5451C11DB}">
            <xm:f>NOT(ISERROR(SEARCH($W$6,H75)))</xm:f>
            <xm:f>$W$6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M75:M81 O75:O81 H75:K81 O83 M83 J83:K83</xm:sqref>
        </x14:conditionalFormatting>
        <x14:conditionalFormatting xmlns:xm="http://schemas.microsoft.com/office/excel/2006/main">
          <x14:cfRule type="containsText" priority="91" operator="containsText" id="{9216EF42-5648-462A-9477-3EFD9C282D60}">
            <xm:f>NOT(ISERROR(SEARCH($W$7,K89)))</xm:f>
            <xm:f>$W$7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92" operator="containsText" id="{BCB6D08D-24F3-4EAF-A896-6DF3A74A2729}">
            <xm:f>NOT(ISERROR(SEARCH(#REF!,K89)))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3" operator="containsText" id="{7B077E3D-119D-4B0E-9907-D991046CAA2D}">
            <xm:f>NOT(ISERROR(SEARCH($W$6,K89)))</xm:f>
            <xm:f>$W$6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M90:O90 K89 M89 O89</xm:sqref>
        </x14:conditionalFormatting>
        <x14:conditionalFormatting xmlns:xm="http://schemas.microsoft.com/office/excel/2006/main">
          <x14:cfRule type="containsText" priority="85" operator="containsText" id="{613727D4-C516-4C77-8CDA-94382DBEAF4A}">
            <xm:f>NOT(ISERROR(SEARCH($W$7,H103)))</xm:f>
            <xm:f>$W$7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86" operator="containsText" id="{C9092889-9F0D-42AC-B0FD-0D2899D111B1}">
            <xm:f>NOT(ISERROR(SEARCH(#REF!,H103)))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87" operator="containsText" id="{0D4DD4B3-E349-4CC6-B57F-AD925E3E9E1D}">
            <xm:f>NOT(ISERROR(SEARCH($W$6,H103)))</xm:f>
            <xm:f>$W$6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H103:K115 M103:M115 O103:O115</xm:sqref>
        </x14:conditionalFormatting>
        <x14:conditionalFormatting xmlns:xm="http://schemas.microsoft.com/office/excel/2006/main">
          <x14:cfRule type="containsText" priority="79" operator="containsText" id="{5C422272-A535-46AA-B2A3-08A1DB0B1182}">
            <xm:f>NOT(ISERROR(SEARCH($W$7,N64)))</xm:f>
            <xm:f>$W$7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80" operator="containsText" id="{9CCAE947-8C68-4B1A-AE86-45B93C81B7AD}">
            <xm:f>NOT(ISERROR(SEARCH(#REF!,N64)))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81" operator="containsText" id="{E6460417-8C9A-4AE8-B175-75CD61BFDD33}">
            <xm:f>NOT(ISERROR(SEARCH($W$6,N64)))</xm:f>
            <xm:f>$W$6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N64:N72</xm:sqref>
        </x14:conditionalFormatting>
        <x14:conditionalFormatting xmlns:xm="http://schemas.microsoft.com/office/excel/2006/main">
          <x14:cfRule type="containsText" priority="72" operator="containsText" id="{63459575-7FEE-4351-94D8-ED3157AB084C}">
            <xm:f>NOT(ISERROR(SEARCH($W$7,N75)))</xm:f>
            <xm:f>$W$7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73" operator="containsText" id="{7AC63476-6456-4C41-B766-0EAEFC2B34F3}">
            <xm:f>NOT(ISERROR(SEARCH(#REF!,N75)))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74" operator="containsText" id="{405DE1C0-90A4-456B-B112-73434E8DB8BA}">
            <xm:f>NOT(ISERROR(SEARCH($W$6,N75)))</xm:f>
            <xm:f>$W$6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N75:N81 N83</xm:sqref>
        </x14:conditionalFormatting>
        <x14:conditionalFormatting xmlns:xm="http://schemas.microsoft.com/office/excel/2006/main">
          <x14:cfRule type="containsText" priority="65" operator="containsText" id="{65836BA9-7154-4F3C-AFD2-E4604C74B19E}">
            <xm:f>NOT(ISERROR(SEARCH($W$7,H86)))</xm:f>
            <xm:f>$W$7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66" operator="containsText" id="{61C591CF-933A-407D-85F5-818FCFC0F07D}">
            <xm:f>NOT(ISERROR(SEARCH(#REF!,H86)))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7" operator="containsText" id="{BAF9C64B-6240-48C3-8DF6-5B3463486827}">
            <xm:f>NOT(ISERROR(SEARCH($W$6,H86)))</xm:f>
            <xm:f>$W$6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M86:N88 H86:K88 H89:J89 N87:N89</xm:sqref>
        </x14:conditionalFormatting>
        <x14:conditionalFormatting xmlns:xm="http://schemas.microsoft.com/office/excel/2006/main">
          <x14:cfRule type="containsText" priority="55" operator="containsText" id="{C82F1C37-8A35-4ECA-AC01-5BDF99BF01D2}">
            <xm:f>NOT(ISERROR(SEARCH($W$7,O86)))</xm:f>
            <xm:f>$W$7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56" operator="containsText" id="{68416BB6-E0BE-4011-AFEC-D0D1C55A8ADC}">
            <xm:f>NOT(ISERROR(SEARCH(#REF!,O86)))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7" operator="containsText" id="{B0D69845-7E1E-4607-9B05-8DB3BE11ED31}">
            <xm:f>NOT(ISERROR(SEARCH($W$6,O86)))</xm:f>
            <xm:f>$W$6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O86:O88</xm:sqref>
        </x14:conditionalFormatting>
        <x14:conditionalFormatting xmlns:xm="http://schemas.microsoft.com/office/excel/2006/main">
          <x14:cfRule type="containsText" priority="48" operator="containsText" id="{A0853E90-13EE-4620-8222-1BE6E3D0DED6}">
            <xm:f>NOT(ISERROR(SEARCH($W$7,H82)))</xm:f>
            <xm:f>$W$7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49" operator="containsText" id="{F2A62F84-1803-4E1D-B50D-2776EF85339B}">
            <xm:f>NOT(ISERROR(SEARCH(#REF!,H82)))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0" operator="containsText" id="{BD9F7F44-975C-421E-AED8-5BB6CF38BBDE}">
            <xm:f>NOT(ISERROR(SEARCH($W$6,H82)))</xm:f>
            <xm:f>$W$6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M82:N82 H82:K82 H83:I83</xm:sqref>
        </x14:conditionalFormatting>
        <x14:conditionalFormatting xmlns:xm="http://schemas.microsoft.com/office/excel/2006/main">
          <x14:cfRule type="containsText" priority="38" operator="containsText" id="{D86AEEF0-8FCD-4E33-A12B-17F62CADCAD2}">
            <xm:f>NOT(ISERROR(SEARCH($W$7,O82)))</xm:f>
            <xm:f>$W$7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9" operator="containsText" id="{9ADBA02A-BED5-43FA-8E6C-D1A670AA0FFC}">
            <xm:f>NOT(ISERROR(SEARCH(#REF!,O82)))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0" operator="containsText" id="{6B4E0AB4-B023-4CAB-B07B-B07221633FDD}">
            <xm:f>NOT(ISERROR(SEARCH($W$6,O82)))</xm:f>
            <xm:f>$W$6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O82</xm:sqref>
        </x14:conditionalFormatting>
        <x14:conditionalFormatting xmlns:xm="http://schemas.microsoft.com/office/excel/2006/main">
          <x14:cfRule type="containsText" priority="11" operator="containsText" id="{6D2C31D3-C51A-4CA8-8714-824C9E7098E7}">
            <xm:f>NOT(ISERROR(SEARCH($W$7,H118)))</xm:f>
            <xm:f>$W$7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2" operator="containsText" id="{789B942A-38EE-4A22-AFBF-3EB633D49126}">
            <xm:f>NOT(ISERROR(SEARCH(#REF!,H118)))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3" operator="containsText" id="{D7DF68D2-DFB5-4EE9-8A7C-FEEF1CC72843}">
            <xm:f>NOT(ISERROR(SEARCH($W$6,H118)))</xm:f>
            <xm:f>$W$6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H118:K130 M118:O130</xm:sqref>
        </x14:conditionalFormatting>
        <x14:conditionalFormatting xmlns:xm="http://schemas.microsoft.com/office/excel/2006/main">
          <x14:cfRule type="containsText" priority="5" operator="containsText" id="{3965C70A-1BA8-46C6-9F3B-C07B356E1CFF}">
            <xm:f>NOT(ISERROR(SEARCH($W$7,N103)))</xm:f>
            <xm:f>$W$7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6" operator="containsText" id="{D8D3A6AF-AC93-4BAE-AA5D-E22FBA7532F9}">
            <xm:f>NOT(ISERROR(SEARCH(#REF!,N103)))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7" operator="containsText" id="{B721129D-B2C1-49E9-904B-72F0E3C91E67}">
            <xm:f>NOT(ISERROR(SEARCH($W$6,N103)))</xm:f>
            <xm:f>$W$6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N103:N115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27957E-5862-470A-B2ED-3C1F298A08FA}">
          <x14:formula1>
            <xm:f>'План платежей'!$A$28:$A$46</xm:f>
          </x14:formula1>
          <xm:sqref>B4:B10 B64:B72 B18:B21 B24:B34 B13:B15 B37:B61 B103:B114 B75:B83 B86:B99 B118:B129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D3B9-E750-4AA9-84FC-359CF8C8004D}">
  <dimension ref="A1:E9"/>
  <sheetViews>
    <sheetView zoomScale="87" zoomScaleNormal="87" workbookViewId="0">
      <selection activeCell="E9" sqref="E9"/>
    </sheetView>
  </sheetViews>
  <sheetFormatPr defaultRowHeight="15" x14ac:dyDescent="0.25"/>
  <cols>
    <col min="1" max="1" width="3.140625" bestFit="1" customWidth="1"/>
    <col min="2" max="2" width="99.5703125" bestFit="1" customWidth="1"/>
    <col min="3" max="3" width="12.28515625" bestFit="1" customWidth="1"/>
    <col min="4" max="4" width="16" bestFit="1" customWidth="1"/>
    <col min="5" max="5" width="64.5703125" bestFit="1" customWidth="1"/>
  </cols>
  <sheetData>
    <row r="1" spans="1:5" x14ac:dyDescent="0.25">
      <c r="A1" t="s">
        <v>199</v>
      </c>
      <c r="B1" t="s">
        <v>200</v>
      </c>
      <c r="C1" t="s">
        <v>201</v>
      </c>
      <c r="D1" t="s">
        <v>202</v>
      </c>
      <c r="E1" t="s">
        <v>228</v>
      </c>
    </row>
    <row r="2" spans="1:5" x14ac:dyDescent="0.25">
      <c r="A2">
        <v>1</v>
      </c>
      <c r="B2" t="s">
        <v>203</v>
      </c>
      <c r="C2" t="s">
        <v>207</v>
      </c>
      <c r="D2" s="249">
        <v>45819</v>
      </c>
    </row>
    <row r="3" spans="1:5" x14ac:dyDescent="0.25">
      <c r="A3">
        <v>2</v>
      </c>
      <c r="B3" t="s">
        <v>205</v>
      </c>
      <c r="C3" t="s">
        <v>207</v>
      </c>
      <c r="D3" s="249">
        <v>45818</v>
      </c>
    </row>
    <row r="4" spans="1:5" x14ac:dyDescent="0.25">
      <c r="A4">
        <v>3</v>
      </c>
      <c r="B4" s="174" t="s">
        <v>206</v>
      </c>
      <c r="C4" t="s">
        <v>207</v>
      </c>
      <c r="D4" s="249">
        <v>45819</v>
      </c>
    </row>
    <row r="5" spans="1:5" x14ac:dyDescent="0.25">
      <c r="A5" s="174">
        <v>4</v>
      </c>
      <c r="B5" t="s">
        <v>204</v>
      </c>
      <c r="C5" t="s">
        <v>207</v>
      </c>
      <c r="D5" s="249">
        <v>45819</v>
      </c>
    </row>
    <row r="6" spans="1:5" x14ac:dyDescent="0.25">
      <c r="A6">
        <v>5</v>
      </c>
      <c r="B6" t="s">
        <v>209</v>
      </c>
      <c r="C6" t="s">
        <v>207</v>
      </c>
      <c r="D6" s="249">
        <v>45819</v>
      </c>
      <c r="E6" t="s">
        <v>227</v>
      </c>
    </row>
    <row r="7" spans="1:5" x14ac:dyDescent="0.25">
      <c r="A7">
        <v>6</v>
      </c>
      <c r="D7" s="249">
        <v>45819</v>
      </c>
      <c r="E7" t="s">
        <v>229</v>
      </c>
    </row>
    <row r="8" spans="1:5" x14ac:dyDescent="0.25">
      <c r="A8">
        <v>7</v>
      </c>
      <c r="D8" s="249">
        <v>45819</v>
      </c>
      <c r="E8" t="s">
        <v>230</v>
      </c>
    </row>
    <row r="9" spans="1:5" x14ac:dyDescent="0.25">
      <c r="A9">
        <v>8</v>
      </c>
      <c r="D9" s="249">
        <v>45819</v>
      </c>
      <c r="E9" s="174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Данные</vt:lpstr>
      <vt:lpstr>Зарплата</vt:lpstr>
      <vt:lpstr>План платежей</vt:lpstr>
      <vt:lpstr>Реестр</vt:lpstr>
      <vt:lpstr>Предложения по доработке</vt:lpstr>
      <vt:lpstr>'План платежей'!Область_печати</vt:lpstr>
      <vt:lpstr>Реестр!Область_печати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79258</dc:creator>
  <cp:lastModifiedBy>79258471130</cp:lastModifiedBy>
  <dcterms:created xsi:type="dcterms:W3CDTF">2025-04-29T10:58:47Z</dcterms:created>
  <dcterms:modified xsi:type="dcterms:W3CDTF">2025-06-17T10:40:38Z</dcterms:modified>
</cp:coreProperties>
</file>