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Ankita\Documents\CommandGit\Lets-Learn-Git\Sheet\"/>
    </mc:Choice>
  </mc:AlternateContent>
  <bookViews>
    <workbookView xWindow="0" yWindow="0" windowWidth="23040" windowHeight="9192" firstSheet="1" activeTab="4"/>
  </bookViews>
  <sheets>
    <sheet name="Sheet2" sheetId="2" state="hidden" r:id="rId1"/>
    <sheet name="Sheet1" sheetId="1" r:id="rId2"/>
    <sheet name="Sheet3" sheetId="3" r:id="rId3"/>
    <sheet name="Chart1" sheetId="8" state="hidden" r:id="rId4"/>
    <sheet name="Sheet5" sheetId="5" r:id="rId5"/>
    <sheet name="Sheet8" sheetId="10" state="hidden" r:id="rId6"/>
    <sheet name="Sheet6" sheetId="7" r:id="rId7"/>
    <sheet name="Sheet4" sheetId="6" r:id="rId8"/>
  </sheets>
  <definedNames>
    <definedName name="AniketFormula">OFFSET(Sheet6!$S$2,,,COUNTIF(Sheet6!$S$2:XFD43,"?*"))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6" i="5" l="1"/>
  <c r="AO56" i="5"/>
  <c r="AJ56" i="5"/>
  <c r="AL52" i="5"/>
  <c r="AJ52" i="5"/>
  <c r="AL49" i="5"/>
  <c r="AJ49" i="5"/>
  <c r="AL46" i="5"/>
  <c r="AJ46" i="5"/>
  <c r="AL43" i="5"/>
  <c r="AJ43" i="5"/>
  <c r="AJ29" i="5"/>
  <c r="AL20" i="5"/>
  <c r="AL24" i="5"/>
  <c r="AJ24" i="5"/>
  <c r="AJ16" i="5" l="1"/>
  <c r="AJ50" i="5" l="1"/>
  <c r="AM50" i="5"/>
  <c r="AM41" i="5"/>
  <c r="AJ41" i="5"/>
  <c r="AJ26" i="5" l="1"/>
  <c r="AJ51" i="5" l="1"/>
  <c r="AM48" i="5"/>
  <c r="AJ48" i="5"/>
  <c r="AJ44" i="5"/>
  <c r="AJ39" i="5"/>
  <c r="AM30" i="5"/>
  <c r="AJ30" i="5"/>
  <c r="AJ25" i="5"/>
  <c r="AL44" i="5" l="1"/>
  <c r="AL41" i="5"/>
  <c r="AM28" i="5"/>
  <c r="AJ28" i="5"/>
  <c r="AL30" i="5" l="1"/>
  <c r="AL25" i="5"/>
  <c r="AL51" i="5" l="1"/>
  <c r="AM44" i="5"/>
  <c r="AL39" i="5" l="1"/>
  <c r="AL32" i="5"/>
  <c r="AJ45" i="5" l="1"/>
  <c r="AM45" i="5"/>
  <c r="AM47" i="5" l="1"/>
  <c r="AJ47" i="5"/>
  <c r="AL48" i="5"/>
  <c r="AL28" i="5" l="1"/>
  <c r="AL26" i="5" l="1"/>
  <c r="AL50" i="5" l="1"/>
  <c r="F13" i="7" l="1"/>
  <c r="E56" i="10" l="1"/>
  <c r="F56" i="10"/>
  <c r="F17" i="7" l="1"/>
  <c r="L62" i="6"/>
  <c r="CB53" i="6"/>
  <c r="CA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CC52" i="6"/>
  <c r="BZ52" i="6"/>
  <c r="CC51" i="6"/>
  <c r="BZ51" i="6"/>
  <c r="CC50" i="6"/>
  <c r="BZ50" i="6"/>
  <c r="CC49" i="6"/>
  <c r="BZ49" i="6"/>
  <c r="CC48" i="6"/>
  <c r="BZ48" i="6"/>
  <c r="CC47" i="6"/>
  <c r="BZ47" i="6"/>
  <c r="CC46" i="6"/>
  <c r="BZ46" i="6"/>
  <c r="CC45" i="6"/>
  <c r="BZ45" i="6"/>
  <c r="CC44" i="6"/>
  <c r="BZ44" i="6"/>
  <c r="CC43" i="6"/>
  <c r="BZ43" i="6"/>
  <c r="CC42" i="6"/>
  <c r="BZ42" i="6"/>
  <c r="CC41" i="6"/>
  <c r="BZ41" i="6"/>
  <c r="CC40" i="6"/>
  <c r="BZ40" i="6"/>
  <c r="CC39" i="6"/>
  <c r="BZ39" i="6"/>
  <c r="CC38" i="6"/>
  <c r="BZ38" i="6"/>
  <c r="CC37" i="6"/>
  <c r="BZ37" i="6"/>
  <c r="CC36" i="6"/>
  <c r="BZ36" i="6"/>
  <c r="CC35" i="6"/>
  <c r="BZ35" i="6"/>
  <c r="CC34" i="6"/>
  <c r="BZ34" i="6"/>
  <c r="CC33" i="6"/>
  <c r="BZ33" i="6"/>
  <c r="CC32" i="6"/>
  <c r="BZ32" i="6"/>
  <c r="CC31" i="6"/>
  <c r="BZ31" i="6"/>
  <c r="CC30" i="6"/>
  <c r="BZ30" i="6"/>
  <c r="CC29" i="6"/>
  <c r="BZ29" i="6"/>
  <c r="CC28" i="6"/>
  <c r="BZ28" i="6"/>
  <c r="CC27" i="6"/>
  <c r="BZ27" i="6"/>
  <c r="CC26" i="6"/>
  <c r="BZ26" i="6"/>
  <c r="CC25" i="6"/>
  <c r="BZ25" i="6"/>
  <c r="CC24" i="6"/>
  <c r="BZ24" i="6"/>
  <c r="CC23" i="6"/>
  <c r="BZ23" i="6"/>
  <c r="CC22" i="6"/>
  <c r="BZ22" i="6"/>
  <c r="CC21" i="6"/>
  <c r="BZ21" i="6"/>
  <c r="CC20" i="6"/>
  <c r="BZ20" i="6"/>
  <c r="CC19" i="6"/>
  <c r="BZ19" i="6"/>
  <c r="CC18" i="6"/>
  <c r="BZ18" i="6"/>
  <c r="CC17" i="6"/>
  <c r="BZ17" i="6"/>
  <c r="CC16" i="6"/>
  <c r="CC53" i="6" s="1"/>
  <c r="BZ16" i="6"/>
  <c r="BZ53" i="6" s="1"/>
  <c r="Q2" i="7"/>
  <c r="Q3" i="7" l="1"/>
  <c r="Q4" i="7" l="1"/>
  <c r="Q5" i="7" s="1"/>
  <c r="Q6" i="7" l="1"/>
  <c r="AK35" i="5"/>
  <c r="AN35" i="5"/>
  <c r="AP35" i="5"/>
  <c r="F21" i="7"/>
  <c r="L60" i="5"/>
  <c r="M60" i="5"/>
  <c r="N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K49" i="6"/>
  <c r="AN49" i="6"/>
  <c r="AK41" i="5"/>
  <c r="Q7" i="7" l="1"/>
  <c r="AK52" i="5"/>
  <c r="O60" i="5"/>
  <c r="F19" i="7"/>
  <c r="AL29" i="5"/>
  <c r="AN48" i="5"/>
  <c r="AK46" i="5"/>
  <c r="AN46" i="5"/>
  <c r="AP46" i="5"/>
  <c r="AN52" i="5"/>
  <c r="AK59" i="5"/>
  <c r="AN59" i="5"/>
  <c r="AP59" i="5"/>
  <c r="AK53" i="5"/>
  <c r="AN53" i="5"/>
  <c r="AP53" i="5"/>
  <c r="AK58" i="5"/>
  <c r="AN58" i="5"/>
  <c r="AP58" i="5"/>
  <c r="AK57" i="5"/>
  <c r="AN57" i="5"/>
  <c r="AP57" i="5"/>
  <c r="AN17" i="5"/>
  <c r="AN18" i="5"/>
  <c r="AN19" i="5"/>
  <c r="AN20" i="5"/>
  <c r="AN21" i="5"/>
  <c r="AN22" i="5"/>
  <c r="AN23" i="5"/>
  <c r="AN25" i="5"/>
  <c r="AN26" i="5"/>
  <c r="AN27" i="5"/>
  <c r="AN28" i="5"/>
  <c r="AN29" i="5"/>
  <c r="AN30" i="5"/>
  <c r="AN31" i="5"/>
  <c r="AN32" i="5"/>
  <c r="AN33" i="5"/>
  <c r="AN34" i="5"/>
  <c r="AN36" i="5"/>
  <c r="AN37" i="5"/>
  <c r="AN38" i="5"/>
  <c r="AN39" i="5"/>
  <c r="AN40" i="5"/>
  <c r="AN41" i="5"/>
  <c r="AN42" i="5"/>
  <c r="AN43" i="5"/>
  <c r="AN44" i="5"/>
  <c r="AN45" i="5"/>
  <c r="AN47" i="5"/>
  <c r="AN49" i="5"/>
  <c r="AN50" i="5"/>
  <c r="AN51" i="5"/>
  <c r="AN54" i="5"/>
  <c r="AN55" i="5"/>
  <c r="AN56" i="5"/>
  <c r="AO60" i="5"/>
  <c r="AP16" i="5"/>
  <c r="AP17" i="5"/>
  <c r="AP18" i="5"/>
  <c r="AP19" i="5"/>
  <c r="AP20" i="5"/>
  <c r="AP22" i="5"/>
  <c r="AP23" i="5"/>
  <c r="AP24" i="5"/>
  <c r="AP25" i="5"/>
  <c r="AP26" i="5"/>
  <c r="AP27" i="5"/>
  <c r="AP21" i="5"/>
  <c r="AP28" i="5"/>
  <c r="AP29" i="5"/>
  <c r="AP30" i="5"/>
  <c r="AP31" i="5"/>
  <c r="AP32" i="5"/>
  <c r="AP33" i="5"/>
  <c r="AP34" i="5"/>
  <c r="AP36" i="5"/>
  <c r="AP37" i="5"/>
  <c r="AP38" i="5"/>
  <c r="AP39" i="5"/>
  <c r="AP40" i="5"/>
  <c r="AP41" i="5"/>
  <c r="AP42" i="5"/>
  <c r="AP43" i="5"/>
  <c r="AP44" i="5"/>
  <c r="AP45" i="5"/>
  <c r="AP47" i="5"/>
  <c r="AP48" i="5"/>
  <c r="AP49" i="5"/>
  <c r="AP50" i="5"/>
  <c r="AP51" i="5"/>
  <c r="AP52" i="5"/>
  <c r="AP54" i="5"/>
  <c r="AP55" i="5"/>
  <c r="AP56" i="5"/>
  <c r="AK17" i="5"/>
  <c r="AK18" i="5"/>
  <c r="AK19" i="5"/>
  <c r="AK20" i="5"/>
  <c r="AK22" i="5"/>
  <c r="AK23" i="5"/>
  <c r="AK24" i="5"/>
  <c r="AK25" i="5"/>
  <c r="AK26" i="5"/>
  <c r="AK27" i="5"/>
  <c r="AK21" i="5"/>
  <c r="AK28" i="5"/>
  <c r="AK29" i="5"/>
  <c r="AK30" i="5"/>
  <c r="AK31" i="5"/>
  <c r="AK32" i="5"/>
  <c r="AK33" i="5"/>
  <c r="AK34" i="5"/>
  <c r="AK36" i="5"/>
  <c r="AK37" i="5"/>
  <c r="AK38" i="5"/>
  <c r="AK39" i="5"/>
  <c r="AK40" i="5"/>
  <c r="AK42" i="5"/>
  <c r="AK43" i="5"/>
  <c r="AK44" i="5"/>
  <c r="AK45" i="5"/>
  <c r="AK47" i="5"/>
  <c r="AK48" i="5"/>
  <c r="AK49" i="5"/>
  <c r="AK50" i="5"/>
  <c r="AK51" i="5"/>
  <c r="AK54" i="5"/>
  <c r="AK55" i="5"/>
  <c r="AK56" i="5"/>
  <c r="AK16" i="5"/>
  <c r="AJ60" i="5"/>
  <c r="AM60" i="5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L55" i="6"/>
  <c r="M55" i="6"/>
  <c r="AK52" i="6"/>
  <c r="AK53" i="6"/>
  <c r="AK50" i="6"/>
  <c r="AK36" i="6"/>
  <c r="AK37" i="6"/>
  <c r="AK38" i="6"/>
  <c r="AK39" i="6"/>
  <c r="AK40" i="6"/>
  <c r="AK41" i="6"/>
  <c r="AK42" i="6"/>
  <c r="AK43" i="6"/>
  <c r="AK44" i="6"/>
  <c r="AK45" i="6"/>
  <c r="AK26" i="6"/>
  <c r="AK27" i="6"/>
  <c r="AK28" i="6"/>
  <c r="AK29" i="6"/>
  <c r="AK30" i="6"/>
  <c r="AK31" i="6"/>
  <c r="AK32" i="6"/>
  <c r="AK33" i="6"/>
  <c r="AK34" i="6"/>
  <c r="AK22" i="6"/>
  <c r="AK23" i="6"/>
  <c r="AK24" i="6"/>
  <c r="AK25" i="6"/>
  <c r="AK18" i="6"/>
  <c r="AK19" i="6"/>
  <c r="AK20" i="6"/>
  <c r="AK54" i="6"/>
  <c r="AK35" i="6"/>
  <c r="AK46" i="6"/>
  <c r="AK21" i="6"/>
  <c r="AK47" i="6"/>
  <c r="AK48" i="6"/>
  <c r="AK51" i="6"/>
  <c r="AM55" i="6"/>
  <c r="AL55" i="6"/>
  <c r="AN48" i="6"/>
  <c r="AN47" i="6"/>
  <c r="AN21" i="6"/>
  <c r="AN46" i="6"/>
  <c r="AN35" i="6"/>
  <c r="AN54" i="6"/>
  <c r="AN20" i="6"/>
  <c r="AN19" i="6"/>
  <c r="AN18" i="6"/>
  <c r="AN25" i="6"/>
  <c r="AN24" i="6"/>
  <c r="AN23" i="6"/>
  <c r="AN22" i="6"/>
  <c r="AN34" i="6"/>
  <c r="AN33" i="6"/>
  <c r="AN32" i="6"/>
  <c r="AN31" i="6"/>
  <c r="AN30" i="6"/>
  <c r="AN29" i="6"/>
  <c r="AN28" i="6"/>
  <c r="AN27" i="6"/>
  <c r="AN26" i="6"/>
  <c r="AN45" i="6"/>
  <c r="AN44" i="6"/>
  <c r="AN43" i="6"/>
  <c r="AN42" i="6"/>
  <c r="AN41" i="6"/>
  <c r="AN40" i="6"/>
  <c r="AN39" i="6"/>
  <c r="AN38" i="6"/>
  <c r="AN37" i="6"/>
  <c r="AN36" i="6"/>
  <c r="AN50" i="6"/>
  <c r="AN53" i="6"/>
  <c r="AN52" i="6"/>
  <c r="AN51" i="6"/>
  <c r="AN16" i="5"/>
  <c r="O45" i="3"/>
  <c r="K45" i="3"/>
  <c r="M45" i="3"/>
  <c r="L45" i="3"/>
  <c r="U4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O29" i="3"/>
  <c r="J45" i="3"/>
  <c r="O40" i="3"/>
  <c r="O38" i="3"/>
  <c r="O22" i="3"/>
  <c r="O23" i="3"/>
  <c r="O24" i="3"/>
  <c r="O25" i="3"/>
  <c r="O12" i="3"/>
  <c r="O13" i="3"/>
  <c r="O14" i="3"/>
  <c r="O15" i="3"/>
  <c r="O16" i="3"/>
  <c r="O17" i="3"/>
  <c r="O18" i="3"/>
  <c r="O19" i="3"/>
  <c r="O20" i="3"/>
  <c r="O21" i="3"/>
  <c r="O26" i="3"/>
  <c r="O27" i="3"/>
  <c r="O28" i="3"/>
  <c r="O30" i="3"/>
  <c r="O31" i="3"/>
  <c r="O32" i="3"/>
  <c r="O33" i="3"/>
  <c r="O34" i="3"/>
  <c r="O35" i="3"/>
  <c r="O36" i="3"/>
  <c r="O37" i="3"/>
  <c r="O39" i="3"/>
  <c r="E29" i="1"/>
  <c r="N45" i="3"/>
  <c r="R10" i="1"/>
  <c r="H20" i="1"/>
  <c r="H21" i="1"/>
  <c r="H22" i="1"/>
  <c r="H23" i="1"/>
  <c r="H24" i="1"/>
  <c r="H25" i="1"/>
  <c r="H26" i="1"/>
  <c r="H27" i="1"/>
  <c r="H28" i="1"/>
  <c r="H9" i="1"/>
  <c r="H10" i="1"/>
  <c r="H29" i="1" s="1"/>
  <c r="H11" i="1"/>
  <c r="H12" i="1"/>
  <c r="H13" i="1"/>
  <c r="H14" i="1"/>
  <c r="H15" i="1"/>
  <c r="H16" i="1"/>
  <c r="H17" i="1"/>
  <c r="H18" i="1"/>
  <c r="H19" i="1"/>
  <c r="H8" i="1"/>
  <c r="B9" i="1"/>
  <c r="H1" i="1"/>
  <c r="D29" i="1"/>
  <c r="F3" i="1"/>
  <c r="F23" i="7" l="1"/>
  <c r="AK60" i="5"/>
  <c r="AL60" i="5"/>
  <c r="AN24" i="5"/>
  <c r="F15" i="7"/>
  <c r="Q8" i="7"/>
  <c r="AN55" i="6"/>
  <c r="AN60" i="5"/>
  <c r="AK55" i="6"/>
  <c r="K62" i="5" l="1"/>
  <c r="Q9" i="7"/>
  <c r="Q10" i="7" s="1"/>
  <c r="Q11" i="7" l="1"/>
  <c r="Q12" i="7" s="1"/>
  <c r="Q13" i="7" s="1"/>
  <c r="Q14" i="7" l="1"/>
  <c r="Q15" i="7" l="1"/>
  <c r="Q16" i="7" l="1"/>
  <c r="Q17" i="7" s="1"/>
  <c r="Q18" i="7" l="1"/>
  <c r="Q19" i="7" l="1"/>
  <c r="Q20" i="7" l="1"/>
  <c r="Q21" i="7" l="1"/>
  <c r="Q22" i="7" l="1"/>
  <c r="Q23" i="7" l="1"/>
  <c r="Q24" i="7" l="1"/>
  <c r="Q25" i="7" l="1"/>
  <c r="Q26" i="7" l="1"/>
  <c r="Q27" i="7" l="1"/>
  <c r="Q28" i="7" l="1"/>
  <c r="Q29" i="7" l="1"/>
  <c r="Q30" i="7" l="1"/>
  <c r="Q31" i="7" l="1"/>
  <c r="Q32" i="7" l="1"/>
  <c r="Q33" i="7" l="1"/>
  <c r="Q34" i="7" s="1"/>
  <c r="Q35" i="7" l="1"/>
  <c r="Q36" i="7" l="1"/>
  <c r="Q37" i="7" l="1"/>
  <c r="Q38" i="7" s="1"/>
  <c r="Q39" i="7" l="1"/>
  <c r="Q40" i="7" l="1"/>
  <c r="Q41" i="7" l="1"/>
  <c r="Q42" i="7" l="1"/>
  <c r="Q43" i="7" l="1"/>
  <c r="Q44" i="7" l="1"/>
  <c r="Q45" i="7" l="1"/>
  <c r="S37" i="7" l="1"/>
  <c r="S3" i="7"/>
  <c r="S4" i="7"/>
  <c r="S5" i="7"/>
  <c r="S2" i="7"/>
  <c r="S6" i="7"/>
  <c r="S7" i="7"/>
  <c r="S8" i="7"/>
  <c r="S12" i="7"/>
  <c r="S9" i="7"/>
  <c r="S16" i="7"/>
  <c r="S39" i="7"/>
  <c r="S43" i="7"/>
  <c r="S45" i="7"/>
  <c r="S10" i="7"/>
  <c r="S11" i="7"/>
  <c r="S13" i="7"/>
  <c r="S14" i="7"/>
  <c r="S18" i="7"/>
  <c r="S15" i="7"/>
  <c r="S17" i="7"/>
  <c r="S19" i="7"/>
  <c r="S22" i="7"/>
  <c r="S20" i="7"/>
  <c r="S21" i="7"/>
  <c r="S23" i="7"/>
  <c r="S24" i="7"/>
  <c r="S27" i="7"/>
  <c r="S25" i="7"/>
  <c r="S26" i="7"/>
  <c r="S28" i="7"/>
  <c r="S30" i="7"/>
  <c r="S29" i="7"/>
  <c r="S31" i="7"/>
  <c r="S32" i="7"/>
  <c r="S34" i="7"/>
  <c r="S35" i="7"/>
  <c r="S38" i="7"/>
  <c r="S36" i="7"/>
  <c r="S33" i="7"/>
  <c r="S44" i="7"/>
  <c r="S40" i="7"/>
  <c r="S42" i="7"/>
  <c r="S41" i="7"/>
  <c r="T2" i="7" l="1"/>
</calcChain>
</file>

<file path=xl/comments1.xml><?xml version="1.0" encoding="utf-8"?>
<comments xmlns="http://schemas.openxmlformats.org/spreadsheetml/2006/main">
  <authors>
    <author>Aniket</author>
    <author>admin</author>
  </authors>
  <commentList>
    <comment ref="AL16" authorId="0" shapeId="0">
      <text>
        <r>
          <rPr>
            <b/>
            <sz val="9"/>
            <color indexed="81"/>
            <rFont val="Tahoma"/>
            <charset val="1"/>
          </rPr>
          <t>LOAN DATES: 
CHETAN BANDU KADAM 
1) 13 NOV 30000</t>
        </r>
      </text>
    </comment>
    <comment ref="AL20" authorId="1" shapeId="0">
      <text>
        <r>
          <rPr>
            <b/>
            <sz val="9"/>
            <color indexed="81"/>
            <rFont val="Tahoma"/>
            <charset val="1"/>
          </rPr>
          <t xml:space="preserve">1) 95000  17 Dec 2023 </t>
        </r>
      </text>
    </comment>
    <comment ref="AL24" authorId="0" shapeId="0">
      <text>
        <r>
          <rPr>
            <b/>
            <sz val="9"/>
            <color indexed="81"/>
            <rFont val="Tahoma"/>
            <family val="2"/>
          </rPr>
          <t>Ganesh Ramchandra More
1) 16 Jan 2022 : 10000
2) 13 Feb 2022 : 10000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Tahoma"/>
            <family val="2"/>
          </rPr>
          <t>Total : 20000
3) 17 Dec 2023 : 14200</t>
        </r>
      </text>
    </comment>
    <comment ref="AL25" authorId="0" shapeId="0">
      <text>
        <r>
          <rPr>
            <b/>
            <sz val="9"/>
            <color indexed="81"/>
            <rFont val="Tahoma"/>
            <family val="2"/>
          </rPr>
          <t>Suraj Laxman Chorge:
17 July 2022: 10000
17 Sep 2023:10000
Total: 20000
Paid : 20000  !3 Nov 2023</t>
        </r>
      </text>
    </comment>
    <comment ref="AL26" authorId="0" shapeId="0">
      <text>
        <r>
          <rPr>
            <b/>
            <sz val="9"/>
            <color indexed="81"/>
            <rFont val="Tahoma"/>
            <family val="2"/>
          </rPr>
          <t xml:space="preserve">Shankar Bandu Patil:
12 June 2022 : 5000
15 July 2022 : 5000
14 Aug 2022 : 15000
Total : 25000
paid : 20000
remaining : 5000
15 jan 2023 :5000
12 Feb 2023 : 20000
Total : 30000
</t>
        </r>
      </text>
    </comment>
    <comment ref="AL28" authorId="0" shapeId="0">
      <text>
        <r>
          <rPr>
            <b/>
            <sz val="9"/>
            <color indexed="81"/>
            <rFont val="Tahoma"/>
            <family val="2"/>
          </rPr>
          <t>Shivaji Jadhav:
1)15 may 2022 : 20000
2) 15 July 2022 : 25000
Total:45000
paid: 10000
remaining: 35000
3) 12 FEB 2023 (sanjay chorage) 5000
TOTAL: 40000
Paid: 35000  18 june 2023
Paid: 5000 15 OCT 2023
Total : 0</t>
        </r>
      </text>
    </comment>
    <comment ref="AL29" authorId="0" shapeId="0">
      <text>
        <r>
          <rPr>
            <b/>
            <sz val="9"/>
            <color indexed="81"/>
            <rFont val="Tahoma"/>
            <family val="2"/>
          </rPr>
          <t>Parshuram Ramchandra Yadav
1)13 March : 10000
Total : 10000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2) 17 Dec 2023 : 8700 
Total:18700
</t>
        </r>
      </text>
    </comment>
    <comment ref="AL30" authorId="0" shapeId="0">
      <text>
        <r>
          <rPr>
            <b/>
            <sz val="9"/>
            <color indexed="81"/>
            <rFont val="Tahoma"/>
            <family val="2"/>
          </rPr>
          <t>Sharad Salunkhe(Pappu) 
14 Aug : 30000
Total  30000
paid: 20000 (15 jan 2023)
17 sept 2023:20000
Total:30000
Paid: 30000  13 Nov 2023</t>
        </r>
      </text>
    </comment>
    <comment ref="AL32" authorId="0" shapeId="0">
      <text>
        <r>
          <rPr>
            <b/>
            <sz val="9"/>
            <color indexed="81"/>
            <rFont val="Tahoma"/>
            <charset val="1"/>
          </rPr>
          <t>Aniket:</t>
        </r>
        <r>
          <rPr>
            <sz val="9"/>
            <color indexed="81"/>
            <rFont val="Tahoma"/>
            <charset val="1"/>
          </rPr>
          <t xml:space="preserve">
1) 12 march 2023 
 Total: 63000
2) 14 march 2023:
 18000
TOTAL: 81000
1) 11 june 2023
PAID:18000   
TOTAL:63000</t>
        </r>
      </text>
    </comment>
    <comment ref="AL39" authorId="0" shapeId="0">
      <text>
        <r>
          <rPr>
            <b/>
            <sz val="9"/>
            <color indexed="81"/>
            <rFont val="Tahoma"/>
            <family val="2"/>
          </rPr>
          <t>Manohar Tukaram Dukhande
1) 16 Jan 2022  : 2000
2) 13 Feb 2022  : 8000
3) 15 may 2022 : 2000
4) 14 Aug 2022  : 2000
5) 14 May 2023: 2000
Total : 16000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41" authorId="0" shapeId="0">
      <text>
        <r>
          <rPr>
            <b/>
            <sz val="9"/>
            <color indexed="81"/>
            <rFont val="Tahoma"/>
            <family val="2"/>
          </rPr>
          <t>Maya Babaso Chorge
1) 16 Jan 2022 : 6000
2) 15 May 2022: 20000
paid: 26000 (18-12-2022
Total : 26000
remaining: 0
3)14 May 2023 : 5000
4) 15 June 2023: 5000
Total: 10000
Paid:3000   (16 July 2023)
Reamaining : 7000
5) 15 OCT 2023 : 25000 
Total:32000
Paid: 30000  [ 13th Nov 2023 ]
remaining : 2000
Paid : 2000
Remaining : 0</t>
        </r>
      </text>
    </comment>
    <comment ref="AL43" authorId="1" shapeId="0">
      <text>
        <r>
          <rPr>
            <b/>
            <sz val="9"/>
            <color indexed="81"/>
            <rFont val="Tahoma"/>
            <family val="2"/>
          </rPr>
          <t xml:space="preserve">Samrth umesh more 
1) 17 Dec 2023: 6780
</t>
        </r>
      </text>
    </comment>
    <comment ref="AL44" authorId="0" shapeId="0">
      <text>
        <r>
          <rPr>
            <b/>
            <sz val="9"/>
            <color indexed="81"/>
            <rFont val="Tahoma"/>
            <family val="2"/>
          </rPr>
          <t xml:space="preserve">Nivash Shankar Patil
1) 13 Mar 2022 : 10000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Total : 10000
2) 16 Apr 2023 : 10000
Total:10000
Paid: 10000
remaining = 0
3) 16 July 2023 : 15000
Paid:15000  13 Aug 2023
Remaining: 0
4) 17 Sep 2023:15000
Total:15000</t>
        </r>
      </text>
    </comment>
    <comment ref="AL45" authorId="0" shapeId="0">
      <text>
        <r>
          <rPr>
            <b/>
            <sz val="9"/>
            <color indexed="81"/>
            <rFont val="Tahoma"/>
            <family val="2"/>
          </rPr>
          <t>Durvesh Shankar Kalugade
11 Nov 2022 : 30000
Total : 30000
paid:10000 (15 jan 2023)
paid:20000(16 Apr 2023)</t>
        </r>
      </text>
    </comment>
    <comment ref="AL46" authorId="0" shapeId="0">
      <text>
        <r>
          <rPr>
            <b/>
            <sz val="9"/>
            <color indexed="81"/>
            <rFont val="Tahoma"/>
            <family val="2"/>
          </rPr>
          <t>Kisan Vitthal Kadam
1) 13 Mar 2022 : 5000
2) 15 May 2022 : 10000
Total : 15000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3) 17 Dec 2023 : 13700 
Total:28700</t>
        </r>
      </text>
    </comment>
    <comment ref="AL47" authorId="0" shapeId="0">
      <text>
        <r>
          <rPr>
            <b/>
            <sz val="9"/>
            <color indexed="81"/>
            <rFont val="Tahoma"/>
            <charset val="1"/>
          </rPr>
          <t>Swati Dheb
1) 13 nov 2022 : 20000
Total : 20000
paid: 5000 (18 dec2022)
paid: 5000 (15 jan 2023)
paid : 5000 (12 Feb 2023 )
paid:5000(12 March 2023)
Total : 0</t>
        </r>
      </text>
    </comment>
    <comment ref="AL48" authorId="0" shapeId="0">
      <text>
        <r>
          <rPr>
            <b/>
            <sz val="9"/>
            <color indexed="81"/>
            <rFont val="Tahoma"/>
            <family val="2"/>
          </rPr>
          <t>Aarti Dilip chorge
1) 13 March 2022 : 10000
Total : 10000
paid:10000(18 dec 2022
2) 12 March 2023 : 15000
remaining :15000
Paid:10000  13 Aug 2023
Remaining: 5000
Paid : 5000 [13 NOV 2023]</t>
        </r>
      </text>
    </comment>
    <comment ref="AL49" authorId="0" shapeId="0">
      <text>
        <r>
          <rPr>
            <b/>
            <sz val="9"/>
            <color indexed="81"/>
            <rFont val="Tahoma"/>
            <family val="2"/>
          </rPr>
          <t>Manisha Kiran Kamble
1) 16 Jan 2022 : 6000
Total : 6000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 Dec 2023 : 4520
Total:10520</t>
        </r>
      </text>
    </comment>
    <comment ref="AL50" authorId="0" shapeId="0">
      <text>
        <r>
          <rPr>
            <b/>
            <sz val="9"/>
            <color indexed="81"/>
            <rFont val="Tahoma"/>
            <family val="2"/>
          </rPr>
          <t>Nayan Abaso Kajare
1) 13 Feb 2022  : 10000(Amruta)
2) 17 Apr 2022  : 5000(Nayan)
3) 18 Sept 2022: 10000(Amruta)
4) 18 dec 2022 : 5000(nayan )
Total : 30000
paid:2000(Amruta)
paid: 1000(Amruta)
remain: 27000
paid : 2000 (12 Feb 2023)--Amruta
Total : 25000
Paid : 10000 [13th NOV 2023]
Total: 15000</t>
        </r>
      </text>
    </comment>
    <comment ref="AL51" authorId="1" shapeId="0">
      <text>
        <r>
          <rPr>
            <b/>
            <sz val="9"/>
            <color indexed="81"/>
            <rFont val="Tahoma"/>
            <charset val="1"/>
          </rPr>
          <t xml:space="preserve">Surekha Shankar patil 
1) 10000  13 Aug 2023 </t>
        </r>
      </text>
    </comment>
    <comment ref="AL52" authorId="0" shapeId="0">
      <text>
        <r>
          <rPr>
            <b/>
            <sz val="9"/>
            <color indexed="81"/>
            <rFont val="Tahoma"/>
            <family val="2"/>
          </rPr>
          <t>Nitin Salunkhe
1) 16 Jan 2022 : 5000
2) 13 Feb 2022 : 10000
Total : 15000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3) 17 Dec 2023 : 6400
Total: 21400
</t>
        </r>
      </text>
    </comment>
    <comment ref="AL56" authorId="0" shapeId="0">
      <text>
        <r>
          <rPr>
            <b/>
            <sz val="9"/>
            <color indexed="81"/>
            <rFont val="Tahoma"/>
            <family val="2"/>
          </rPr>
          <t>vilas kadam
1) 17 April 2022 : 39000
Total : 39000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2)17 Dec 2023 : 6000
Total:45000</t>
        </r>
      </text>
    </comment>
  </commentList>
</comments>
</file>

<file path=xl/sharedStrings.xml><?xml version="1.0" encoding="utf-8"?>
<sst xmlns="http://schemas.openxmlformats.org/spreadsheetml/2006/main" count="693" uniqueCount="256">
  <si>
    <t>Year:</t>
  </si>
  <si>
    <t>Month: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</si>
  <si>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</si>
  <si>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</si>
  <si>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</si>
  <si>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</si>
  <si>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</si>
  <si>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</si>
  <si>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</si>
  <si>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</si>
  <si>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</si>
  <si>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</si>
  <si>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</si>
  <si>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</si>
  <si>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SR.NO</t>
  </si>
  <si>
    <t>NAME</t>
  </si>
  <si>
    <t>VARGANI</t>
  </si>
  <si>
    <t>VYAJ</t>
  </si>
  <si>
    <t>KARJ</t>
  </si>
  <si>
    <t>DATE</t>
  </si>
  <si>
    <t>Aniket Suresh Jadhav</t>
  </si>
  <si>
    <t>Vikram Bandu Jadhav</t>
  </si>
  <si>
    <t>Ankita Suresh Jadhav</t>
  </si>
  <si>
    <t>Avishkar Shivaji Harugade</t>
  </si>
  <si>
    <t>Suyash Baban Gujar</t>
  </si>
  <si>
    <t>Pranav Ambre</t>
  </si>
  <si>
    <t>Kiran Balasaheb Kharkhele</t>
  </si>
  <si>
    <t>TOTAL</t>
  </si>
  <si>
    <t>PARAT PHED</t>
  </si>
  <si>
    <t>DAND</t>
  </si>
  <si>
    <t>TOTAL KARJ</t>
  </si>
  <si>
    <t>Chetan Bandu Kadam</t>
  </si>
  <si>
    <t>Aarya Baburao Yadav</t>
  </si>
  <si>
    <t>Ganesh Ramchandra More</t>
  </si>
  <si>
    <t>Suraj Laxam Chorage</t>
  </si>
  <si>
    <t>Shankar bandu patil</t>
  </si>
  <si>
    <t>Kishore Eshwar Shinde</t>
  </si>
  <si>
    <t>Suresh Baburao Pawar</t>
  </si>
  <si>
    <t>Savita Baburao Yadav</t>
  </si>
  <si>
    <t>Vijay Anandrao Kadam</t>
  </si>
  <si>
    <t>Vighnesh Vikram Jadhav</t>
  </si>
  <si>
    <t>Nalini Lakshman Adanghle</t>
  </si>
  <si>
    <t xml:space="preserve">Manohar Tukaram Dukhande </t>
  </si>
  <si>
    <t>Swara Sunil Arakale</t>
  </si>
  <si>
    <t xml:space="preserve"> Maya Babaso Chorge</t>
  </si>
  <si>
    <t>Aaryan Yogesh  Mohite</t>
  </si>
  <si>
    <t>Samarth Umesh More</t>
  </si>
  <si>
    <t>Nivas Shankar Patil</t>
  </si>
  <si>
    <t>Swati Sachin dheb</t>
  </si>
  <si>
    <t>Aarti Dilip Chorage</t>
  </si>
  <si>
    <t>Manisha Kiran Kambale</t>
  </si>
  <si>
    <t xml:space="preserve">Kusum Kailas Bhojane </t>
  </si>
  <si>
    <t>Sunanda Ravindra Kadam</t>
  </si>
  <si>
    <t>SHREE JYOTIRLING FUND</t>
  </si>
  <si>
    <t>MONTH:</t>
  </si>
  <si>
    <t>Parshuram Ramchandra Yadav</t>
  </si>
  <si>
    <t>Suresh Shamrao Kadam</t>
  </si>
  <si>
    <t>Ganesh Pandurang Patil</t>
  </si>
  <si>
    <t>Nayan Aboso Kajare</t>
  </si>
  <si>
    <t>Vilas Baburao  Kadam</t>
  </si>
  <si>
    <t>Vijay     Kadam (Chentan)</t>
  </si>
  <si>
    <t>Tanaji Kadam(Chetan)</t>
  </si>
  <si>
    <t>TOTAL(V^2)</t>
  </si>
  <si>
    <t>Sanket Keshav Patil</t>
  </si>
  <si>
    <t>Durvesh Shankar Kalugade</t>
  </si>
  <si>
    <t>Tushar Dipak Mane</t>
  </si>
  <si>
    <t>Nitin Salunkhe</t>
  </si>
  <si>
    <t xml:space="preserve">SHREE JYOTIRLING FUND </t>
  </si>
  <si>
    <t>Suresh Baburao Jadhav</t>
  </si>
  <si>
    <t>JAN2</t>
  </si>
  <si>
    <t>FEB3</t>
  </si>
  <si>
    <t>Rajesh Balu Pawar</t>
  </si>
  <si>
    <t>VYAJ2</t>
  </si>
  <si>
    <t>TOTAL(V^2)3</t>
  </si>
  <si>
    <t>KARJ4</t>
  </si>
  <si>
    <t>PARAT PHED5</t>
  </si>
  <si>
    <t>TOTAL KARJ6</t>
  </si>
  <si>
    <t>MAR4</t>
  </si>
  <si>
    <t>APR5</t>
  </si>
  <si>
    <t>MAY6</t>
  </si>
  <si>
    <t>JUN7</t>
  </si>
  <si>
    <t>JUL8</t>
  </si>
  <si>
    <t>AUG9</t>
  </si>
  <si>
    <t>SEP10</t>
  </si>
  <si>
    <t>OCT11</t>
  </si>
  <si>
    <t>NOV12</t>
  </si>
  <si>
    <t>DEC13</t>
  </si>
  <si>
    <t>Surekha Shankar Patil</t>
  </si>
  <si>
    <t>Ananda Balu Nirmal</t>
  </si>
  <si>
    <t>TOTAL BALANCE IN FUND</t>
  </si>
  <si>
    <t>SEARCH</t>
  </si>
  <si>
    <t>HELP</t>
  </si>
  <si>
    <t>DATA OF FUNDERS</t>
  </si>
  <si>
    <t>NAME:</t>
  </si>
  <si>
    <t>MONTHLY INVESTMENT:</t>
  </si>
  <si>
    <t>TOTAL AMOUNT INVEST:</t>
  </si>
  <si>
    <t>TOTAL INTEREST PAID:</t>
  </si>
  <si>
    <t>TOTAL LOAN:</t>
  </si>
  <si>
    <t>LOAN RECOVER TILL NOW:</t>
  </si>
  <si>
    <t>Vijay Kadam(Chetan)</t>
  </si>
  <si>
    <t>Shankar Bandu patil</t>
  </si>
  <si>
    <t>Manisha Lakshman Sable</t>
  </si>
  <si>
    <t>Sushma Ravindra Shelar</t>
  </si>
  <si>
    <t>Anita Satish Salunkhe</t>
  </si>
  <si>
    <t>Rahul Tanaji Pawar</t>
  </si>
  <si>
    <t>Kisan Vitthal Kadam</t>
  </si>
  <si>
    <t>ganesh jadhav</t>
  </si>
  <si>
    <t>Ganesh Pandurang Jadhav</t>
  </si>
  <si>
    <t>V</t>
  </si>
  <si>
    <t>प्रमोद भारुगडे</t>
  </si>
  <si>
    <t>संतोष भारुगडे</t>
  </si>
  <si>
    <t>निवास भारुगडे</t>
  </si>
  <si>
    <t>भरुगडे</t>
  </si>
  <si>
    <t>प्रमोद भरुगडे</t>
  </si>
  <si>
    <t>संतोष भरुगडे</t>
  </si>
  <si>
    <t>निवास भरुगडे</t>
  </si>
  <si>
    <t>पार्थ भरुगडे</t>
  </si>
  <si>
    <t>निलेश भरुगडे</t>
  </si>
  <si>
    <t>सोहन भरुगडे</t>
  </si>
  <si>
    <t>धनाजी भरुगडे</t>
  </si>
  <si>
    <t>मनीष भरुगडे</t>
  </si>
  <si>
    <t>रोहन भरुगडे</t>
  </si>
  <si>
    <t>सुरेश भरुगडे</t>
  </si>
  <si>
    <t>विवेक भरुगडे</t>
  </si>
  <si>
    <t>योगेश भरुगडे</t>
  </si>
  <si>
    <t>अमित भरुगडे</t>
  </si>
  <si>
    <t>दिलीप भरुगडे</t>
  </si>
  <si>
    <t>अतुल भरुगडे</t>
  </si>
  <si>
    <t>जयराज भरुगडे</t>
  </si>
  <si>
    <t>युवराज भरुगडे</t>
  </si>
  <si>
    <t>वैभव भरुगडे</t>
  </si>
  <si>
    <t>वसंत भरुगडे</t>
  </si>
  <si>
    <t>आनंदा करांडे</t>
  </si>
  <si>
    <t>सचिन कारंडे</t>
  </si>
  <si>
    <t>संतोष पाटील</t>
  </si>
  <si>
    <t>सुरज पाटील</t>
  </si>
  <si>
    <t>अमोल पाटील</t>
  </si>
  <si>
    <t>अभिजित पाटील</t>
  </si>
  <si>
    <t>सागर पाटील</t>
  </si>
  <si>
    <t>ए.पी.पाटील</t>
  </si>
  <si>
    <t>अजिंक्य पाटील</t>
  </si>
  <si>
    <t>पवन पाटील</t>
  </si>
  <si>
    <t>श्रीकांत कदम</t>
  </si>
  <si>
    <t>संदीप कदम</t>
  </si>
  <si>
    <t>दिगंबर कदम</t>
  </si>
  <si>
    <t>राजू कदम</t>
  </si>
  <si>
    <t>विजय कदम</t>
  </si>
  <si>
    <t>सागर कदम</t>
  </si>
  <si>
    <t>संजय देसाई</t>
  </si>
  <si>
    <t>अमर पाटील</t>
  </si>
  <si>
    <t>ललित पाटील</t>
  </si>
  <si>
    <t>संजय कदम</t>
  </si>
  <si>
    <t>शुभम कदम</t>
  </si>
  <si>
    <t>अमित पाटील</t>
  </si>
  <si>
    <t>वसंत पाटील</t>
  </si>
  <si>
    <t>अनिल पाटील</t>
  </si>
  <si>
    <t>भाऊ सोनावळे</t>
  </si>
  <si>
    <t>प्रदिप पाटील</t>
  </si>
  <si>
    <t>समीर शिंदे</t>
  </si>
  <si>
    <t>प्रकाश भरुगडे</t>
  </si>
  <si>
    <t>जय गंगागिरी</t>
  </si>
  <si>
    <t>अक्षय कदम</t>
  </si>
  <si>
    <t>दादासो वर्पे</t>
  </si>
  <si>
    <t>सुनील जाधव</t>
  </si>
  <si>
    <t>संस्कार कदम</t>
  </si>
  <si>
    <t>सुधीर देसाई</t>
  </si>
  <si>
    <t>रविराज भरुगडे</t>
  </si>
  <si>
    <t>अंकुश पाटील</t>
  </si>
  <si>
    <t>दादासो साळुंखे</t>
  </si>
  <si>
    <t>मंगल ज्वेलर्स</t>
  </si>
  <si>
    <t>रमेश मादने</t>
  </si>
  <si>
    <t>समर्थ कलुगडे</t>
  </si>
  <si>
    <t>विक्रम पाटील</t>
  </si>
  <si>
    <t>संजय लोहार</t>
  </si>
  <si>
    <t>सुरेश पाटील</t>
  </si>
  <si>
    <t>सतीश कदम</t>
  </si>
  <si>
    <t>रितेश कदम</t>
  </si>
  <si>
    <t>श्री ची ओवळणी</t>
  </si>
  <si>
    <t>प्रमोद</t>
  </si>
  <si>
    <t>संतोष</t>
  </si>
  <si>
    <t>निवास</t>
  </si>
  <si>
    <t>पार्थ</t>
  </si>
  <si>
    <t>निलेश</t>
  </si>
  <si>
    <t>सोहन</t>
  </si>
  <si>
    <t>धनाजी</t>
  </si>
  <si>
    <t>मनीष</t>
  </si>
  <si>
    <t>रोहन</t>
  </si>
  <si>
    <t>सुरेश</t>
  </si>
  <si>
    <t>विवेक</t>
  </si>
  <si>
    <t>योगेश</t>
  </si>
  <si>
    <t>अमित</t>
  </si>
  <si>
    <t>दिलीप</t>
  </si>
  <si>
    <t>अतुल</t>
  </si>
  <si>
    <t>जयराज</t>
  </si>
  <si>
    <t>युवराज</t>
  </si>
  <si>
    <t>वैभव</t>
  </si>
  <si>
    <t>वसंत</t>
  </si>
  <si>
    <t>आनंदा</t>
  </si>
  <si>
    <t>सचिन</t>
  </si>
  <si>
    <t>सुरज</t>
  </si>
  <si>
    <t>अमोल</t>
  </si>
  <si>
    <t>अभिजित</t>
  </si>
  <si>
    <t>सागर</t>
  </si>
  <si>
    <t>अजिंक्य</t>
  </si>
  <si>
    <t>पवन</t>
  </si>
  <si>
    <t>श्रीकांत</t>
  </si>
  <si>
    <t>संदीप</t>
  </si>
  <si>
    <t>दिगंबर</t>
  </si>
  <si>
    <t>राजू</t>
  </si>
  <si>
    <t>विजय</t>
  </si>
  <si>
    <t>संजय</t>
  </si>
  <si>
    <t>अमर</t>
  </si>
  <si>
    <t>ललित</t>
  </si>
  <si>
    <t>शुभम</t>
  </si>
  <si>
    <t>अनिल</t>
  </si>
  <si>
    <t>भाऊ</t>
  </si>
  <si>
    <t>प्रदिप</t>
  </si>
  <si>
    <t>समीर</t>
  </si>
  <si>
    <t>प्रकाश</t>
  </si>
  <si>
    <t>जय</t>
  </si>
  <si>
    <t>अक्षय</t>
  </si>
  <si>
    <t>दादासो</t>
  </si>
  <si>
    <t>सुनील</t>
  </si>
  <si>
    <t>संस्कार</t>
  </si>
  <si>
    <t>सुधीर</t>
  </si>
  <si>
    <t>रविराज</t>
  </si>
  <si>
    <t>अंकुश</t>
  </si>
  <si>
    <t>मंगल</t>
  </si>
  <si>
    <t>रमेश</t>
  </si>
  <si>
    <t>समर्थ</t>
  </si>
  <si>
    <t>विक्रम</t>
  </si>
  <si>
    <t>सतीश</t>
  </si>
  <si>
    <t>रितेश</t>
  </si>
  <si>
    <t>करांडे</t>
  </si>
  <si>
    <t>कारंडे</t>
  </si>
  <si>
    <t>पाटील</t>
  </si>
  <si>
    <t>कदम</t>
  </si>
  <si>
    <t>देसाई</t>
  </si>
  <si>
    <t>सोनावळे</t>
  </si>
  <si>
    <t>शिंदे</t>
  </si>
  <si>
    <t>गंगागिरी</t>
  </si>
  <si>
    <t>वर्पे</t>
  </si>
  <si>
    <t>जाधव</t>
  </si>
  <si>
    <t>साळुंखे</t>
  </si>
  <si>
    <t>ज्वेलर्स</t>
  </si>
  <si>
    <t>मादने</t>
  </si>
  <si>
    <t>कलुगडे</t>
  </si>
  <si>
    <t>लोहार</t>
  </si>
  <si>
    <t>ओवळणी</t>
  </si>
  <si>
    <t xml:space="preserve">श्री </t>
  </si>
  <si>
    <t>FirstName</t>
  </si>
  <si>
    <t>LastName</t>
  </si>
  <si>
    <t>vargani</t>
  </si>
  <si>
    <t>SR.No</t>
  </si>
  <si>
    <t xml:space="preserve">  balance:</t>
  </si>
  <si>
    <t>vilas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</si>
</sst>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;@"/>
    <numFmt numFmtId="165" formatCode="[$-F800]dddd\,\ mmmm\ dd\,\ yyyy"/>
  </numFmts>
  <fonts count="4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Arial Black"/>
      <family val="2"/>
    </font>
    <font>
      <b/>
      <sz val="11"/>
      <color theme="7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28"/>
      <color theme="1"/>
      <name val="Algerian"/>
      <family val="5"/>
    </font>
    <font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0"/>
      <name val="Segoe UI Black"/>
      <family val="2"/>
    </font>
    <font>
      <b/>
      <i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44"/>
      <color theme="1"/>
      <name val="Algerian"/>
      <family val="5"/>
    </font>
    <font>
      <b/>
      <sz val="18"/>
      <color theme="0"/>
      <name val="Segoe UI Black"/>
      <family val="2"/>
    </font>
    <font>
      <b/>
      <sz val="11"/>
      <color theme="1"/>
      <name val="Algerian"/>
      <family val="5"/>
    </font>
    <font>
      <b/>
      <sz val="11"/>
      <color theme="0"/>
      <name val="Algerian"/>
      <family val="5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7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Algerian"/>
      <family val="5"/>
    </font>
    <font>
      <b/>
      <sz val="16"/>
      <color theme="0"/>
      <name val="Algerian"/>
      <family val="5"/>
    </font>
    <font>
      <b/>
      <sz val="18"/>
      <color theme="0"/>
      <name val="Algerian"/>
      <family val="5"/>
    </font>
    <font>
      <b/>
      <sz val="20"/>
      <color theme="0"/>
      <name val="Algerian"/>
      <family val="5"/>
    </font>
    <font>
      <b/>
      <sz val="18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rgb="FFB3DB7D"/>
      <name val="Algerian"/>
      <family val="5"/>
    </font>
    <font>
      <sz val="26"/>
      <color theme="7" tint="0.79998168889431442"/>
      <name val="Algerian"/>
      <family val="5"/>
    </font>
    <font>
      <sz val="17"/>
      <color rgb="FF202124"/>
      <name val="Inherit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4"/>
      <color theme="7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B3DB7D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8F9FA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2"/>
      </left>
      <right style="thin">
        <color theme="2"/>
      </right>
      <top style="medium">
        <color theme="2"/>
      </top>
      <bottom style="medium">
        <color theme="2"/>
      </bottom>
      <diagonal/>
    </border>
    <border>
      <left style="thin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 style="thin">
        <color theme="2"/>
      </right>
      <top style="medium">
        <color theme="2"/>
      </top>
      <bottom style="medium">
        <color theme="2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3" fillId="3" borderId="0" xfId="0" applyFont="1" applyFill="1"/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9" xfId="0" applyBorder="1" applyAlignment="1">
      <alignment horizontal="center"/>
    </xf>
    <xf numFmtId="0" fontId="0" fillId="0" borderId="6" xfId="0" applyBorder="1"/>
    <xf numFmtId="164" fontId="2" fillId="0" borderId="4" xfId="0" applyNumberFormat="1" applyFont="1" applyBorder="1"/>
    <xf numFmtId="0" fontId="0" fillId="0" borderId="4" xfId="0" applyBorder="1" applyAlignment="1">
      <alignment horizontal="center"/>
    </xf>
    <xf numFmtId="0" fontId="0" fillId="0" borderId="2" xfId="0" applyNumberFormat="1" applyBorder="1"/>
    <xf numFmtId="0" fontId="0" fillId="0" borderId="10" xfId="0" applyBorder="1" applyAlignment="1">
      <alignment horizontal="center"/>
    </xf>
    <xf numFmtId="0" fontId="0" fillId="0" borderId="9" xfId="0" applyNumberFormat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6" xfId="0" applyFill="1" applyBorder="1"/>
    <xf numFmtId="0" fontId="0" fillId="5" borderId="4" xfId="0" applyFont="1" applyFill="1" applyBorder="1"/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0" fillId="5" borderId="11" xfId="0" applyFont="1" applyFill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4" fillId="0" borderId="2" xfId="0" applyFont="1" applyBorder="1"/>
    <xf numFmtId="0" fontId="4" fillId="0" borderId="12" xfId="0" applyFont="1" applyBorder="1"/>
    <xf numFmtId="0" fontId="4" fillId="0" borderId="13" xfId="0" applyFont="1" applyBorder="1"/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/>
    <xf numFmtId="0" fontId="4" fillId="6" borderId="2" xfId="0" applyFont="1" applyFill="1" applyBorder="1"/>
    <xf numFmtId="0" fontId="4" fillId="6" borderId="12" xfId="0" applyFont="1" applyFill="1" applyBorder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2" xfId="0" applyFont="1" applyBorder="1"/>
    <xf numFmtId="14" fontId="0" fillId="0" borderId="2" xfId="0" applyNumberFormat="1" applyFont="1" applyBorder="1"/>
    <xf numFmtId="0" fontId="0" fillId="0" borderId="4" xfId="0" applyFont="1" applyBorder="1"/>
    <xf numFmtId="0" fontId="0" fillId="0" borderId="2" xfId="0" applyNumberFormat="1" applyFont="1" applyBorder="1"/>
    <xf numFmtId="0" fontId="0" fillId="7" borderId="2" xfId="0" applyFont="1" applyFill="1" applyBorder="1"/>
    <xf numFmtId="0" fontId="7" fillId="3" borderId="15" xfId="0" applyFont="1" applyFill="1" applyBorder="1"/>
    <xf numFmtId="0" fontId="8" fillId="2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0" fontId="1" fillId="0" borderId="9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10" fillId="0" borderId="2" xfId="0" applyFont="1" applyBorder="1"/>
    <xf numFmtId="0" fontId="10" fillId="7" borderId="2" xfId="0" applyFont="1" applyFill="1" applyBorder="1"/>
    <xf numFmtId="0" fontId="11" fillId="2" borderId="6" xfId="0" applyFont="1" applyFill="1" applyBorder="1"/>
    <xf numFmtId="0" fontId="1" fillId="7" borderId="3" xfId="0" applyFont="1" applyFill="1" applyBorder="1"/>
    <xf numFmtId="0" fontId="1" fillId="10" borderId="2" xfId="0" applyFont="1" applyFill="1" applyBorder="1"/>
    <xf numFmtId="0" fontId="1" fillId="9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14" xfId="0" applyFont="1" applyBorder="1"/>
    <xf numFmtId="0" fontId="1" fillId="9" borderId="4" xfId="0" applyFont="1" applyFill="1" applyBorder="1"/>
    <xf numFmtId="0" fontId="1" fillId="7" borderId="4" xfId="0" applyFont="1" applyFill="1" applyBorder="1"/>
    <xf numFmtId="0" fontId="1" fillId="7" borderId="14" xfId="0" applyFont="1" applyFill="1" applyBorder="1"/>
    <xf numFmtId="0" fontId="1" fillId="10" borderId="4" xfId="0" applyFont="1" applyFill="1" applyBorder="1"/>
    <xf numFmtId="0" fontId="1" fillId="0" borderId="8" xfId="0" applyFont="1" applyBorder="1"/>
    <xf numFmtId="0" fontId="1" fillId="0" borderId="10" xfId="0" applyFont="1" applyBorder="1"/>
    <xf numFmtId="0" fontId="1" fillId="0" borderId="16" xfId="0" applyFont="1" applyBorder="1"/>
    <xf numFmtId="0" fontId="1" fillId="9" borderId="9" xfId="0" applyFont="1" applyFill="1" applyBorder="1"/>
    <xf numFmtId="0" fontId="1" fillId="0" borderId="2" xfId="0" applyNumberFormat="1" applyFont="1" applyBorder="1"/>
    <xf numFmtId="0" fontId="3" fillId="3" borderId="18" xfId="0" applyFont="1" applyFill="1" applyBorder="1" applyAlignment="1">
      <alignment horizontal="center" vertical="top"/>
    </xf>
    <xf numFmtId="0" fontId="12" fillId="3" borderId="0" xfId="0" applyFont="1" applyFill="1" applyAlignment="1"/>
    <xf numFmtId="0" fontId="13" fillId="2" borderId="5" xfId="0" applyFont="1" applyFill="1" applyBorder="1"/>
    <xf numFmtId="0" fontId="13" fillId="2" borderId="6" xfId="0" applyFont="1" applyFill="1" applyBorder="1"/>
    <xf numFmtId="0" fontId="14" fillId="0" borderId="0" xfId="0" applyFont="1"/>
    <xf numFmtId="0" fontId="19" fillId="0" borderId="0" xfId="0" applyNumberFormat="1" applyFont="1" applyBorder="1"/>
    <xf numFmtId="0" fontId="20" fillId="0" borderId="0" xfId="0" applyFont="1"/>
    <xf numFmtId="0" fontId="1" fillId="7" borderId="8" xfId="0" applyFont="1" applyFill="1" applyBorder="1"/>
    <xf numFmtId="0" fontId="23" fillId="3" borderId="8" xfId="0" applyFont="1" applyFill="1" applyBorder="1"/>
    <xf numFmtId="0" fontId="23" fillId="3" borderId="9" xfId="0" applyFont="1" applyFill="1" applyBorder="1"/>
    <xf numFmtId="0" fontId="24" fillId="3" borderId="9" xfId="0" applyFont="1" applyFill="1" applyBorder="1"/>
    <xf numFmtId="0" fontId="24" fillId="3" borderId="17" xfId="0" applyFont="1" applyFill="1" applyBorder="1"/>
    <xf numFmtId="0" fontId="1" fillId="0" borderId="0" xfId="0" applyFont="1" applyBorder="1"/>
    <xf numFmtId="0" fontId="26" fillId="0" borderId="2" xfId="0" applyFont="1" applyBorder="1"/>
    <xf numFmtId="0" fontId="10" fillId="0" borderId="0" xfId="0" applyFont="1" applyBorder="1"/>
    <xf numFmtId="0" fontId="25" fillId="0" borderId="2" xfId="0" applyNumberFormat="1" applyFont="1" applyBorder="1"/>
    <xf numFmtId="0" fontId="25" fillId="0" borderId="2" xfId="0" applyFont="1" applyBorder="1"/>
    <xf numFmtId="0" fontId="1" fillId="0" borderId="17" xfId="0" applyFont="1" applyBorder="1"/>
    <xf numFmtId="0" fontId="1" fillId="0" borderId="29" xfId="0" applyFont="1" applyBorder="1"/>
    <xf numFmtId="0" fontId="25" fillId="9" borderId="2" xfId="0" applyFont="1" applyFill="1" applyBorder="1"/>
    <xf numFmtId="0" fontId="1" fillId="9" borderId="29" xfId="0" applyFont="1" applyFill="1" applyBorder="1"/>
    <xf numFmtId="0" fontId="25" fillId="9" borderId="2" xfId="0" applyNumberFormat="1" applyFont="1" applyFill="1" applyBorder="1"/>
    <xf numFmtId="0" fontId="1" fillId="9" borderId="0" xfId="0" applyFont="1" applyFill="1" applyBorder="1"/>
    <xf numFmtId="0" fontId="1" fillId="7" borderId="0" xfId="0" applyFont="1" applyFill="1" applyBorder="1"/>
    <xf numFmtId="0" fontId="25" fillId="0" borderId="8" xfId="0" applyFont="1" applyBorder="1"/>
    <xf numFmtId="14" fontId="1" fillId="7" borderId="9" xfId="0" applyNumberFormat="1" applyFont="1" applyFill="1" applyBorder="1"/>
    <xf numFmtId="0" fontId="1" fillId="7" borderId="9" xfId="0" applyFont="1" applyFill="1" applyBorder="1"/>
    <xf numFmtId="0" fontId="1" fillId="7" borderId="16" xfId="0" applyFont="1" applyFill="1" applyBorder="1"/>
    <xf numFmtId="0" fontId="25" fillId="0" borderId="14" xfId="0" applyFont="1" applyBorder="1"/>
    <xf numFmtId="0" fontId="1" fillId="10" borderId="9" xfId="0" applyFont="1" applyFill="1" applyBorder="1"/>
    <xf numFmtId="0" fontId="1" fillId="10" borderId="10" xfId="0" applyFont="1" applyFill="1" applyBorder="1"/>
    <xf numFmtId="0" fontId="1" fillId="9" borderId="10" xfId="0" applyNumberFormat="1" applyFont="1" applyFill="1" applyBorder="1"/>
    <xf numFmtId="0" fontId="25" fillId="9" borderId="4" xfId="0" applyFont="1" applyFill="1" applyBorder="1"/>
    <xf numFmtId="0" fontId="1" fillId="9" borderId="4" xfId="0" applyNumberFormat="1" applyFont="1" applyFill="1" applyBorder="1"/>
    <xf numFmtId="0" fontId="2" fillId="12" borderId="33" xfId="0" applyFont="1" applyFill="1" applyBorder="1" applyAlignment="1">
      <alignment horizontal="left"/>
    </xf>
    <xf numFmtId="0" fontId="2" fillId="13" borderId="33" xfId="0" applyFont="1" applyFill="1" applyBorder="1" applyAlignment="1">
      <alignment horizontal="left"/>
    </xf>
    <xf numFmtId="0" fontId="0" fillId="0" borderId="17" xfId="0" applyBorder="1"/>
    <xf numFmtId="0" fontId="0" fillId="14" borderId="21" xfId="0" applyFill="1" applyBorder="1"/>
    <xf numFmtId="0" fontId="0" fillId="14" borderId="22" xfId="0" applyFill="1" applyBorder="1"/>
    <xf numFmtId="0" fontId="0" fillId="14" borderId="23" xfId="0" applyFill="1" applyBorder="1"/>
    <xf numFmtId="0" fontId="0" fillId="14" borderId="24" xfId="0" applyFill="1" applyBorder="1"/>
    <xf numFmtId="0" fontId="0" fillId="14" borderId="0" xfId="0" applyFill="1" applyBorder="1"/>
    <xf numFmtId="0" fontId="0" fillId="14" borderId="25" xfId="0" applyFill="1" applyBorder="1"/>
    <xf numFmtId="0" fontId="18" fillId="14" borderId="0" xfId="0" applyFont="1" applyFill="1" applyBorder="1" applyAlignment="1">
      <alignment horizontal="left"/>
    </xf>
    <xf numFmtId="0" fontId="0" fillId="14" borderId="26" xfId="0" applyFill="1" applyBorder="1"/>
    <xf numFmtId="0" fontId="0" fillId="14" borderId="27" xfId="0" applyFill="1" applyBorder="1"/>
    <xf numFmtId="0" fontId="0" fillId="14" borderId="28" xfId="0" applyFill="1" applyBorder="1"/>
    <xf numFmtId="0" fontId="36" fillId="0" borderId="0" xfId="0" applyFont="1" applyAlignment="1">
      <alignment horizontal="left" vertical="center"/>
    </xf>
    <xf numFmtId="0" fontId="36" fillId="15" borderId="0" xfId="0" applyFont="1" applyFill="1" applyAlignment="1">
      <alignment horizontal="left" vertical="center"/>
    </xf>
    <xf numFmtId="0" fontId="37" fillId="0" borderId="2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0" fillId="14" borderId="0" xfId="0" applyFont="1" applyFill="1" applyBorder="1"/>
    <xf numFmtId="0" fontId="2" fillId="0" borderId="3" xfId="0" applyFont="1" applyBorder="1"/>
    <xf numFmtId="0" fontId="2" fillId="0" borderId="9" xfId="0" applyFont="1" applyBorder="1"/>
    <xf numFmtId="0" fontId="2" fillId="9" borderId="9" xfId="0" applyFont="1" applyFill="1" applyBorder="1"/>
    <xf numFmtId="0" fontId="2" fillId="9" borderId="2" xfId="0" applyFont="1" applyFill="1" applyBorder="1"/>
    <xf numFmtId="0" fontId="2" fillId="10" borderId="2" xfId="0" applyFont="1" applyFill="1" applyBorder="1"/>
    <xf numFmtId="0" fontId="2" fillId="0" borderId="2" xfId="0" applyFont="1" applyBorder="1"/>
    <xf numFmtId="0" fontId="40" fillId="3" borderId="8" xfId="0" applyFont="1" applyFill="1" applyBorder="1"/>
    <xf numFmtId="0" fontId="40" fillId="3" borderId="9" xfId="0" applyFont="1" applyFill="1" applyBorder="1"/>
    <xf numFmtId="0" fontId="40" fillId="3" borderId="9" xfId="0" applyFont="1" applyFill="1" applyBorder="1" applyAlignment="1">
      <alignment horizontal="center" vertical="center"/>
    </xf>
    <xf numFmtId="0" fontId="40" fillId="3" borderId="9" xfId="0" applyFont="1" applyFill="1" applyBorder="1" applyAlignment="1">
      <alignment horizontal="center"/>
    </xf>
    <xf numFmtId="0" fontId="40" fillId="3" borderId="16" xfId="0" applyFont="1" applyFill="1" applyBorder="1"/>
    <xf numFmtId="0" fontId="15" fillId="4" borderId="21" xfId="0" applyFont="1" applyFill="1" applyBorder="1" applyAlignment="1">
      <alignment horizontal="center" vertical="top"/>
    </xf>
    <xf numFmtId="0" fontId="15" fillId="4" borderId="22" xfId="0" applyFont="1" applyFill="1" applyBorder="1" applyAlignment="1">
      <alignment horizontal="center" vertical="top"/>
    </xf>
    <xf numFmtId="0" fontId="15" fillId="4" borderId="23" xfId="0" applyFont="1" applyFill="1" applyBorder="1" applyAlignment="1">
      <alignment horizontal="center" vertical="top"/>
    </xf>
    <xf numFmtId="0" fontId="15" fillId="4" borderId="24" xfId="0" applyFont="1" applyFill="1" applyBorder="1" applyAlignment="1">
      <alignment horizontal="center" vertical="top"/>
    </xf>
    <xf numFmtId="0" fontId="15" fillId="4" borderId="0" xfId="0" applyFont="1" applyFill="1" applyBorder="1" applyAlignment="1">
      <alignment horizontal="center" vertical="top"/>
    </xf>
    <xf numFmtId="0" fontId="15" fillId="4" borderId="25" xfId="0" applyFont="1" applyFill="1" applyBorder="1" applyAlignment="1">
      <alignment horizontal="center" vertical="top"/>
    </xf>
    <xf numFmtId="0" fontId="15" fillId="4" borderId="26" xfId="0" applyFont="1" applyFill="1" applyBorder="1" applyAlignment="1">
      <alignment horizontal="center" vertical="top"/>
    </xf>
    <xf numFmtId="0" fontId="15" fillId="4" borderId="27" xfId="0" applyFont="1" applyFill="1" applyBorder="1" applyAlignment="1">
      <alignment horizontal="center" vertical="top"/>
    </xf>
    <xf numFmtId="0" fontId="15" fillId="4" borderId="28" xfId="0" applyFont="1" applyFill="1" applyBorder="1" applyAlignment="1">
      <alignment horizontal="center" vertical="top"/>
    </xf>
    <xf numFmtId="0" fontId="5" fillId="8" borderId="19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3" borderId="32" xfId="0" applyFont="1" applyFill="1" applyBorder="1" applyAlignment="1">
      <alignment horizontal="left"/>
    </xf>
    <xf numFmtId="0" fontId="16" fillId="3" borderId="0" xfId="0" applyFont="1" applyFill="1" applyAlignment="1">
      <alignment horizontal="left"/>
    </xf>
    <xf numFmtId="0" fontId="29" fillId="14" borderId="24" xfId="0" applyFont="1" applyFill="1" applyBorder="1" applyAlignment="1">
      <alignment horizontal="center"/>
    </xf>
    <xf numFmtId="0" fontId="29" fillId="14" borderId="0" xfId="0" applyFont="1" applyFill="1" applyBorder="1" applyAlignment="1">
      <alignment horizontal="center"/>
    </xf>
    <xf numFmtId="0" fontId="29" fillId="14" borderId="34" xfId="0" applyFont="1" applyFill="1" applyBorder="1" applyAlignment="1">
      <alignment horizontal="center"/>
    </xf>
    <xf numFmtId="0" fontId="32" fillId="14" borderId="30" xfId="0" applyFont="1" applyFill="1" applyBorder="1" applyAlignment="1">
      <alignment horizontal="left"/>
    </xf>
    <xf numFmtId="0" fontId="30" fillId="14" borderId="31" xfId="0" applyFont="1" applyFill="1" applyBorder="1" applyAlignment="1">
      <alignment horizontal="left"/>
    </xf>
    <xf numFmtId="0" fontId="17" fillId="14" borderId="24" xfId="0" applyFont="1" applyFill="1" applyBorder="1" applyAlignment="1">
      <alignment horizontal="center"/>
    </xf>
    <xf numFmtId="0" fontId="17" fillId="14" borderId="0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28" fillId="14" borderId="24" xfId="0" applyFont="1" applyFill="1" applyBorder="1" applyAlignment="1">
      <alignment horizontal="center"/>
    </xf>
    <xf numFmtId="0" fontId="28" fillId="14" borderId="0" xfId="0" applyFont="1" applyFill="1" applyBorder="1" applyAlignment="1">
      <alignment horizontal="center"/>
    </xf>
    <xf numFmtId="0" fontId="28" fillId="14" borderId="34" xfId="0" applyFont="1" applyFill="1" applyBorder="1" applyAlignment="1">
      <alignment horizontal="center"/>
    </xf>
    <xf numFmtId="0" fontId="34" fillId="14" borderId="0" xfId="0" applyFont="1" applyFill="1" applyBorder="1" applyAlignment="1">
      <alignment horizontal="left"/>
    </xf>
    <xf numFmtId="0" fontId="35" fillId="14" borderId="0" xfId="0" applyFont="1" applyFill="1" applyBorder="1" applyAlignment="1">
      <alignment horizontal="center"/>
    </xf>
    <xf numFmtId="0" fontId="31" fillId="14" borderId="0" xfId="0" applyFont="1" applyFill="1" applyBorder="1" applyAlignment="1">
      <alignment horizontal="center"/>
    </xf>
    <xf numFmtId="0" fontId="32" fillId="14" borderId="35" xfId="0" applyFont="1" applyFill="1" applyBorder="1" applyAlignment="1">
      <alignment horizontal="left"/>
    </xf>
    <xf numFmtId="0" fontId="32" fillId="14" borderId="36" xfId="0" applyFont="1" applyFill="1" applyBorder="1" applyAlignment="1">
      <alignment horizontal="left"/>
    </xf>
    <xf numFmtId="0" fontId="32" fillId="14" borderId="37" xfId="0" applyFont="1" applyFill="1" applyBorder="1" applyAlignment="1">
      <alignment horizontal="left"/>
    </xf>
    <xf numFmtId="0" fontId="9" fillId="4" borderId="0" xfId="0" applyFont="1" applyFill="1" applyAlignment="1">
      <alignment horizontal="center" vertical="top"/>
    </xf>
    <xf numFmtId="0" fontId="33" fillId="0" borderId="0" xfId="0" applyFont="1" applyAlignment="1">
      <alignment horizontal="center"/>
    </xf>
  </cellXfs>
  <cellStyles count="1">
    <cellStyle name="Normal" xfId="0" builtinId="0"/>
  </cellStyles>
  <dxfs count="2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theme="4" tint="0.39997558519241921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>
          <bgColor theme="7" tint="0.3999755851924192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7"/>
        <name val="Calibri"/>
        <scheme val="minor"/>
      </font>
      <fill>
        <patternFill patternType="solid">
          <fgColor indexed="64"/>
          <bgColor theme="1"/>
        </patternFill>
      </fill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theme="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4"/>
        <color theme="7"/>
        <name val="Calibri"/>
        <scheme val="minor"/>
      </font>
      <fill>
        <patternFill patternType="solid">
          <fgColor indexed="64"/>
          <bgColor theme="1"/>
        </patternFill>
      </fill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 Style 1" defaultPivotStyle="PivotStyleLight16">
    <tableStyle name="Table Style 1" pivot="0" count="0"/>
  </tableStyles>
  <colors>
    <mruColors>
      <color rgb="FF868686"/>
      <color rgb="FFB3DB7D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650720"/>
        <c:axId val="1179651264"/>
      </c:barChart>
      <c:catAx>
        <c:axId val="117965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51264"/>
        <c:crosses val="autoZero"/>
        <c:auto val="1"/>
        <c:lblAlgn val="ctr"/>
        <c:lblOffset val="100"/>
        <c:noMultiLvlLbl val="0"/>
      </c:catAx>
      <c:valAx>
        <c:axId val="11796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76109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87677</xdr:colOff>
      <xdr:row>7</xdr:row>
      <xdr:rowOff>31316</xdr:rowOff>
    </xdr:from>
    <xdr:to>
      <xdr:col>16</xdr:col>
      <xdr:colOff>1255</xdr:colOff>
      <xdr:row>10</xdr:row>
      <xdr:rowOff>156576</xdr:rowOff>
    </xdr:to>
    <xdr:pic>
      <xdr:nvPicPr>
        <xdr:cNvPr id="3" name="Picture 2" descr="Fire Ceremony Dattatreya Jayanti Havan | Lilleoru.ee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5019" y="1346549"/>
          <a:ext cx="825480" cy="84550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630674</xdr:colOff>
      <xdr:row>7</xdr:row>
      <xdr:rowOff>31315</xdr:rowOff>
    </xdr:from>
    <xdr:to>
      <xdr:col>9</xdr:col>
      <xdr:colOff>480164</xdr:colOff>
      <xdr:row>10</xdr:row>
      <xdr:rowOff>156576</xdr:rowOff>
    </xdr:to>
    <xdr:pic>
      <xdr:nvPicPr>
        <xdr:cNvPr id="2" name="Picture 1" descr="Jotiba Desktop Wallpaper of God \u2013 Free wallpaper download ...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8647" y="1346548"/>
          <a:ext cx="1049901" cy="8455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198120</xdr:colOff>
      <xdr:row>9</xdr:row>
      <xdr:rowOff>2191</xdr:rowOff>
    </xdr:from>
    <xdr:to>
      <xdr:col>17</xdr:col>
      <xdr:colOff>89742</xdr:colOff>
      <xdr:row>13</xdr:row>
      <xdr:rowOff>22859</xdr:rowOff>
    </xdr:to>
    <xdr:pic>
      <xdr:nvPicPr>
        <xdr:cNvPr id="2" name="Picture 1" descr="Fire Ceremony Dattatreya Jayanti Havan | Lilleoru.ee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6680" y="1465231"/>
          <a:ext cx="1043939" cy="752189"/>
        </a:xfrm>
        <a:prstGeom prst="rect">
          <a:avLst/>
        </a:prstGeom>
      </xdr:spPr>
    </xdr:pic>
    <xdr:clientData/>
  </xdr:twoCellAnchor>
  <xdr:twoCellAnchor editAs="oneCell">
    <xdr:from>
      <xdr:col>8</xdr:col>
      <xdr:colOff>10647</xdr:colOff>
      <xdr:row>8</xdr:row>
      <xdr:rowOff>173934</xdr:rowOff>
    </xdr:from>
    <xdr:to>
      <xdr:col>9</xdr:col>
      <xdr:colOff>527490</xdr:colOff>
      <xdr:row>13</xdr:row>
      <xdr:rowOff>7837</xdr:rowOff>
    </xdr:to>
    <xdr:pic>
      <xdr:nvPicPr>
        <xdr:cNvPr id="3" name="Picture 2" descr="Jotiba Desktop Wallpaper of God \u2013 Free wallpaper download ...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7447" y="1454094"/>
          <a:ext cx="1190030" cy="7483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I29" totalsRowCount="1" headerRowDxfId="232" headerRowBorderDxfId="231" tableBorderDxfId="230" totalsRowBorderDxfId="229">
  <autoFilter ref="A7:I28"/>
  <tableColumns count="9">
    <tableColumn id="8" name="SR.NO" dataDxfId="228" totalsRowDxfId="227"/>
    <tableColumn id="1" name="DATE" dataDxfId="226" totalsRowDxfId="225"/>
    <tableColumn id="2" name="NAME" totalsRowLabel="TOTAL" dataDxfId="224" totalsRowDxfId="223"/>
    <tableColumn id="3" name="VARGANI" totalsRowFunction="custom" dataDxfId="222" totalsRowDxfId="221">
      <totalsRowFormula>SUM(Table1[VARGANI])</totalsRowFormula>
    </tableColumn>
    <tableColumn id="4" name="VYAJ" totalsRowFunction="sum" dataDxfId="220" totalsRowDxfId="219"/>
    <tableColumn id="5" name="KARJ" dataDxfId="218" totalsRowDxfId="217"/>
    <tableColumn id="9" name="PARAT PHED" dataDxfId="216" totalsRowDxfId="215"/>
    <tableColumn id="11" name="TOTAL KARJ" totalsRowFunction="custom" dataDxfId="214" totalsRowDxfId="213">
      <calculatedColumnFormula>Table1[[#This Row],[KARJ]]-Table1[[#This Row],[PARAT PHED]]</calculatedColumnFormula>
      <totalsRowFormula>SUM(Table1[TOTAL KARJ])</totalsRowFormula>
    </tableColumn>
    <tableColumn id="10" name="DAND" dataDxfId="212" totalsRowDxfId="2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1:P41" totalsRowShown="0" headerRowDxfId="210" dataDxfId="208" headerRowBorderDxfId="209" tableBorderDxfId="207">
  <autoFilter ref="G11:P41"/>
  <tableColumns count="10">
    <tableColumn id="1" name="SR.NO" dataDxfId="206"/>
    <tableColumn id="2" name="DATE" dataDxfId="205"/>
    <tableColumn id="3" name="NAME" dataDxfId="204"/>
    <tableColumn id="4" name="VARGANI" dataDxfId="203"/>
    <tableColumn id="5" name="VYAJ" dataDxfId="202"/>
    <tableColumn id="11" name="TOTAL(V^2)" dataDxfId="201">
      <calculatedColumnFormula>SUM(Table2[[#This Row],[VARGANI]],Table2[[#This Row],[VYAJ]])</calculatedColumnFormula>
    </tableColumn>
    <tableColumn id="6" name="KARJ" dataDxfId="200"/>
    <tableColumn id="7" name="PARAT PHED" dataDxfId="199"/>
    <tableColumn id="8" name="TOTAL KARJ" dataDxfId="198">
      <calculatedColumnFormula>Table2[[#This Row],[KARJ]]-Table2[[#This Row],[PARAT PHED]]</calculatedColumnFormula>
    </tableColumn>
    <tableColumn id="9" name="DAND" dataDxfId="19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I15:AP60" totalsRowCount="1" headerRowDxfId="193" dataDxfId="191" totalsRowDxfId="189" headerRowBorderDxfId="192" tableBorderDxfId="190" totalsRowBorderDxfId="188">
  <autoFilter ref="I15:AP59"/>
  <sortState ref="I16:AP59">
    <sortCondition descending="1" ref="L15:L59"/>
  </sortState>
  <tableColumns count="34">
    <tableColumn id="1" name="SR.NO" totalsRowDxfId="33" dataCellStyle="Normal"/>
    <tableColumn id="2" name="DATE" totalsRowDxfId="32" dataCellStyle="Normal"/>
    <tableColumn id="3" name="NAME" totalsRowLabel="TOTAL" totalsRowDxfId="31" dataCellStyle="Normal"/>
    <tableColumn id="4" name="JAN" totalsRowFunction="custom" totalsRowDxfId="30" dataCellStyle="Normal">
      <totalsRowFormula>SUM(L16:L59)</totalsRowFormula>
    </tableColumn>
    <tableColumn id="24" name="FEB" totalsRowFunction="custom" totalsRowDxfId="29" dataCellStyle="Normal">
      <totalsRowFormula>SUM(M16:M59)</totalsRowFormula>
    </tableColumn>
    <tableColumn id="25" name="MAR" totalsRowFunction="custom" totalsRowDxfId="28" dataCellStyle="Normal">
      <totalsRowFormula>SUM(N16:N59)</totalsRowFormula>
    </tableColumn>
    <tableColumn id="26" name="APR" totalsRowFunction="sum" totalsRowDxfId="27" dataCellStyle="Normal"/>
    <tableColumn id="27" name="MAY" totalsRowFunction="custom" totalsRowDxfId="26" dataCellStyle="Normal">
      <totalsRowFormula>SUM(P16:P59)</totalsRowFormula>
    </tableColumn>
    <tableColumn id="28" name="JUN" totalsRowFunction="custom" totalsRowDxfId="25" dataCellStyle="Normal">
      <totalsRowFormula>SUM(Q16:Q59)</totalsRowFormula>
    </tableColumn>
    <tableColumn id="29" name="JUL" totalsRowFunction="custom" totalsRowDxfId="24" dataCellStyle="Normal">
      <totalsRowFormula>SUM(R16:R59)</totalsRowFormula>
    </tableColumn>
    <tableColumn id="30" name="AUG" totalsRowFunction="custom" totalsRowDxfId="23" dataCellStyle="Normal">
      <totalsRowFormula>SUM(S16:S59)</totalsRowFormula>
    </tableColumn>
    <tableColumn id="31" name="SEP" totalsRowFunction="custom" totalsRowDxfId="22" dataCellStyle="Normal">
      <totalsRowFormula>SUM(T16:T59)</totalsRowFormula>
    </tableColumn>
    <tableColumn id="32" name="OCT" totalsRowFunction="custom" totalsRowDxfId="21" dataCellStyle="Normal">
      <totalsRowFormula>SUM(U16:U59)</totalsRowFormula>
    </tableColumn>
    <tableColumn id="33" name="NOV" totalsRowFunction="custom" totalsRowDxfId="20" dataCellStyle="Normal">
      <totalsRowFormula>SUM(V16:V59)</totalsRowFormula>
    </tableColumn>
    <tableColumn id="34" name="DEC" totalsRowFunction="custom" totalsRowDxfId="19" dataCellStyle="Normal">
      <totalsRowFormula>SUM(W16:W59)</totalsRowFormula>
    </tableColumn>
    <tableColumn id="35" name="JAN2" totalsRowFunction="custom" totalsRowDxfId="18" dataCellStyle="Normal">
      <totalsRowFormula>SUM(X16:X59)</totalsRowFormula>
    </tableColumn>
    <tableColumn id="36" name="FEB3" totalsRowFunction="custom" totalsRowDxfId="17" dataCellStyle="Normal">
      <totalsRowFormula>SUM(Y16:Y59)</totalsRowFormula>
    </tableColumn>
    <tableColumn id="17" name="MAR4" totalsRowFunction="custom" totalsRowDxfId="16" dataCellStyle="Normal">
      <totalsRowFormula>SUM(Z16:Z59)</totalsRowFormula>
    </tableColumn>
    <tableColumn id="18" name="APR5" totalsRowFunction="custom" totalsRowDxfId="15" dataCellStyle="Normal">
      <totalsRowFormula>SUM(AA16:AA59)</totalsRowFormula>
    </tableColumn>
    <tableColumn id="19" name="MAY6" totalsRowFunction="custom" totalsRowDxfId="14" dataCellStyle="Normal">
      <totalsRowFormula>SUM(AB16:AB59)</totalsRowFormula>
    </tableColumn>
    <tableColumn id="20" name="JUN7" totalsRowFunction="custom" totalsRowDxfId="13" dataCellStyle="Normal">
      <totalsRowFormula>SUM(AC16:AC59)</totalsRowFormula>
    </tableColumn>
    <tableColumn id="21" name="JUL8" totalsRowFunction="custom" totalsRowDxfId="12" dataCellStyle="Normal">
      <totalsRowFormula>SUM(AD16:AD59)</totalsRowFormula>
    </tableColumn>
    <tableColumn id="22" name="AUG9" totalsRowFunction="custom" totalsRowDxfId="11" dataCellStyle="Normal">
      <totalsRowFormula>SUM(AE16:AE59)</totalsRowFormula>
    </tableColumn>
    <tableColumn id="23" name="SEP10" totalsRowFunction="custom" totalsRowDxfId="10" dataCellStyle="Normal">
      <totalsRowFormula>SUM(AF16:AF59)</totalsRowFormula>
    </tableColumn>
    <tableColumn id="11" name="OCT11" totalsRowFunction="custom" totalsRowDxfId="9" dataCellStyle="Normal">
      <totalsRowFormula>SUM(AG16:AG59)</totalsRowFormula>
    </tableColumn>
    <tableColumn id="12" name="NOV12" totalsRowFunction="custom" totalsRowDxfId="8" dataCellStyle="Normal">
      <totalsRowFormula>SUM(AH16:AH59)</totalsRowFormula>
    </tableColumn>
    <tableColumn id="13" name="DEC13" totalsRowFunction="custom" totalsRowDxfId="7" dataCellStyle="Normal">
      <totalsRowFormula>SUM(AI16:AI59)</totalsRowFormula>
    </tableColumn>
    <tableColumn id="5" name="VYAJ" totalsRowFunction="sum" totalsRowDxfId="6"/>
    <tableColumn id="6" name="TOTAL(V^2)" totalsRowFunction="custom" totalsRowDxfId="5">
      <calculatedColumnFormula>SUM(Table35[[#This Row],[JAN]:[VYAJ]])</calculatedColumnFormula>
      <totalsRowFormula>SUM(Table35[TOTAL(V^2)])</totalsRowFormula>
    </tableColumn>
    <tableColumn id="7" name="KARJ" totalsRowFunction="custom" totalsRowDxfId="4">
      <totalsRowFormula>SUM(Table35[KARJ])</totalsRowFormula>
    </tableColumn>
    <tableColumn id="8" name="PARAT PHED" totalsRowFunction="sum" totalsRowDxfId="3"/>
    <tableColumn id="9" name="TOTAL" totalsRowFunction="sum" totalsRowDxfId="2">
      <calculatedColumnFormula>Table35[[#This Row],[KARJ]]-Table35[[#This Row],[PARAT PHED]]</calculatedColumnFormula>
    </tableColumn>
    <tableColumn id="10" name="DAND" totalsRowFunction="sum" totalsRowDxfId="1"/>
    <tableColumn id="14" name="HELP" dataDxfId="187" totalsRowDxfId="0">
      <calculatedColumnFormula>IFERROR(SEARCH($T$9,Table35[[#This Row],[NAME]]),0)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H5:K70" totalsRowShown="0" headerRowDxfId="186" dataDxfId="185" headerRowCellStyle="Normal" dataCellStyle="Normal">
  <autoFilter ref="H5:K70"/>
  <tableColumns count="4">
    <tableColumn id="1" name="SR.No" dataDxfId="184" dataCellStyle="Normal"/>
    <tableColumn id="2" name="FirstName" dataDxfId="183" dataCellStyle="Normal"/>
    <tableColumn id="3" name="LastName" dataDxfId="182" dataCellStyle="Normal"/>
    <tableColumn id="4" name="vargani" dataDxfId="181" dataCellStyle="Normal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3" name="Table354" displayName="Table354" ref="I17:AN55" totalsRowCount="1" headerRowDxfId="173" dataDxfId="171" totalsRowDxfId="169" headerRowBorderDxfId="172" tableBorderDxfId="170" totalsRowBorderDxfId="168">
  <autoFilter ref="I17:AN54"/>
  <sortState ref="I18:AN54">
    <sortCondition ref="L17:L54"/>
  </sortState>
  <tableColumns count="32">
    <tableColumn id="1" name="SR.NO" dataDxfId="167" totalsRowDxfId="166"/>
    <tableColumn id="2" name="DATE" dataDxfId="165" totalsRowDxfId="164"/>
    <tableColumn id="3" name="NAME" totalsRowLabel="TOTAL" dataDxfId="163" totalsRowDxfId="162"/>
    <tableColumn id="4" name="JAN" totalsRowFunction="sum" dataDxfId="161" totalsRowDxfId="160"/>
    <tableColumn id="12" name="FEB" totalsRowFunction="sum" dataDxfId="159" totalsRowDxfId="158"/>
    <tableColumn id="13" name="MAR" totalsRowFunction="sum" dataDxfId="157" totalsRowDxfId="156"/>
    <tableColumn id="14" name="APR" totalsRowFunction="sum" dataDxfId="155" totalsRowDxfId="154"/>
    <tableColumn id="15" name="MAY" totalsRowFunction="sum" dataDxfId="153" totalsRowDxfId="152"/>
    <tableColumn id="16" name="JUN" totalsRowFunction="sum" dataDxfId="151" totalsRowDxfId="150"/>
    <tableColumn id="17" name="JUL" totalsRowFunction="sum" dataDxfId="149" totalsRowDxfId="148"/>
    <tableColumn id="18" name="AUG" totalsRowFunction="sum" dataDxfId="147" totalsRowDxfId="146"/>
    <tableColumn id="19" name="SEP" totalsRowFunction="sum" dataDxfId="145" totalsRowDxfId="144"/>
    <tableColumn id="20" name="OCT" totalsRowFunction="sum" dataDxfId="143" totalsRowDxfId="142"/>
    <tableColumn id="21" name="NOV" totalsRowFunction="sum" dataDxfId="141" totalsRowDxfId="140"/>
    <tableColumn id="22" name="DEC" totalsRowFunction="sum" dataDxfId="139" totalsRowDxfId="138"/>
    <tableColumn id="23" name="JAN2" totalsRowFunction="sum" dataDxfId="137" totalsRowDxfId="136"/>
    <tableColumn id="5" name="FEB3" totalsRowFunction="sum" dataDxfId="135" totalsRowDxfId="134"/>
    <tableColumn id="6" name="MAR4" totalsRowFunction="sum" dataDxfId="133" totalsRowDxfId="132"/>
    <tableColumn id="7" name="APR5" totalsRowFunction="sum" dataDxfId="131" totalsRowDxfId="130"/>
    <tableColumn id="8" name="MAY6" totalsRowFunction="sum" dataDxfId="129" totalsRowDxfId="128"/>
    <tableColumn id="9" name="JUN7" totalsRowFunction="sum" dataDxfId="127" totalsRowDxfId="126"/>
    <tableColumn id="10" name="JUL8" totalsRowFunction="sum" dataDxfId="125" totalsRowDxfId="124"/>
    <tableColumn id="48" name="AUG9" totalsRowFunction="sum" dataDxfId="123" totalsRowDxfId="122"/>
    <tableColumn id="49" name="SEP10" totalsRowFunction="sum" dataDxfId="121" totalsRowDxfId="120"/>
    <tableColumn id="50" name="OCT11" totalsRowFunction="sum" dataDxfId="119" totalsRowDxfId="118"/>
    <tableColumn id="51" name="NOV12" totalsRowFunction="sum" dataDxfId="117" totalsRowDxfId="116"/>
    <tableColumn id="52" name="DEC13" totalsRowFunction="sum" dataDxfId="115" totalsRowDxfId="114"/>
    <tableColumn id="60" name="VYAJ2" dataDxfId="113" totalsRowDxfId="112"/>
    <tableColumn id="61" name="TOTAL(V^2)3" totalsRowFunction="sum" dataDxfId="111" totalsRowDxfId="110">
      <calculatedColumnFormula>SUM(Table354[[#This Row],[JAN]:[VYAJ2]])</calculatedColumnFormula>
    </tableColumn>
    <tableColumn id="62" name="KARJ4" totalsRowFunction="sum" dataDxfId="109" totalsRowDxfId="108"/>
    <tableColumn id="63" name="PARAT PHED5" totalsRowFunction="sum" dataDxfId="107" totalsRowDxfId="106"/>
    <tableColumn id="64" name="TOTAL KARJ6" totalsRowFunction="sum" dataDxfId="105" totalsRowDxfId="104">
      <calculatedColumnFormula>Table354[[#This Row],[APR5]]-Table354[[#This Row],[MAY6]]</calculatedColumnFormula>
    </tableColumn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3546" displayName="Table3546" ref="AX15:CC53" totalsRowCount="1" headerRowDxfId="103" dataDxfId="101" totalsRowDxfId="99" headerRowBorderDxfId="102" tableBorderDxfId="100" totalsRowBorderDxfId="98">
  <autoFilter ref="AX15:CC52"/>
  <sortState ref="AX16:CC52">
    <sortCondition ref="BA17:BA54"/>
  </sortState>
  <tableColumns count="32">
    <tableColumn id="1" name="SR.NO" dataDxfId="97" totalsRowDxfId="96"/>
    <tableColumn id="2" name="DATE" dataDxfId="95" totalsRowDxfId="94"/>
    <tableColumn id="3" name="NAME" totalsRowLabel="TOTAL" dataDxfId="93" totalsRowDxfId="92"/>
    <tableColumn id="4" name="JAN" totalsRowFunction="sum" dataDxfId="91" totalsRowDxfId="90"/>
    <tableColumn id="12" name="FEB" totalsRowFunction="sum" dataDxfId="89" totalsRowDxfId="88"/>
    <tableColumn id="13" name="MAR" totalsRowFunction="sum" dataDxfId="87" totalsRowDxfId="86"/>
    <tableColumn id="14" name="APR" totalsRowFunction="sum" dataDxfId="85" totalsRowDxfId="84"/>
    <tableColumn id="15" name="MAY" totalsRowFunction="sum" dataDxfId="83" totalsRowDxfId="82"/>
    <tableColumn id="16" name="JUN" totalsRowFunction="sum" dataDxfId="81" totalsRowDxfId="80"/>
    <tableColumn id="17" name="JUL" totalsRowFunction="sum" dataDxfId="79" totalsRowDxfId="78"/>
    <tableColumn id="18" name="AUG" totalsRowFunction="sum" dataDxfId="77" totalsRowDxfId="76"/>
    <tableColumn id="19" name="SEP" totalsRowFunction="sum" dataDxfId="75" totalsRowDxfId="74"/>
    <tableColumn id="20" name="OCT" totalsRowFunction="sum" dataDxfId="73" totalsRowDxfId="72"/>
    <tableColumn id="21" name="NOV" totalsRowFunction="sum" dataDxfId="71" totalsRowDxfId="70"/>
    <tableColumn id="22" name="DEC" totalsRowFunction="sum" dataDxfId="69" totalsRowDxfId="68"/>
    <tableColumn id="23" name="JAN2" totalsRowFunction="sum" dataDxfId="67" totalsRowDxfId="66"/>
    <tableColumn id="5" name="FEB3" totalsRowFunction="sum" dataDxfId="65" totalsRowDxfId="64"/>
    <tableColumn id="6" name="MAR4" totalsRowFunction="sum" dataDxfId="63" totalsRowDxfId="62"/>
    <tableColumn id="7" name="APR5" totalsRowFunction="sum" dataDxfId="61" totalsRowDxfId="60"/>
    <tableColumn id="8" name="MAY6" totalsRowFunction="sum" dataDxfId="59" totalsRowDxfId="58"/>
    <tableColumn id="9" name="JUN7" totalsRowFunction="sum" dataDxfId="57" totalsRowDxfId="56"/>
    <tableColumn id="10" name="JUL8" totalsRowFunction="sum" dataDxfId="55" totalsRowDxfId="54"/>
    <tableColumn id="48" name="AUG9" totalsRowFunction="sum" dataDxfId="53" totalsRowDxfId="52"/>
    <tableColumn id="49" name="SEP10" totalsRowFunction="sum" dataDxfId="51" totalsRowDxfId="50"/>
    <tableColumn id="50" name="OCT11" totalsRowFunction="sum" dataDxfId="49" totalsRowDxfId="48"/>
    <tableColumn id="51" name="NOV12" totalsRowFunction="sum" dataDxfId="47" totalsRowDxfId="46"/>
    <tableColumn id="52" name="DEC13" totalsRowFunction="sum" dataDxfId="45" totalsRowDxfId="44"/>
    <tableColumn id="60" name="VYAJ2" dataDxfId="43" totalsRowDxfId="42"/>
    <tableColumn id="61" name="TOTAL(V^2)3" totalsRowFunction="sum" dataDxfId="41" totalsRowDxfId="40">
      <calculatedColumnFormula>SUM(Table3546[[#This Row],[JAN]:[VYAJ2]])</calculatedColumnFormula>
    </tableColumn>
    <tableColumn id="62" name="KARJ4" totalsRowFunction="sum" dataDxfId="39" totalsRowDxfId="38"/>
    <tableColumn id="63" name="PARAT PHED5" totalsRowFunction="sum" dataDxfId="37" totalsRowDxfId="36"/>
    <tableColumn id="64" name="TOTAL KARJ6" totalsRowFunction="sum" dataDxfId="35" totalsRowDxfId="34">
      <calculatedColumnFormula>Table3546[[#This Row],[APR5]]-Table3546[[#This Row],[MAY6]]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2"/>
  <sheetViews>
    <sheetView workbookViewId="0">
      <selection activeCell="E28" sqref="E28"/>
    </sheetView>
  </sheetViews>
  <sheetFormatPr defaultRowHeight="14.4"/>
  <sheetData>
    <row r="1" spans="1:2">
      <c r="A1" t="s">
        <v>2</v>
      </c>
      <c r="B1">
        <v>2021</v>
      </c>
    </row>
    <row r="2" spans="1:2">
      <c r="A2" t="s">
        <v>3</v>
      </c>
      <c r="B2">
        <v>2022</v>
      </c>
    </row>
    <row r="3" spans="1:2">
      <c r="A3" t="s">
        <v>4</v>
      </c>
      <c r="B3">
        <v>2023</v>
      </c>
    </row>
    <row r="4" spans="1:2">
      <c r="A4" t="s">
        <v>5</v>
      </c>
      <c r="B4">
        <v>2024</v>
      </c>
    </row>
    <row r="5" spans="1:2">
      <c r="A5" t="s">
        <v>6</v>
      </c>
      <c r="B5">
        <v>2025</v>
      </c>
    </row>
    <row r="6" spans="1:2">
      <c r="A6" t="s">
        <v>7</v>
      </c>
      <c r="B6">
        <v>2026</v>
      </c>
    </row>
    <row r="7" spans="1:2">
      <c r="A7" t="s">
        <v>8</v>
      </c>
      <c r="B7">
        <v>2027</v>
      </c>
    </row>
    <row r="8" spans="1:2">
      <c r="A8" t="s">
        <v>9</v>
      </c>
      <c r="B8">
        <v>2028</v>
      </c>
    </row>
    <row r="9" spans="1:2">
      <c r="A9" t="s">
        <v>10</v>
      </c>
    </row>
    <row r="10" spans="1:2">
      <c r="A10" t="s">
        <v>11</v>
      </c>
    </row>
    <row r="11" spans="1:2">
      <c r="A11" t="s">
        <v>12</v>
      </c>
    </row>
    <row r="12" spans="1:2">
      <c r="A1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4"/>
  <sheetViews>
    <sheetView topLeftCell="A6" zoomScale="106" workbookViewId="0">
      <selection activeCell="D21" sqref="D21"/>
    </sheetView>
  </sheetViews>
  <sheetFormatPr defaultRowHeight="14.4"/>
  <cols>
    <col min="1" max="1" width="9" customWidth="1"/>
    <col min="2" max="2" width="17" customWidth="1"/>
    <col min="3" max="3" width="24.6640625" customWidth="1"/>
    <col min="4" max="4" width="12.33203125" customWidth="1"/>
    <col min="6" max="6" width="24" customWidth="1"/>
    <col min="7" max="7" width="13.6640625" customWidth="1"/>
    <col min="8" max="8" width="15.5546875" customWidth="1"/>
    <col min="13" max="13" width="8.88671875" customWidth="1"/>
  </cols>
  <sheetData>
    <row r="1" spans="1:19">
      <c r="H1">
        <f>25000*5%</f>
        <v>1250</v>
      </c>
    </row>
    <row r="2" spans="1:19">
      <c r="J2" s="15"/>
      <c r="K2" s="15"/>
      <c r="L2" s="15"/>
      <c r="M2" s="15"/>
      <c r="N2" s="15"/>
      <c r="O2" s="15"/>
    </row>
    <row r="3" spans="1:19" ht="18" customHeight="1">
      <c r="C3" s="3" t="s">
        <v>1</v>
      </c>
      <c r="D3" s="4" t="s">
        <v>9</v>
      </c>
      <c r="E3" s="1"/>
      <c r="F3" s="2">
        <f>DATEVALUE("15"&amp;D3&amp;D4)</f>
        <v>46249</v>
      </c>
      <c r="G3" s="1"/>
      <c r="J3" s="15"/>
      <c r="K3" s="15"/>
      <c r="L3" s="15"/>
      <c r="M3" s="15"/>
      <c r="N3" s="15"/>
      <c r="O3" s="15"/>
    </row>
    <row r="4" spans="1:19" ht="18" customHeight="1">
      <c r="C4" s="3" t="s">
        <v>0</v>
      </c>
      <c r="D4" s="4">
        <v>2026</v>
      </c>
      <c r="J4" s="15"/>
      <c r="K4" s="15"/>
      <c r="L4" s="15"/>
      <c r="M4" s="15"/>
      <c r="N4" s="15"/>
      <c r="O4" s="15"/>
    </row>
    <row r="5" spans="1:19">
      <c r="J5" s="15"/>
      <c r="K5" s="15"/>
      <c r="L5" s="15"/>
      <c r="M5" s="15"/>
      <c r="N5" s="15"/>
      <c r="O5" s="15"/>
    </row>
    <row r="6" spans="1:19">
      <c r="J6" s="15"/>
      <c r="K6" s="15"/>
      <c r="L6" s="15"/>
      <c r="M6" s="15"/>
      <c r="N6" s="15"/>
      <c r="O6" s="15"/>
    </row>
    <row r="7" spans="1:19" ht="15.6">
      <c r="A7" s="9" t="s">
        <v>14</v>
      </c>
      <c r="B7" s="11" t="s">
        <v>19</v>
      </c>
      <c r="C7" s="10" t="s">
        <v>15</v>
      </c>
      <c r="D7" s="10" t="s">
        <v>16</v>
      </c>
      <c r="E7" s="10" t="s">
        <v>17</v>
      </c>
      <c r="F7" s="10" t="s">
        <v>18</v>
      </c>
      <c r="G7" s="10" t="s">
        <v>28</v>
      </c>
      <c r="H7" s="10" t="s">
        <v>30</v>
      </c>
      <c r="I7" s="10" t="s">
        <v>29</v>
      </c>
      <c r="K7" s="15"/>
      <c r="L7" s="15"/>
      <c r="M7" s="15"/>
      <c r="N7" s="15"/>
      <c r="O7" s="15"/>
      <c r="P7" s="15"/>
    </row>
    <row r="8" spans="1:19" ht="18">
      <c r="A8" s="7">
        <v>1</v>
      </c>
      <c r="B8" s="18"/>
      <c r="C8" s="6" t="s">
        <v>20</v>
      </c>
      <c r="D8" s="5">
        <v>400</v>
      </c>
      <c r="E8" s="6">
        <v>300</v>
      </c>
      <c r="F8" s="6">
        <v>10000</v>
      </c>
      <c r="G8" s="17">
        <v>2000</v>
      </c>
      <c r="H8" s="17">
        <f>Table1[[#This Row],[KARJ]]-Table1[[#This Row],[PARAT PHED]]</f>
        <v>8000</v>
      </c>
      <c r="I8" s="17"/>
      <c r="K8" s="15"/>
      <c r="L8" s="15"/>
      <c r="M8" s="15"/>
      <c r="N8" s="15"/>
      <c r="O8" s="15"/>
      <c r="P8" s="15"/>
    </row>
    <row r="9" spans="1:19" ht="18">
      <c r="A9" s="7">
        <v>2</v>
      </c>
      <c r="B9" s="18">
        <f ca="1">TODAY()</f>
        <v>45283</v>
      </c>
      <c r="C9" s="6" t="s">
        <v>21</v>
      </c>
      <c r="D9" s="5">
        <v>1200</v>
      </c>
      <c r="E9" s="6">
        <v>200</v>
      </c>
      <c r="F9" s="6">
        <v>8000</v>
      </c>
      <c r="G9" s="6">
        <v>1000</v>
      </c>
      <c r="H9" s="17">
        <f>Table1[[#This Row],[KARJ]]-Table1[[#This Row],[PARAT PHED]]</f>
        <v>7000</v>
      </c>
      <c r="I9" s="6"/>
      <c r="K9" s="15"/>
      <c r="L9" s="15"/>
      <c r="M9" s="15"/>
      <c r="N9" s="15"/>
      <c r="O9" s="15"/>
      <c r="P9" s="15"/>
    </row>
    <row r="10" spans="1:19">
      <c r="A10" s="23">
        <v>3</v>
      </c>
      <c r="B10" s="24"/>
      <c r="C10" s="25" t="s">
        <v>22</v>
      </c>
      <c r="D10" s="26">
        <v>600</v>
      </c>
      <c r="E10" s="25"/>
      <c r="F10" s="25"/>
      <c r="G10" s="25"/>
      <c r="H10" s="27">
        <f>Table1[[#This Row],[KARJ]]-Table1[[#This Row],[PARAT PHED]]</f>
        <v>0</v>
      </c>
      <c r="I10" s="25"/>
      <c r="K10" s="30">
        <v>3</v>
      </c>
      <c r="L10" s="28"/>
      <c r="M10" s="29" t="s">
        <v>22</v>
      </c>
      <c r="N10" s="30">
        <v>600</v>
      </c>
      <c r="O10" s="29"/>
      <c r="P10" s="29"/>
      <c r="Q10" s="29"/>
      <c r="R10" s="31">
        <f>Table1[[#This Row],[KARJ]]-Table1[[#This Row],[PARAT PHED]]</f>
        <v>0</v>
      </c>
      <c r="S10" s="29"/>
    </row>
    <row r="11" spans="1:19">
      <c r="A11" s="7">
        <v>4</v>
      </c>
      <c r="B11" s="8"/>
      <c r="C11" s="6" t="s">
        <v>23</v>
      </c>
      <c r="D11" s="5">
        <v>1200</v>
      </c>
      <c r="E11" s="6">
        <v>100</v>
      </c>
      <c r="F11" s="6">
        <v>7000</v>
      </c>
      <c r="G11" s="6">
        <v>1000</v>
      </c>
      <c r="H11" s="17">
        <f>Table1[[#This Row],[KARJ]]-Table1[[#This Row],[PARAT PHED]]</f>
        <v>6000</v>
      </c>
      <c r="I11" s="6"/>
      <c r="K11" s="15"/>
      <c r="L11" s="15"/>
      <c r="M11" s="15"/>
      <c r="N11" s="15"/>
      <c r="O11" s="15"/>
      <c r="P11" s="15"/>
    </row>
    <row r="12" spans="1:19">
      <c r="A12" s="7">
        <v>5</v>
      </c>
      <c r="B12" s="8"/>
      <c r="C12" s="6" t="s">
        <v>24</v>
      </c>
      <c r="D12" s="5">
        <v>200</v>
      </c>
      <c r="E12" s="6"/>
      <c r="F12" s="6"/>
      <c r="G12" s="6"/>
      <c r="H12" s="17">
        <f>Table1[[#This Row],[KARJ]]-Table1[[#This Row],[PARAT PHED]]</f>
        <v>0</v>
      </c>
      <c r="I12" s="6"/>
      <c r="K12" s="15"/>
      <c r="L12" s="15"/>
      <c r="M12" s="15"/>
      <c r="N12" s="15"/>
      <c r="O12" s="15"/>
      <c r="P12" s="15"/>
    </row>
    <row r="13" spans="1:19">
      <c r="A13" s="7">
        <v>6</v>
      </c>
      <c r="B13" s="8"/>
      <c r="C13" s="6" t="s">
        <v>25</v>
      </c>
      <c r="D13" s="5">
        <v>400</v>
      </c>
      <c r="E13" s="6"/>
      <c r="F13" s="6"/>
      <c r="G13" s="6"/>
      <c r="H13" s="17">
        <f>Table1[[#This Row],[KARJ]]-Table1[[#This Row],[PARAT PHED]]</f>
        <v>0</v>
      </c>
      <c r="I13" s="6"/>
      <c r="K13" s="15"/>
      <c r="L13" s="15"/>
      <c r="M13" s="15"/>
      <c r="N13" s="15"/>
      <c r="O13" s="15"/>
      <c r="P13" s="15"/>
    </row>
    <row r="14" spans="1:19">
      <c r="A14" s="12">
        <v>7</v>
      </c>
      <c r="B14" s="14"/>
      <c r="C14" s="13" t="s">
        <v>26</v>
      </c>
      <c r="D14" s="16">
        <v>1800</v>
      </c>
      <c r="E14" s="13"/>
      <c r="F14" s="13"/>
      <c r="G14" s="6"/>
      <c r="H14" s="17">
        <f>Table1[[#This Row],[KARJ]]-Table1[[#This Row],[PARAT PHED]]</f>
        <v>0</v>
      </c>
      <c r="I14" s="6"/>
      <c r="K14" s="15"/>
      <c r="L14" s="15"/>
      <c r="M14" s="15"/>
      <c r="N14" s="15"/>
      <c r="O14" s="15"/>
      <c r="P14" s="15"/>
    </row>
    <row r="15" spans="1:19">
      <c r="A15" s="7">
        <v>8</v>
      </c>
      <c r="B15" s="8"/>
      <c r="C15" s="6" t="s">
        <v>20</v>
      </c>
      <c r="D15" s="5">
        <v>200</v>
      </c>
      <c r="E15" s="6"/>
      <c r="F15" s="6"/>
      <c r="G15" s="6"/>
      <c r="H15" s="17">
        <f>Table1[[#This Row],[KARJ]]-Table1[[#This Row],[PARAT PHED]]</f>
        <v>0</v>
      </c>
      <c r="I15" s="6"/>
      <c r="K15" s="15"/>
      <c r="L15" s="15"/>
      <c r="M15" s="15"/>
      <c r="N15" s="15"/>
      <c r="O15" s="15"/>
      <c r="P15" s="15"/>
    </row>
    <row r="16" spans="1:19">
      <c r="A16" s="7">
        <v>9</v>
      </c>
      <c r="B16" s="8"/>
      <c r="C16" s="6" t="s">
        <v>21</v>
      </c>
      <c r="D16" s="5">
        <v>600</v>
      </c>
      <c r="E16" s="6"/>
      <c r="F16" s="6"/>
      <c r="G16" s="6"/>
      <c r="H16" s="17">
        <f>Table1[[#This Row],[KARJ]]-Table1[[#This Row],[PARAT PHED]]</f>
        <v>0</v>
      </c>
      <c r="I16" s="6"/>
      <c r="K16" s="15"/>
      <c r="L16" s="15"/>
      <c r="M16" s="15"/>
      <c r="N16" s="15"/>
      <c r="O16" s="15"/>
      <c r="P16" s="15"/>
    </row>
    <row r="17" spans="1:16">
      <c r="A17" s="12">
        <v>10</v>
      </c>
      <c r="B17" s="8"/>
      <c r="C17" s="6" t="s">
        <v>22</v>
      </c>
      <c r="D17" s="5">
        <v>1200</v>
      </c>
      <c r="E17" s="6"/>
      <c r="F17" s="6"/>
      <c r="G17" s="6"/>
      <c r="H17" s="17">
        <f>Table1[[#This Row],[KARJ]]-Table1[[#This Row],[PARAT PHED]]</f>
        <v>0</v>
      </c>
      <c r="I17" s="6"/>
      <c r="K17" s="15"/>
      <c r="L17" s="15"/>
      <c r="M17" s="15"/>
      <c r="N17" s="15"/>
      <c r="O17" s="15"/>
      <c r="P17" s="15"/>
    </row>
    <row r="18" spans="1:16">
      <c r="A18" s="7">
        <v>11</v>
      </c>
      <c r="B18" s="8"/>
      <c r="C18" s="6" t="s">
        <v>23</v>
      </c>
      <c r="D18" s="5">
        <v>2000</v>
      </c>
      <c r="E18" s="6"/>
      <c r="F18" s="6"/>
      <c r="G18" s="6"/>
      <c r="H18" s="17">
        <f>Table1[[#This Row],[KARJ]]-Table1[[#This Row],[PARAT PHED]]</f>
        <v>0</v>
      </c>
      <c r="I18" s="6"/>
      <c r="K18" s="15"/>
      <c r="L18" s="15"/>
      <c r="M18" s="15"/>
      <c r="N18" s="15"/>
      <c r="O18" s="15"/>
      <c r="P18" s="15"/>
    </row>
    <row r="19" spans="1:16">
      <c r="A19" s="7">
        <v>12</v>
      </c>
      <c r="B19" s="8"/>
      <c r="C19" s="6" t="s">
        <v>24</v>
      </c>
      <c r="D19" s="5">
        <v>1400</v>
      </c>
      <c r="E19" s="6"/>
      <c r="F19" s="6"/>
      <c r="G19" s="13"/>
      <c r="H19" s="17">
        <f>Table1[[#This Row],[KARJ]]-Table1[[#This Row],[PARAT PHED]]</f>
        <v>0</v>
      </c>
      <c r="I19" s="13"/>
      <c r="K19" s="15"/>
      <c r="L19" s="15"/>
      <c r="M19" s="15"/>
      <c r="N19" s="15"/>
      <c r="O19" s="15"/>
      <c r="P19" s="15"/>
    </row>
    <row r="20" spans="1:16">
      <c r="A20" s="7"/>
      <c r="B20" s="19"/>
      <c r="C20" s="6"/>
      <c r="D20" s="5"/>
      <c r="E20" s="6"/>
      <c r="F20" s="6"/>
      <c r="G20" s="6"/>
      <c r="H20" s="20">
        <f>Table1[[#This Row],[KARJ]]-Table1[[#This Row],[PARAT PHED]]</f>
        <v>0</v>
      </c>
      <c r="I20" s="6"/>
      <c r="K20" s="15"/>
      <c r="L20" s="15"/>
      <c r="M20" s="15"/>
      <c r="N20" s="15"/>
      <c r="O20" s="15"/>
      <c r="P20" s="15"/>
    </row>
    <row r="21" spans="1:16">
      <c r="A21" s="7"/>
      <c r="B21" s="19"/>
      <c r="C21" s="6"/>
      <c r="D21" s="5"/>
      <c r="E21" s="6"/>
      <c r="F21" s="6"/>
      <c r="G21" s="6"/>
      <c r="H21" s="20">
        <f>Table1[[#This Row],[KARJ]]-Table1[[#This Row],[PARAT PHED]]</f>
        <v>0</v>
      </c>
      <c r="I21" s="6"/>
      <c r="J21" s="15"/>
      <c r="K21" s="15"/>
      <c r="L21" s="15"/>
      <c r="M21" s="15"/>
      <c r="N21" s="15"/>
      <c r="O21" s="15"/>
    </row>
    <row r="22" spans="1:16">
      <c r="A22" s="7"/>
      <c r="B22" s="19"/>
      <c r="C22" s="6"/>
      <c r="D22" s="5"/>
      <c r="E22" s="6"/>
      <c r="F22" s="6"/>
      <c r="G22" s="6"/>
      <c r="H22" s="20">
        <f>Table1[[#This Row],[KARJ]]-Table1[[#This Row],[PARAT PHED]]</f>
        <v>0</v>
      </c>
      <c r="I22" s="6"/>
    </row>
    <row r="23" spans="1:16">
      <c r="A23" s="7"/>
      <c r="B23" s="19"/>
      <c r="C23" s="6"/>
      <c r="D23" s="5"/>
      <c r="E23" s="6"/>
      <c r="F23" s="6"/>
      <c r="G23" s="6"/>
      <c r="H23" s="20">
        <f>Table1[[#This Row],[KARJ]]-Table1[[#This Row],[PARAT PHED]]</f>
        <v>0</v>
      </c>
      <c r="I23" s="6"/>
    </row>
    <row r="24" spans="1:16">
      <c r="A24" s="7"/>
      <c r="B24" s="19"/>
      <c r="C24" s="6"/>
      <c r="D24" s="5"/>
      <c r="E24" s="6"/>
      <c r="F24" s="6"/>
      <c r="G24" s="6"/>
      <c r="H24" s="20">
        <f>Table1[[#This Row],[KARJ]]-Table1[[#This Row],[PARAT PHED]]</f>
        <v>0</v>
      </c>
      <c r="I24" s="6"/>
    </row>
    <row r="25" spans="1:16">
      <c r="A25" s="7"/>
      <c r="B25" s="19"/>
      <c r="C25" s="6"/>
      <c r="D25" s="5"/>
      <c r="E25" s="6"/>
      <c r="F25" s="6"/>
      <c r="G25" s="6"/>
      <c r="H25" s="20">
        <f>Table1[[#This Row],[KARJ]]-Table1[[#This Row],[PARAT PHED]]</f>
        <v>0</v>
      </c>
      <c r="I25" s="6"/>
    </row>
    <row r="26" spans="1:16">
      <c r="A26" s="7"/>
      <c r="B26" s="19"/>
      <c r="C26" s="6"/>
      <c r="D26" s="5"/>
      <c r="E26" s="6"/>
      <c r="F26" s="6"/>
      <c r="G26" s="6"/>
      <c r="H26" s="20">
        <f>Table1[[#This Row],[KARJ]]-Table1[[#This Row],[PARAT PHED]]</f>
        <v>0</v>
      </c>
      <c r="I26" s="6"/>
    </row>
    <row r="27" spans="1:16">
      <c r="A27" s="7"/>
      <c r="B27" s="19"/>
      <c r="C27" s="6"/>
      <c r="D27" s="5"/>
      <c r="E27" s="6"/>
      <c r="F27" s="6"/>
      <c r="G27" s="6"/>
      <c r="H27" s="20">
        <f>Table1[[#This Row],[KARJ]]-Table1[[#This Row],[PARAT PHED]]</f>
        <v>0</v>
      </c>
      <c r="I27" s="6"/>
    </row>
    <row r="28" spans="1:16">
      <c r="A28" s="12"/>
      <c r="B28" s="21"/>
      <c r="C28" s="13"/>
      <c r="D28" s="16"/>
      <c r="E28" s="13"/>
      <c r="F28" s="13"/>
      <c r="G28" s="13"/>
      <c r="H28" s="22">
        <f>Table1[[#This Row],[KARJ]]-Table1[[#This Row],[PARAT PHED]]</f>
        <v>0</v>
      </c>
      <c r="I28" s="13"/>
    </row>
    <row r="29" spans="1:16">
      <c r="A29" s="12"/>
      <c r="B29" s="14"/>
      <c r="C29" s="13" t="s">
        <v>27</v>
      </c>
      <c r="D29" s="13">
        <f>SUM(Table1[VARGANI])</f>
        <v>11200</v>
      </c>
      <c r="E29" s="13">
        <f>SUBTOTAL(109,Table1[VYAJ])</f>
        <v>600</v>
      </c>
      <c r="F29" s="13"/>
      <c r="G29" s="13"/>
      <c r="H29" s="13">
        <f>SUM(Table1[TOTAL KARJ])</f>
        <v>21000</v>
      </c>
      <c r="I29" s="13"/>
    </row>
    <row r="32" spans="1:16">
      <c r="B32" s="32">
        <v>4</v>
      </c>
      <c r="C32" s="33"/>
      <c r="D32" s="34" t="s">
        <v>23</v>
      </c>
      <c r="E32" s="32">
        <v>1200</v>
      </c>
      <c r="F32" s="34"/>
      <c r="G32" s="34"/>
      <c r="H32" s="34"/>
      <c r="I32" s="35">
        <v>0</v>
      </c>
    </row>
    <row r="33" spans="2:10">
      <c r="B33" s="32">
        <v>12</v>
      </c>
      <c r="C33" s="33"/>
      <c r="D33" s="34" t="s">
        <v>24</v>
      </c>
      <c r="E33" s="32">
        <v>1400</v>
      </c>
      <c r="F33" s="34"/>
      <c r="G33" s="34"/>
      <c r="H33" s="36"/>
      <c r="I33" s="35">
        <v>0</v>
      </c>
      <c r="J33" s="36"/>
    </row>
    <row r="34" spans="2:10">
      <c r="B34" s="37">
        <v>3</v>
      </c>
      <c r="C34" s="38"/>
      <c r="D34" s="39" t="s">
        <v>22</v>
      </c>
      <c r="E34" s="37">
        <v>600</v>
      </c>
      <c r="F34" s="39"/>
      <c r="G34" s="39"/>
      <c r="H34" s="39"/>
      <c r="I34" s="40">
        <v>0</v>
      </c>
      <c r="J34" s="39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Sheet2!$A$1:$A$12</xm:f>
          </x14:formula1>
          <xm:sqref>D3</xm:sqref>
        </x14:dataValidation>
        <x14:dataValidation type="list" allowBlank="1" showInputMessage="1" showErrorMessage="1">
          <x14:formula1>
            <xm:f>Sheet2!$B$1:$B$8</xm:f>
          </x14:formula1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G3:U46"/>
  <sheetViews>
    <sheetView topLeftCell="C9" zoomScale="86" zoomScaleNormal="100" workbookViewId="0">
      <selection activeCell="G12" sqref="G12:P12"/>
    </sheetView>
  </sheetViews>
  <sheetFormatPr defaultRowHeight="14.4"/>
  <cols>
    <col min="5" max="6" width="8.88671875" customWidth="1"/>
    <col min="7" max="7" width="14" customWidth="1"/>
    <col min="8" max="8" width="16" customWidth="1"/>
    <col min="9" max="9" width="41.5546875" customWidth="1"/>
    <col min="10" max="11" width="14" customWidth="1"/>
    <col min="12" max="12" width="19" customWidth="1"/>
    <col min="13" max="13" width="18.44140625" customWidth="1"/>
    <col min="14" max="14" width="16.33203125" customWidth="1"/>
    <col min="15" max="15" width="17" customWidth="1"/>
  </cols>
  <sheetData>
    <row r="3" spans="7:21"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7:21"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7:21">
      <c r="G5" s="41"/>
      <c r="H5" s="42" t="s">
        <v>54</v>
      </c>
      <c r="I5" s="42" t="s">
        <v>2</v>
      </c>
      <c r="J5" s="41"/>
      <c r="K5" s="41"/>
      <c r="L5" s="41"/>
      <c r="M5" s="41"/>
      <c r="N5" s="41"/>
      <c r="O5" s="41"/>
      <c r="P5" s="41"/>
    </row>
    <row r="6" spans="7:21"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7:21" ht="16.2" customHeight="1">
      <c r="G7" s="41"/>
      <c r="H7" s="41"/>
      <c r="I7" s="43"/>
      <c r="J7" s="41"/>
      <c r="K7" s="41"/>
      <c r="L7" s="41"/>
      <c r="M7" s="41"/>
      <c r="N7" s="41"/>
      <c r="O7" s="41"/>
      <c r="P7" s="41"/>
    </row>
    <row r="8" spans="7:21"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7:21" ht="17.399999999999999">
      <c r="G9" s="41"/>
      <c r="H9" s="41"/>
      <c r="I9" s="43" t="s">
        <v>53</v>
      </c>
      <c r="J9" s="41"/>
      <c r="K9" s="41"/>
      <c r="L9" s="41"/>
      <c r="M9" s="41"/>
      <c r="N9" s="41"/>
      <c r="O9" s="41"/>
      <c r="P9" s="41"/>
    </row>
    <row r="10" spans="7:21"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7:21" ht="21">
      <c r="G11" s="50" t="s">
        <v>14</v>
      </c>
      <c r="H11" s="50" t="s">
        <v>19</v>
      </c>
      <c r="I11" s="50" t="s">
        <v>15</v>
      </c>
      <c r="J11" s="50" t="s">
        <v>16</v>
      </c>
      <c r="K11" s="50" t="s">
        <v>17</v>
      </c>
      <c r="L11" s="50" t="s">
        <v>62</v>
      </c>
      <c r="M11" s="50" t="s">
        <v>18</v>
      </c>
      <c r="N11" s="50" t="s">
        <v>28</v>
      </c>
      <c r="O11" s="50" t="s">
        <v>30</v>
      </c>
      <c r="P11" s="50" t="s">
        <v>29</v>
      </c>
      <c r="Q11" s="41"/>
      <c r="U11" s="48">
        <v>2000</v>
      </c>
    </row>
    <row r="12" spans="7:21">
      <c r="G12" s="44">
        <v>1</v>
      </c>
      <c r="H12" s="45">
        <v>44577</v>
      </c>
      <c r="I12" s="44" t="s">
        <v>31</v>
      </c>
      <c r="J12" s="44">
        <v>2000</v>
      </c>
      <c r="K12" s="44"/>
      <c r="L12" s="44">
        <f>SUM(Table2[[#This Row],[VARGANI]],Table2[[#This Row],[VYAJ]])</f>
        <v>2000</v>
      </c>
      <c r="M12" s="44"/>
      <c r="N12" s="44"/>
      <c r="O12" s="44">
        <f>Table2[[#This Row],[KARJ]]-Table2[[#This Row],[PARAT PHED]]</f>
        <v>0</v>
      </c>
      <c r="P12" s="44"/>
      <c r="Q12" s="41"/>
      <c r="U12" s="44">
        <v>2000</v>
      </c>
    </row>
    <row r="13" spans="7:21">
      <c r="G13" s="44">
        <v>2</v>
      </c>
      <c r="H13" s="44"/>
      <c r="I13" s="44" t="s">
        <v>60</v>
      </c>
      <c r="J13" s="44">
        <v>2000</v>
      </c>
      <c r="K13" s="44"/>
      <c r="L13" s="44">
        <f>SUM(Table2[[#This Row],[VARGANI]],Table2[[#This Row],[VYAJ]])</f>
        <v>2000</v>
      </c>
      <c r="M13" s="44"/>
      <c r="N13" s="44"/>
      <c r="O13" s="44">
        <f>Table2[[#This Row],[KARJ]]-Table2[[#This Row],[PARAT PHED]]</f>
        <v>0</v>
      </c>
      <c r="P13" s="44"/>
      <c r="Q13" s="41"/>
      <c r="U13" s="48">
        <v>2000</v>
      </c>
    </row>
    <row r="14" spans="7:21">
      <c r="G14" s="44">
        <v>3</v>
      </c>
      <c r="H14" s="44"/>
      <c r="I14" s="44" t="s">
        <v>32</v>
      </c>
      <c r="J14" s="44">
        <v>2000</v>
      </c>
      <c r="K14" s="44"/>
      <c r="L14" s="44">
        <f>SUM(Table2[[#This Row],[VARGANI]],Table2[[#This Row],[VYAJ]])</f>
        <v>2000</v>
      </c>
      <c r="M14" s="44"/>
      <c r="N14" s="44"/>
      <c r="O14" s="44">
        <f>Table2[[#This Row],[KARJ]]-Table2[[#This Row],[PARAT PHED]]</f>
        <v>0</v>
      </c>
      <c r="P14" s="44"/>
      <c r="Q14" s="41"/>
      <c r="U14" s="44">
        <v>1200</v>
      </c>
    </row>
    <row r="15" spans="7:21">
      <c r="G15" s="44">
        <v>4</v>
      </c>
      <c r="H15" s="44"/>
      <c r="I15" s="44" t="s">
        <v>38</v>
      </c>
      <c r="J15" s="44">
        <v>1200</v>
      </c>
      <c r="K15" s="44"/>
      <c r="L15" s="44">
        <f>SUM(Table2[[#This Row],[VARGANI]],Table2[[#This Row],[VYAJ]])</f>
        <v>1200</v>
      </c>
      <c r="M15" s="44"/>
      <c r="N15" s="44"/>
      <c r="O15" s="44">
        <f>Table2[[#This Row],[KARJ]]-Table2[[#This Row],[PARAT PHED]]</f>
        <v>0</v>
      </c>
      <c r="P15" s="44"/>
      <c r="Q15" s="41"/>
      <c r="U15" s="48">
        <v>1000</v>
      </c>
    </row>
    <row r="16" spans="7:21">
      <c r="G16" s="44">
        <v>5</v>
      </c>
      <c r="H16" s="44"/>
      <c r="I16" s="44" t="s">
        <v>61</v>
      </c>
      <c r="J16" s="44">
        <v>1000</v>
      </c>
      <c r="K16" s="44"/>
      <c r="L16" s="44">
        <f>SUM(Table2[[#This Row],[VARGANI]],Table2[[#This Row],[VYAJ]])</f>
        <v>1000</v>
      </c>
      <c r="M16" s="44"/>
      <c r="N16" s="44"/>
      <c r="O16" s="44">
        <f>Table2[[#This Row],[KARJ]]-Table2[[#This Row],[PARAT PHED]]</f>
        <v>0</v>
      </c>
      <c r="P16" s="44"/>
      <c r="Q16" s="41"/>
      <c r="U16" s="44">
        <v>1000</v>
      </c>
    </row>
    <row r="17" spans="7:21">
      <c r="G17" s="44">
        <v>6</v>
      </c>
      <c r="H17" s="44"/>
      <c r="I17" s="44" t="s">
        <v>33</v>
      </c>
      <c r="J17" s="44">
        <v>1000</v>
      </c>
      <c r="K17" s="44"/>
      <c r="L17" s="44">
        <f>SUM(Table2[[#This Row],[VARGANI]],Table2[[#This Row],[VYAJ]])</f>
        <v>1000</v>
      </c>
      <c r="M17" s="44">
        <v>10000</v>
      </c>
      <c r="N17" s="44"/>
      <c r="O17" s="44">
        <f>Table2[[#This Row],[KARJ]]-Table2[[#This Row],[PARAT PHED]]</f>
        <v>10000</v>
      </c>
      <c r="P17" s="44"/>
      <c r="Q17" s="41"/>
      <c r="U17" s="48">
        <v>1000</v>
      </c>
    </row>
    <row r="18" spans="7:21">
      <c r="G18" s="44">
        <v>7</v>
      </c>
      <c r="H18" s="44"/>
      <c r="I18" s="44" t="s">
        <v>34</v>
      </c>
      <c r="J18" s="44">
        <v>1000</v>
      </c>
      <c r="K18" s="44"/>
      <c r="L18" s="44">
        <f>SUM(Table2[[#This Row],[VARGANI]],Table2[[#This Row],[VYAJ]])</f>
        <v>1000</v>
      </c>
      <c r="M18" s="44"/>
      <c r="N18" s="44"/>
      <c r="O18" s="44">
        <f>Table2[[#This Row],[KARJ]]-Table2[[#This Row],[PARAT PHED]]</f>
        <v>0</v>
      </c>
      <c r="P18" s="44"/>
      <c r="Q18" s="41"/>
      <c r="U18" s="44">
        <v>1000</v>
      </c>
    </row>
    <row r="19" spans="7:21">
      <c r="G19" s="44">
        <v>8</v>
      </c>
      <c r="H19" s="44"/>
      <c r="I19" s="44" t="s">
        <v>35</v>
      </c>
      <c r="J19" s="44">
        <v>1000</v>
      </c>
      <c r="K19" s="44"/>
      <c r="L19" s="44">
        <f>SUM(Table2[[#This Row],[VARGANI]],Table2[[#This Row],[VYAJ]])</f>
        <v>1000</v>
      </c>
      <c r="M19" s="44"/>
      <c r="N19" s="44"/>
      <c r="O19" s="44">
        <f>Table2[[#This Row],[KARJ]]-Table2[[#This Row],[PARAT PHED]]</f>
        <v>0</v>
      </c>
      <c r="P19" s="44"/>
      <c r="Q19" s="41"/>
      <c r="U19" s="48">
        <v>1000</v>
      </c>
    </row>
    <row r="20" spans="7:21">
      <c r="G20" s="44">
        <v>9</v>
      </c>
      <c r="H20" s="44"/>
      <c r="I20" s="44" t="s">
        <v>36</v>
      </c>
      <c r="J20" s="44">
        <v>1000</v>
      </c>
      <c r="K20" s="44"/>
      <c r="L20" s="44">
        <f>SUM(Table2[[#This Row],[VARGANI]],Table2[[#This Row],[VYAJ]])</f>
        <v>1000</v>
      </c>
      <c r="M20" s="44"/>
      <c r="N20" s="44"/>
      <c r="O20" s="44">
        <f>Table2[[#This Row],[KARJ]]-Table2[[#This Row],[PARAT PHED]]</f>
        <v>0</v>
      </c>
      <c r="P20" s="44"/>
      <c r="Q20" s="41"/>
      <c r="U20" s="44">
        <v>1000</v>
      </c>
    </row>
    <row r="21" spans="7:21">
      <c r="G21" s="44">
        <v>10</v>
      </c>
      <c r="H21" s="44"/>
      <c r="I21" s="44" t="s">
        <v>37</v>
      </c>
      <c r="J21" s="44">
        <v>1000</v>
      </c>
      <c r="K21" s="44"/>
      <c r="L21" s="44">
        <f>SUM(Table2[[#This Row],[VARGANI]],Table2[[#This Row],[VYAJ]])</f>
        <v>1000</v>
      </c>
      <c r="M21" s="44"/>
      <c r="N21" s="44"/>
      <c r="O21" s="44">
        <f>Table2[[#This Row],[KARJ]]-Table2[[#This Row],[PARAT PHED]]</f>
        <v>0</v>
      </c>
      <c r="P21" s="44"/>
      <c r="Q21" s="41"/>
      <c r="U21" s="48">
        <v>1000</v>
      </c>
    </row>
    <row r="22" spans="7:21">
      <c r="G22" s="44">
        <v>11</v>
      </c>
      <c r="H22" s="44"/>
      <c r="I22" s="44" t="s">
        <v>22</v>
      </c>
      <c r="J22" s="44">
        <v>1000</v>
      </c>
      <c r="K22" s="44"/>
      <c r="L22" s="44">
        <f>SUM(Table2[[#This Row],[VARGANI]],Table2[[#This Row],[VYAJ]])</f>
        <v>1000</v>
      </c>
      <c r="M22" s="44"/>
      <c r="N22" s="44"/>
      <c r="O22" s="44">
        <f>Table2[[#This Row],[KARJ]]-Table2[[#This Row],[PARAT PHED]]</f>
        <v>0</v>
      </c>
      <c r="P22" s="44"/>
      <c r="Q22" s="41"/>
      <c r="U22" s="44">
        <v>1000</v>
      </c>
    </row>
    <row r="23" spans="7:21">
      <c r="G23" s="44">
        <v>12</v>
      </c>
      <c r="H23" s="44"/>
      <c r="I23" s="44" t="s">
        <v>55</v>
      </c>
      <c r="J23" s="44">
        <v>1000</v>
      </c>
      <c r="K23" s="44"/>
      <c r="L23" s="44">
        <f>SUM(Table2[[#This Row],[VARGANI]],Table2[[#This Row],[VYAJ]])</f>
        <v>1000</v>
      </c>
      <c r="M23" s="44"/>
      <c r="N23" s="44"/>
      <c r="O23" s="44">
        <f>Table2[[#This Row],[KARJ]]-Table2[[#This Row],[PARAT PHED]]</f>
        <v>0</v>
      </c>
      <c r="P23" s="44"/>
      <c r="Q23" s="41"/>
      <c r="U23" s="48">
        <v>1000</v>
      </c>
    </row>
    <row r="24" spans="7:21">
      <c r="G24" s="44">
        <v>13</v>
      </c>
      <c r="H24" s="44"/>
      <c r="I24" s="44" t="s">
        <v>56</v>
      </c>
      <c r="J24" s="44">
        <v>1000</v>
      </c>
      <c r="K24" s="44"/>
      <c r="L24" s="44">
        <f>SUM(Table2[[#This Row],[VARGANI]],Table2[[#This Row],[VYAJ]])</f>
        <v>1000</v>
      </c>
      <c r="M24" s="44"/>
      <c r="N24" s="44"/>
      <c r="O24" s="44">
        <f>Table2[[#This Row],[KARJ]]-Table2[[#This Row],[PARAT PHED]]</f>
        <v>0</v>
      </c>
      <c r="P24" s="44"/>
      <c r="Q24" s="41"/>
      <c r="U24" s="44">
        <v>1000</v>
      </c>
    </row>
    <row r="25" spans="7:21">
      <c r="G25" s="44">
        <v>14</v>
      </c>
      <c r="H25" s="44"/>
      <c r="I25" s="44" t="s">
        <v>57</v>
      </c>
      <c r="J25" s="44">
        <v>1000</v>
      </c>
      <c r="K25" s="44"/>
      <c r="L25" s="44">
        <f>SUM(Table2[[#This Row],[VARGANI]],Table2[[#This Row],[VYAJ]])</f>
        <v>1000</v>
      </c>
      <c r="M25" s="44"/>
      <c r="N25" s="44"/>
      <c r="O25" s="44">
        <f>Table2[[#This Row],[KARJ]]-Table2[[#This Row],[PARAT PHED]]</f>
        <v>0</v>
      </c>
      <c r="P25" s="44"/>
      <c r="Q25" s="41"/>
      <c r="U25" s="48">
        <v>600</v>
      </c>
    </row>
    <row r="26" spans="7:21">
      <c r="G26" s="44">
        <v>15</v>
      </c>
      <c r="H26" s="44"/>
      <c r="I26" s="44" t="s">
        <v>39</v>
      </c>
      <c r="J26" s="44">
        <v>600</v>
      </c>
      <c r="K26" s="44"/>
      <c r="L26" s="44">
        <f>SUM(Table2[[#This Row],[VARGANI]],Table2[[#This Row],[VYAJ]])</f>
        <v>600</v>
      </c>
      <c r="M26" s="44"/>
      <c r="N26" s="44"/>
      <c r="O26" s="44">
        <f>Table2[[#This Row],[KARJ]]-Table2[[#This Row],[PARAT PHED]]</f>
        <v>0</v>
      </c>
      <c r="P26" s="44"/>
      <c r="Q26" s="41"/>
      <c r="U26" s="44">
        <v>600</v>
      </c>
    </row>
    <row r="27" spans="7:21">
      <c r="G27" s="44">
        <v>16</v>
      </c>
      <c r="H27" s="44"/>
      <c r="I27" s="44" t="s">
        <v>40</v>
      </c>
      <c r="J27" s="44">
        <v>600</v>
      </c>
      <c r="K27" s="44"/>
      <c r="L27" s="44">
        <f>SUM(Table2[[#This Row],[VARGANI]],Table2[[#This Row],[VYAJ]])</f>
        <v>600</v>
      </c>
      <c r="M27" s="44"/>
      <c r="N27" s="44"/>
      <c r="O27" s="44">
        <f>Table2[[#This Row],[KARJ]]-Table2[[#This Row],[PARAT PHED]]</f>
        <v>0</v>
      </c>
      <c r="P27" s="44"/>
      <c r="Q27" s="41"/>
      <c r="U27" s="48">
        <v>600</v>
      </c>
    </row>
    <row r="28" spans="7:21">
      <c r="G28" s="44">
        <v>17</v>
      </c>
      <c r="H28" s="44"/>
      <c r="I28" s="44" t="s">
        <v>41</v>
      </c>
      <c r="J28" s="44">
        <v>600</v>
      </c>
      <c r="K28" s="44"/>
      <c r="L28" s="44">
        <f>SUM(Table2[[#This Row],[VARGANI]],Table2[[#This Row],[VYAJ]])</f>
        <v>600</v>
      </c>
      <c r="M28" s="44"/>
      <c r="N28" s="44"/>
      <c r="O28" s="44">
        <f>Table2[[#This Row],[KARJ]]-Table2[[#This Row],[PARAT PHED]]</f>
        <v>0</v>
      </c>
      <c r="P28" s="44"/>
      <c r="Q28" s="41"/>
      <c r="U28" s="44">
        <v>600</v>
      </c>
    </row>
    <row r="29" spans="7:21">
      <c r="G29" s="44">
        <v>18</v>
      </c>
      <c r="H29" s="44"/>
      <c r="I29" s="44" t="s">
        <v>42</v>
      </c>
      <c r="J29" s="44">
        <v>600</v>
      </c>
      <c r="K29" s="44"/>
      <c r="L29" s="44">
        <f>SUM(Table2[[#This Row],[VARGANI]],Table2[[#This Row],[VYAJ]])</f>
        <v>600</v>
      </c>
      <c r="M29" s="44">
        <v>2000</v>
      </c>
      <c r="N29" s="44"/>
      <c r="O29" s="44">
        <f>Table2[[#This Row],[KARJ]]-Table2[[#This Row],[PARAT PHED]]</f>
        <v>2000</v>
      </c>
      <c r="P29" s="44"/>
      <c r="Q29" s="41"/>
      <c r="U29" s="48">
        <v>600</v>
      </c>
    </row>
    <row r="30" spans="7:21">
      <c r="G30" s="44">
        <v>19</v>
      </c>
      <c r="H30" s="44"/>
      <c r="I30" s="44" t="s">
        <v>43</v>
      </c>
      <c r="J30" s="44">
        <v>600</v>
      </c>
      <c r="K30" s="44"/>
      <c r="L30" s="44">
        <f>SUM(Table2[[#This Row],[VARGANI]],Table2[[#This Row],[VYAJ]])</f>
        <v>600</v>
      </c>
      <c r="M30" s="44"/>
      <c r="N30" s="44"/>
      <c r="O30" s="44">
        <f>Table2[[#This Row],[KARJ]]-Table2[[#This Row],[PARAT PHED]]</f>
        <v>0</v>
      </c>
      <c r="P30" s="44"/>
      <c r="Q30" s="41"/>
      <c r="U30" s="44">
        <v>600</v>
      </c>
    </row>
    <row r="31" spans="7:21">
      <c r="G31" s="44">
        <v>20</v>
      </c>
      <c r="H31" s="44"/>
      <c r="I31" s="44" t="s">
        <v>44</v>
      </c>
      <c r="J31" s="44">
        <v>600</v>
      </c>
      <c r="K31" s="44"/>
      <c r="L31" s="44">
        <f>SUM(Table2[[#This Row],[VARGANI]],Table2[[#This Row],[VYAJ]])</f>
        <v>600</v>
      </c>
      <c r="M31" s="44">
        <v>6000</v>
      </c>
      <c r="N31" s="44"/>
      <c r="O31" s="44">
        <f>Table2[[#This Row],[KARJ]]-Table2[[#This Row],[PARAT PHED]]</f>
        <v>6000</v>
      </c>
      <c r="P31" s="44"/>
      <c r="Q31" s="41"/>
      <c r="U31" s="48">
        <v>600</v>
      </c>
    </row>
    <row r="32" spans="7:21">
      <c r="G32" s="44">
        <v>21</v>
      </c>
      <c r="H32" s="44"/>
      <c r="I32" s="44" t="s">
        <v>45</v>
      </c>
      <c r="J32" s="44">
        <v>600</v>
      </c>
      <c r="K32" s="44"/>
      <c r="L32" s="44">
        <f>SUM(Table2[[#This Row],[VARGANI]],Table2[[#This Row],[VYAJ]])</f>
        <v>600</v>
      </c>
      <c r="M32" s="44"/>
      <c r="N32" s="44"/>
      <c r="O32" s="44">
        <f>Table2[[#This Row],[KARJ]]-Table2[[#This Row],[PARAT PHED]]</f>
        <v>0</v>
      </c>
      <c r="P32" s="44"/>
      <c r="Q32" s="41"/>
      <c r="U32" s="44">
        <v>600</v>
      </c>
    </row>
    <row r="33" spans="7:21">
      <c r="G33" s="44">
        <v>22</v>
      </c>
      <c r="H33" s="44"/>
      <c r="I33" s="44" t="s">
        <v>46</v>
      </c>
      <c r="J33" s="44">
        <v>600</v>
      </c>
      <c r="K33" s="44"/>
      <c r="L33" s="44">
        <f>SUM(Table2[[#This Row],[VARGANI]],Table2[[#This Row],[VYAJ]])</f>
        <v>600</v>
      </c>
      <c r="M33" s="44"/>
      <c r="N33" s="44"/>
      <c r="O33" s="44">
        <f>Table2[[#This Row],[KARJ]]-Table2[[#This Row],[PARAT PHED]]</f>
        <v>0</v>
      </c>
      <c r="P33" s="44"/>
      <c r="Q33" s="41"/>
      <c r="U33" s="48">
        <v>600</v>
      </c>
    </row>
    <row r="34" spans="7:21">
      <c r="G34" s="44">
        <v>23</v>
      </c>
      <c r="H34" s="44"/>
      <c r="I34" s="44" t="s">
        <v>47</v>
      </c>
      <c r="J34" s="44">
        <v>600</v>
      </c>
      <c r="K34" s="44"/>
      <c r="L34" s="44">
        <f>SUM(Table2[[#This Row],[VARGANI]],Table2[[#This Row],[VYAJ]])</f>
        <v>600</v>
      </c>
      <c r="M34" s="44"/>
      <c r="N34" s="44"/>
      <c r="O34" s="44">
        <f>Table2[[#This Row],[KARJ]]-Table2[[#This Row],[PARAT PHED]]</f>
        <v>0</v>
      </c>
      <c r="P34" s="44"/>
      <c r="Q34" s="41"/>
      <c r="U34" s="44">
        <v>400</v>
      </c>
    </row>
    <row r="35" spans="7:21">
      <c r="G35" s="44">
        <v>24</v>
      </c>
      <c r="H35" s="44"/>
      <c r="I35" s="44" t="s">
        <v>48</v>
      </c>
      <c r="J35" s="44">
        <v>400</v>
      </c>
      <c r="K35" s="44"/>
      <c r="L35" s="44">
        <f>SUM(Table2[[#This Row],[VARGANI]],Table2[[#This Row],[VYAJ]])</f>
        <v>400</v>
      </c>
      <c r="M35" s="44"/>
      <c r="N35" s="44"/>
      <c r="O35" s="44">
        <f>Table2[[#This Row],[KARJ]]-Table2[[#This Row],[PARAT PHED]]</f>
        <v>0</v>
      </c>
      <c r="P35" s="44"/>
      <c r="Q35" s="41"/>
      <c r="U35" s="48">
        <v>400</v>
      </c>
    </row>
    <row r="36" spans="7:21">
      <c r="G36" s="44">
        <v>25</v>
      </c>
      <c r="H36" s="44"/>
      <c r="I36" s="44" t="s">
        <v>49</v>
      </c>
      <c r="J36" s="44">
        <v>400</v>
      </c>
      <c r="K36" s="44"/>
      <c r="L36" s="44">
        <f>SUM(Table2[[#This Row],[VARGANI]],Table2[[#This Row],[VYAJ]])</f>
        <v>400</v>
      </c>
      <c r="M36" s="44"/>
      <c r="N36" s="44"/>
      <c r="O36" s="44">
        <f>Table2[[#This Row],[KARJ]]-Table2[[#This Row],[PARAT PHED]]</f>
        <v>0</v>
      </c>
      <c r="P36" s="44"/>
      <c r="Q36" s="41"/>
      <c r="U36" s="44">
        <v>400</v>
      </c>
    </row>
    <row r="37" spans="7:21">
      <c r="G37" s="44">
        <v>26</v>
      </c>
      <c r="H37" s="44"/>
      <c r="I37" s="44" t="s">
        <v>50</v>
      </c>
      <c r="J37" s="44">
        <v>400</v>
      </c>
      <c r="K37" s="44"/>
      <c r="L37" s="44">
        <f>SUM(Table2[[#This Row],[VARGANI]],Table2[[#This Row],[VYAJ]])</f>
        <v>400</v>
      </c>
      <c r="M37" s="44">
        <v>6000</v>
      </c>
      <c r="N37" s="44"/>
      <c r="O37" s="44">
        <f>Table2[[#This Row],[KARJ]]-Table2[[#This Row],[PARAT PHED]]</f>
        <v>6000</v>
      </c>
      <c r="P37" s="46"/>
      <c r="Q37" s="41"/>
      <c r="U37" s="48">
        <v>400</v>
      </c>
    </row>
    <row r="38" spans="7:21">
      <c r="G38" s="44">
        <v>27</v>
      </c>
      <c r="H38" s="44"/>
      <c r="I38" s="44" t="s">
        <v>58</v>
      </c>
      <c r="J38" s="44">
        <v>400</v>
      </c>
      <c r="K38" s="44"/>
      <c r="L38" s="44">
        <f>SUM(Table2[[#This Row],[VARGANI]],Table2[[#This Row],[VYAJ]])</f>
        <v>400</v>
      </c>
      <c r="M38" s="44"/>
      <c r="N38" s="44"/>
      <c r="O38" s="47">
        <f>Table2[[#This Row],[KARJ]]-Table2[[#This Row],[PARAT PHED]]</f>
        <v>0</v>
      </c>
      <c r="P38" s="46"/>
      <c r="Q38" s="41"/>
      <c r="U38" s="44">
        <v>200</v>
      </c>
    </row>
    <row r="39" spans="7:21">
      <c r="G39" s="44">
        <v>28</v>
      </c>
      <c r="H39" s="44"/>
      <c r="I39" s="44" t="s">
        <v>51</v>
      </c>
      <c r="J39" s="44">
        <v>200</v>
      </c>
      <c r="K39" s="44"/>
      <c r="L39" s="44">
        <f>SUM(Table2[[#This Row],[VARGANI]],Table2[[#This Row],[VYAJ]])</f>
        <v>200</v>
      </c>
      <c r="M39" s="44"/>
      <c r="N39" s="44"/>
      <c r="O39" s="44">
        <f>Table2[[#This Row],[KARJ]]-Table2[[#This Row],[PARAT PHED]]</f>
        <v>0</v>
      </c>
      <c r="P39" s="46"/>
      <c r="Q39" s="41"/>
      <c r="U39" s="48">
        <v>200</v>
      </c>
    </row>
    <row r="40" spans="7:21">
      <c r="G40" s="44">
        <v>29</v>
      </c>
      <c r="H40" s="44"/>
      <c r="I40" s="44" t="s">
        <v>52</v>
      </c>
      <c r="J40" s="44">
        <v>200</v>
      </c>
      <c r="K40" s="44"/>
      <c r="L40" s="44">
        <f>SUM(Table2[[#This Row],[VARGANI]],Table2[[#This Row],[VYAJ]])</f>
        <v>200</v>
      </c>
      <c r="M40" s="44"/>
      <c r="N40" s="44"/>
      <c r="O40" s="44">
        <f>Table2[[#This Row],[KARJ]]-Table2[[#This Row],[PARAT PHED]]</f>
        <v>0</v>
      </c>
      <c r="P40" s="46"/>
      <c r="Q40" s="41"/>
      <c r="U40" s="44">
        <v>200</v>
      </c>
    </row>
    <row r="41" spans="7:21">
      <c r="G41" s="44">
        <v>30</v>
      </c>
      <c r="H41" s="44"/>
      <c r="I41" s="44" t="s">
        <v>59</v>
      </c>
      <c r="J41" s="44">
        <v>200</v>
      </c>
      <c r="K41" s="44"/>
      <c r="L41" s="44">
        <f>SUM(Table2[[#This Row],[VARGANI]],Table2[[#This Row],[VYAJ]])</f>
        <v>200</v>
      </c>
      <c r="M41" s="44"/>
      <c r="N41" s="44"/>
      <c r="O41" s="44"/>
      <c r="P41" s="46"/>
      <c r="Q41" s="41"/>
      <c r="U41">
        <f>SUM(U11:U40)</f>
        <v>24800</v>
      </c>
    </row>
    <row r="42" spans="7:21">
      <c r="G42" s="41"/>
    </row>
    <row r="43" spans="7:21"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7:21"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7:21">
      <c r="G45" s="41"/>
      <c r="H45" s="41"/>
      <c r="I45" s="49" t="s">
        <v>27</v>
      </c>
      <c r="J45" s="49">
        <f>SUM(Table2[VARGANI])</f>
        <v>24800</v>
      </c>
      <c r="K45" s="49">
        <f>SUM(K12:K41)</f>
        <v>0</v>
      </c>
      <c r="L45" s="49">
        <f>SUM(M12:M41)</f>
        <v>24000</v>
      </c>
      <c r="M45" s="49">
        <f>SUM(N12:N41)</f>
        <v>0</v>
      </c>
      <c r="N45" s="49">
        <f>SUM(O12:O41)</f>
        <v>24000</v>
      </c>
      <c r="O45" s="49">
        <f>SUM(P12:P41)</f>
        <v>0</v>
      </c>
      <c r="P45" s="41"/>
    </row>
    <row r="46" spans="7:21">
      <c r="G46" s="41"/>
      <c r="H46" s="41"/>
      <c r="I46" s="41"/>
      <c r="J46" s="41"/>
      <c r="K46" s="41"/>
      <c r="L46" s="41"/>
      <c r="M46" s="41"/>
      <c r="N46" s="41"/>
      <c r="O46" s="4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Sheet2!$A$1:$A$12</xm:f>
          </x14:formula1>
          <xm:sqref>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I7:AP64"/>
  <sheetViews>
    <sheetView tabSelected="1" topLeftCell="AC37" zoomScale="78" zoomScaleNormal="50" workbookViewId="0">
      <selection activeCell="AJ55" sqref="AJ55"/>
    </sheetView>
  </sheetViews>
  <sheetFormatPr defaultRowHeight="14.4"/>
  <cols>
    <col min="8" max="8" width="9.44140625" customWidth="1"/>
    <col min="9" max="9" width="8.109375" customWidth="1"/>
    <col min="10" max="10" width="14.44140625" customWidth="1"/>
    <col min="11" max="11" width="39.77734375" customWidth="1"/>
    <col min="12" max="12" width="12.33203125" customWidth="1"/>
    <col min="13" max="13" width="11.6640625" customWidth="1"/>
    <col min="14" max="14" width="13.33203125" customWidth="1"/>
    <col min="15" max="15" width="12.33203125" customWidth="1"/>
    <col min="16" max="16" width="13.33203125" customWidth="1"/>
    <col min="17" max="17" width="12.33203125" customWidth="1"/>
    <col min="18" max="18" width="11.44140625" customWidth="1"/>
    <col min="19" max="19" width="12.88671875" customWidth="1"/>
    <col min="20" max="20" width="11.6640625" customWidth="1"/>
    <col min="21" max="21" width="12.33203125" customWidth="1"/>
    <col min="22" max="22" width="13.33203125" customWidth="1"/>
    <col min="23" max="23" width="12.33203125" customWidth="1"/>
    <col min="24" max="24" width="13.6640625" customWidth="1"/>
    <col min="25" max="25" width="13.33203125" customWidth="1"/>
    <col min="26" max="26" width="14.88671875" customWidth="1"/>
    <col min="27" max="27" width="14.109375" customWidth="1"/>
    <col min="28" max="28" width="14.88671875" customWidth="1"/>
    <col min="29" max="29" width="13.6640625" customWidth="1"/>
    <col min="30" max="30" width="13" customWidth="1"/>
    <col min="31" max="31" width="14.5546875" customWidth="1"/>
    <col min="32" max="32" width="14.88671875" customWidth="1"/>
    <col min="33" max="33" width="15.5546875" customWidth="1"/>
    <col min="34" max="34" width="16.6640625" customWidth="1"/>
    <col min="35" max="35" width="15.44140625" customWidth="1"/>
    <col min="36" max="36" width="13.5546875" customWidth="1"/>
    <col min="37" max="37" width="22.5546875" customWidth="1"/>
    <col min="38" max="38" width="13.33203125" customWidth="1"/>
    <col min="39" max="39" width="18" customWidth="1"/>
    <col min="40" max="40" width="15.44140625" customWidth="1"/>
    <col min="41" max="41" width="11.88671875" customWidth="1"/>
    <col min="42" max="42" width="17" hidden="1" customWidth="1"/>
  </cols>
  <sheetData>
    <row r="7" spans="9:42" ht="15" thickBot="1"/>
    <row r="8" spans="9:42" ht="14.4" customHeight="1">
      <c r="I8" s="137" t="s">
        <v>53</v>
      </c>
      <c r="J8" s="138"/>
      <c r="K8" s="138"/>
      <c r="L8" s="138"/>
      <c r="M8" s="138"/>
      <c r="N8" s="138"/>
      <c r="O8" s="138"/>
      <c r="P8" s="139"/>
    </row>
    <row r="9" spans="9:42" ht="27" customHeight="1">
      <c r="I9" s="140"/>
      <c r="J9" s="141"/>
      <c r="K9" s="141"/>
      <c r="L9" s="141"/>
      <c r="M9" s="141"/>
      <c r="N9" s="141"/>
      <c r="O9" s="141"/>
      <c r="P9" s="142"/>
      <c r="R9" s="148" t="s">
        <v>90</v>
      </c>
      <c r="S9" s="148"/>
      <c r="T9" s="149" t="s">
        <v>255</v>
      </c>
      <c r="U9" s="150"/>
      <c r="V9" s="150"/>
      <c r="W9" s="150"/>
    </row>
    <row r="10" spans="9:42" ht="14.4" customHeight="1">
      <c r="I10" s="140"/>
      <c r="J10" s="141"/>
      <c r="K10" s="141"/>
      <c r="L10" s="141"/>
      <c r="M10" s="141"/>
      <c r="N10" s="141"/>
      <c r="O10" s="141"/>
      <c r="P10" s="142"/>
    </row>
    <row r="11" spans="9:42" ht="15" customHeight="1" thickBot="1">
      <c r="I11" s="143"/>
      <c r="J11" s="144"/>
      <c r="K11" s="144"/>
      <c r="L11" s="144"/>
      <c r="M11" s="144"/>
      <c r="N11" s="144"/>
      <c r="O11" s="144"/>
      <c r="P11" s="145"/>
    </row>
    <row r="12" spans="9:42" ht="9" customHeight="1">
      <c r="I12" s="54"/>
      <c r="J12" s="54"/>
      <c r="K12" s="54"/>
      <c r="L12" s="54"/>
      <c r="M12" s="54"/>
      <c r="N12" s="54"/>
      <c r="O12" s="54"/>
      <c r="P12" s="54"/>
    </row>
    <row r="13" spans="9:42" hidden="1"/>
    <row r="14" spans="9:42" ht="18" hidden="1" customHeight="1" thickBot="1"/>
    <row r="15" spans="9:42" ht="18">
      <c r="I15" s="76" t="s">
        <v>14</v>
      </c>
      <c r="J15" s="77" t="s">
        <v>19</v>
      </c>
      <c r="K15" s="77" t="s">
        <v>15</v>
      </c>
      <c r="L15" s="77" t="s">
        <v>2</v>
      </c>
      <c r="M15" s="77" t="s">
        <v>3</v>
      </c>
      <c r="N15" s="77" t="s">
        <v>4</v>
      </c>
      <c r="O15" s="77" t="s">
        <v>5</v>
      </c>
      <c r="P15" s="77" t="s">
        <v>6</v>
      </c>
      <c r="Q15" s="77" t="s">
        <v>7</v>
      </c>
      <c r="R15" s="77" t="s">
        <v>8</v>
      </c>
      <c r="S15" s="77" t="s">
        <v>9</v>
      </c>
      <c r="T15" s="77" t="s">
        <v>10</v>
      </c>
      <c r="U15" s="77" t="s">
        <v>11</v>
      </c>
      <c r="V15" s="77" t="s">
        <v>12</v>
      </c>
      <c r="W15" s="77" t="s">
        <v>13</v>
      </c>
      <c r="X15" s="77" t="s">
        <v>69</v>
      </c>
      <c r="Y15" s="77" t="s">
        <v>70</v>
      </c>
      <c r="Z15" s="77" t="s">
        <v>77</v>
      </c>
      <c r="AA15" s="77" t="s">
        <v>78</v>
      </c>
      <c r="AB15" s="77" t="s">
        <v>79</v>
      </c>
      <c r="AC15" s="77" t="s">
        <v>80</v>
      </c>
      <c r="AD15" s="77" t="s">
        <v>81</v>
      </c>
      <c r="AE15" s="77" t="s">
        <v>82</v>
      </c>
      <c r="AF15" s="77" t="s">
        <v>83</v>
      </c>
      <c r="AG15" s="77" t="s">
        <v>84</v>
      </c>
      <c r="AH15" s="77" t="s">
        <v>85</v>
      </c>
      <c r="AI15" s="77" t="s">
        <v>86</v>
      </c>
      <c r="AJ15" s="77" t="s">
        <v>17</v>
      </c>
      <c r="AK15" s="77" t="s">
        <v>62</v>
      </c>
      <c r="AL15" s="77" t="s">
        <v>18</v>
      </c>
      <c r="AM15" s="77" t="s">
        <v>28</v>
      </c>
      <c r="AN15" s="77" t="s">
        <v>27</v>
      </c>
      <c r="AO15" s="77" t="s">
        <v>29</v>
      </c>
      <c r="AP15" s="77" t="s">
        <v>91</v>
      </c>
    </row>
    <row r="16" spans="9:42" ht="18">
      <c r="I16" s="126">
        <v>1</v>
      </c>
      <c r="J16" s="127"/>
      <c r="K16" s="127" t="s">
        <v>31</v>
      </c>
      <c r="L16" s="127">
        <v>2000</v>
      </c>
      <c r="M16" s="127">
        <v>2000</v>
      </c>
      <c r="N16" s="127">
        <v>2000</v>
      </c>
      <c r="O16" s="127">
        <v>2000</v>
      </c>
      <c r="P16" s="127">
        <v>2000</v>
      </c>
      <c r="Q16" s="127">
        <v>2000</v>
      </c>
      <c r="R16" s="127">
        <v>2000</v>
      </c>
      <c r="S16" s="127">
        <v>2000</v>
      </c>
      <c r="T16" s="127">
        <v>2000</v>
      </c>
      <c r="U16" s="127">
        <v>2000</v>
      </c>
      <c r="V16" s="127">
        <v>2000</v>
      </c>
      <c r="W16" s="127">
        <v>2000</v>
      </c>
      <c r="X16" s="127">
        <v>2000</v>
      </c>
      <c r="Y16" s="127">
        <v>2000</v>
      </c>
      <c r="Z16" s="127">
        <v>2000</v>
      </c>
      <c r="AA16" s="127">
        <v>2000</v>
      </c>
      <c r="AB16" s="127">
        <v>2000</v>
      </c>
      <c r="AC16" s="127">
        <v>2000</v>
      </c>
      <c r="AD16" s="127">
        <v>2000</v>
      </c>
      <c r="AE16" s="127">
        <v>2000</v>
      </c>
      <c r="AF16" s="127">
        <v>2000</v>
      </c>
      <c r="AG16" s="127">
        <v>2000</v>
      </c>
      <c r="AH16" s="127">
        <v>2000</v>
      </c>
      <c r="AI16" s="127">
        <v>2000</v>
      </c>
      <c r="AJ16" s="128">
        <f>900+900+900+900+900+900+900+900+900+900+900+900+900</f>
        <v>11700</v>
      </c>
      <c r="AK16" s="129">
        <f>SUM(Table35[[#This Row],[JAN]:[VYAJ]])</f>
        <v>59700</v>
      </c>
      <c r="AL16" s="128">
        <v>30000</v>
      </c>
      <c r="AM16" s="128"/>
      <c r="AN16" s="130">
        <f>Table35[[#This Row],[KARJ]]-Table35[[#This Row],[PARAT PHED]]</f>
        <v>30000</v>
      </c>
      <c r="AO16" s="129"/>
      <c r="AP16" s="78">
        <f>IFERROR(SEARCH($T$9,Table35[[#This Row],[NAME]]),0)</f>
        <v>0</v>
      </c>
    </row>
    <row r="17" spans="9:42" ht="18">
      <c r="I17" s="126">
        <v>2</v>
      </c>
      <c r="J17" s="131"/>
      <c r="K17" s="131" t="s">
        <v>99</v>
      </c>
      <c r="L17" s="131">
        <v>2000</v>
      </c>
      <c r="M17" s="131">
        <v>2000</v>
      </c>
      <c r="N17" s="131">
        <v>2000</v>
      </c>
      <c r="O17" s="131">
        <v>2000</v>
      </c>
      <c r="P17" s="131">
        <v>2000</v>
      </c>
      <c r="Q17" s="131">
        <v>2000</v>
      </c>
      <c r="R17" s="131">
        <v>2000</v>
      </c>
      <c r="S17" s="131">
        <v>2000</v>
      </c>
      <c r="T17" s="131">
        <v>2000</v>
      </c>
      <c r="U17" s="131">
        <v>2000</v>
      </c>
      <c r="V17" s="131">
        <v>2000</v>
      </c>
      <c r="W17" s="131">
        <v>2000</v>
      </c>
      <c r="X17" s="131">
        <v>2000</v>
      </c>
      <c r="Y17" s="131">
        <v>2000</v>
      </c>
      <c r="Z17" s="131">
        <v>2000</v>
      </c>
      <c r="AA17" s="131">
        <v>2000</v>
      </c>
      <c r="AB17" s="131">
        <v>2000</v>
      </c>
      <c r="AC17" s="131">
        <v>2000</v>
      </c>
      <c r="AD17" s="131">
        <v>2000</v>
      </c>
      <c r="AE17" s="131">
        <v>2000</v>
      </c>
      <c r="AF17" s="131">
        <v>2000</v>
      </c>
      <c r="AG17" s="131">
        <v>2000</v>
      </c>
      <c r="AH17" s="131">
        <v>2000</v>
      </c>
      <c r="AI17" s="131">
        <v>2000</v>
      </c>
      <c r="AJ17" s="129"/>
      <c r="AK17" s="129">
        <f>SUM(Table35[[#This Row],[JAN]:[VYAJ]])</f>
        <v>48000</v>
      </c>
      <c r="AL17" s="129"/>
      <c r="AM17" s="129"/>
      <c r="AN17" s="130">
        <f>Table35[[#This Row],[KARJ]]-Table35[[#This Row],[PARAT PHED]]</f>
        <v>0</v>
      </c>
      <c r="AO17" s="129"/>
      <c r="AP17" s="78">
        <f>IFERROR(SEARCH($T$9,Table35[[#This Row],[NAME]]),0)</f>
        <v>0</v>
      </c>
    </row>
    <row r="18" spans="9:42" ht="18">
      <c r="I18" s="126">
        <v>3</v>
      </c>
      <c r="J18" s="127"/>
      <c r="K18" s="127" t="s">
        <v>32</v>
      </c>
      <c r="L18" s="127">
        <v>2000</v>
      </c>
      <c r="M18" s="127">
        <v>2000</v>
      </c>
      <c r="N18" s="127">
        <v>2000</v>
      </c>
      <c r="O18" s="127">
        <v>2000</v>
      </c>
      <c r="P18" s="127">
        <v>2000</v>
      </c>
      <c r="Q18" s="127">
        <v>2000</v>
      </c>
      <c r="R18" s="127">
        <v>2000</v>
      </c>
      <c r="S18" s="127">
        <v>2000</v>
      </c>
      <c r="T18" s="127">
        <v>2000</v>
      </c>
      <c r="U18" s="127">
        <v>2000</v>
      </c>
      <c r="V18" s="127">
        <v>2000</v>
      </c>
      <c r="W18" s="127">
        <v>2000</v>
      </c>
      <c r="X18" s="127">
        <v>2000</v>
      </c>
      <c r="Y18" s="127">
        <v>2000</v>
      </c>
      <c r="Z18" s="127">
        <v>2000</v>
      </c>
      <c r="AA18" s="127">
        <v>2000</v>
      </c>
      <c r="AB18" s="127">
        <v>2000</v>
      </c>
      <c r="AC18" s="127">
        <v>2000</v>
      </c>
      <c r="AD18" s="127">
        <v>2000</v>
      </c>
      <c r="AE18" s="127">
        <v>2000</v>
      </c>
      <c r="AF18" s="127">
        <v>2000</v>
      </c>
      <c r="AG18" s="127">
        <v>2000</v>
      </c>
      <c r="AH18" s="127">
        <v>2000</v>
      </c>
      <c r="AI18" s="127">
        <v>2000</v>
      </c>
      <c r="AJ18" s="128"/>
      <c r="AK18" s="129">
        <f>SUM(Table35[[#This Row],[JAN]:[VYAJ]])</f>
        <v>48000</v>
      </c>
      <c r="AL18" s="128"/>
      <c r="AM18" s="128"/>
      <c r="AN18" s="130">
        <f>Table35[[#This Row],[KARJ]]-Table35[[#This Row],[PARAT PHED]]</f>
        <v>0</v>
      </c>
      <c r="AO18" s="129"/>
      <c r="AP18" s="78">
        <f>IFERROR(SEARCH($T$9,Table35[[#This Row],[NAME]]),0)</f>
        <v>0</v>
      </c>
    </row>
    <row r="19" spans="9:42" ht="18">
      <c r="I19" s="126">
        <v>4</v>
      </c>
      <c r="J19" s="131"/>
      <c r="K19" s="131" t="s">
        <v>63</v>
      </c>
      <c r="L19" s="131">
        <v>2000</v>
      </c>
      <c r="M19" s="131">
        <v>2000</v>
      </c>
      <c r="N19" s="131">
        <v>2000</v>
      </c>
      <c r="O19" s="131">
        <v>2000</v>
      </c>
      <c r="P19" s="131">
        <v>2000</v>
      </c>
      <c r="Q19" s="131">
        <v>2000</v>
      </c>
      <c r="R19" s="131">
        <v>2000</v>
      </c>
      <c r="S19" s="131">
        <v>2000</v>
      </c>
      <c r="T19" s="131">
        <v>2000</v>
      </c>
      <c r="U19" s="131">
        <v>2000</v>
      </c>
      <c r="V19" s="131">
        <v>2000</v>
      </c>
      <c r="W19" s="131">
        <v>2000</v>
      </c>
      <c r="X19" s="131">
        <v>2000</v>
      </c>
      <c r="Y19" s="131">
        <v>2000</v>
      </c>
      <c r="Z19" s="131">
        <v>2000</v>
      </c>
      <c r="AA19" s="131">
        <v>2000</v>
      </c>
      <c r="AB19" s="131">
        <v>2000</v>
      </c>
      <c r="AC19" s="131">
        <v>2000</v>
      </c>
      <c r="AD19" s="131">
        <v>2000</v>
      </c>
      <c r="AE19" s="131">
        <v>2000</v>
      </c>
      <c r="AF19" s="131">
        <v>2000</v>
      </c>
      <c r="AG19" s="131">
        <v>2000</v>
      </c>
      <c r="AH19" s="131">
        <v>2000</v>
      </c>
      <c r="AI19" s="131">
        <v>2000</v>
      </c>
      <c r="AJ19" s="129"/>
      <c r="AK19" s="129">
        <f>SUM(Table35[[#This Row],[JAN]:[VYAJ]])</f>
        <v>48000</v>
      </c>
      <c r="AL19" s="129"/>
      <c r="AM19" s="129"/>
      <c r="AN19" s="130">
        <f>Table35[[#This Row],[KARJ]]-Table35[[#This Row],[PARAT PHED]]</f>
        <v>0</v>
      </c>
      <c r="AO19" s="129"/>
      <c r="AP19" s="78">
        <f>IFERROR(SEARCH($T$9,Table35[[#This Row],[NAME]]),0)</f>
        <v>0</v>
      </c>
    </row>
    <row r="20" spans="9:42" ht="18">
      <c r="I20" s="126">
        <v>5</v>
      </c>
      <c r="J20" s="127"/>
      <c r="K20" s="127" t="s">
        <v>88</v>
      </c>
      <c r="L20" s="127">
        <v>2000</v>
      </c>
      <c r="M20" s="127">
        <v>2000</v>
      </c>
      <c r="N20" s="127">
        <v>2000</v>
      </c>
      <c r="O20" s="127">
        <v>2000</v>
      </c>
      <c r="P20" s="127">
        <v>2000</v>
      </c>
      <c r="Q20" s="127">
        <v>2000</v>
      </c>
      <c r="R20" s="127">
        <v>2000</v>
      </c>
      <c r="S20" s="127">
        <v>2000</v>
      </c>
      <c r="T20" s="127">
        <v>2000</v>
      </c>
      <c r="U20" s="127">
        <v>2000</v>
      </c>
      <c r="V20" s="127">
        <v>2000</v>
      </c>
      <c r="W20" s="127">
        <v>2000</v>
      </c>
      <c r="X20" s="127">
        <v>2000</v>
      </c>
      <c r="Y20" s="127">
        <v>2000</v>
      </c>
      <c r="Z20" s="127">
        <v>2000</v>
      </c>
      <c r="AA20" s="127">
        <v>2000</v>
      </c>
      <c r="AB20" s="127">
        <v>2000</v>
      </c>
      <c r="AC20" s="127">
        <v>2000</v>
      </c>
      <c r="AD20" s="127">
        <v>2000</v>
      </c>
      <c r="AE20" s="127">
        <v>2000</v>
      </c>
      <c r="AF20" s="127">
        <v>2000</v>
      </c>
      <c r="AG20" s="127">
        <v>2000</v>
      </c>
      <c r="AH20" s="127">
        <v>2000</v>
      </c>
      <c r="AI20" s="127">
        <v>2000</v>
      </c>
      <c r="AJ20" s="128"/>
      <c r="AK20" s="129">
        <f>SUM(Table35[[#This Row],[JAN]:[VYAJ]])</f>
        <v>48000</v>
      </c>
      <c r="AL20" s="128">
        <f>95000</f>
        <v>95000</v>
      </c>
      <c r="AM20" s="128"/>
      <c r="AN20" s="130">
        <f>Table35[[#This Row],[KARJ]]-Table35[[#This Row],[PARAT PHED]]</f>
        <v>95000</v>
      </c>
      <c r="AO20" s="129"/>
      <c r="AP20" s="78">
        <f>IFERROR(SEARCH($T$9,Table35[[#This Row],[NAME]]),0)</f>
        <v>0</v>
      </c>
    </row>
    <row r="21" spans="9:42" ht="18">
      <c r="I21" s="126">
        <v>6</v>
      </c>
      <c r="J21" s="131"/>
      <c r="K21" s="131" t="s">
        <v>37</v>
      </c>
      <c r="L21" s="131">
        <v>2000</v>
      </c>
      <c r="M21" s="131">
        <v>2000</v>
      </c>
      <c r="N21" s="131">
        <v>2000</v>
      </c>
      <c r="O21" s="131">
        <v>2000</v>
      </c>
      <c r="P21" s="131">
        <v>2000</v>
      </c>
      <c r="Q21" s="131">
        <v>2000</v>
      </c>
      <c r="R21" s="131">
        <v>2000</v>
      </c>
      <c r="S21" s="131">
        <v>2000</v>
      </c>
      <c r="T21" s="131">
        <v>2000</v>
      </c>
      <c r="U21" s="131">
        <v>2000</v>
      </c>
      <c r="V21" s="131">
        <v>2000</v>
      </c>
      <c r="W21" s="131">
        <v>2000</v>
      </c>
      <c r="X21" s="131">
        <v>2000</v>
      </c>
      <c r="Y21" s="131">
        <v>2000</v>
      </c>
      <c r="Z21" s="131">
        <v>2000</v>
      </c>
      <c r="AA21" s="131">
        <v>2000</v>
      </c>
      <c r="AB21" s="131">
        <v>2000</v>
      </c>
      <c r="AC21" s="131">
        <v>2000</v>
      </c>
      <c r="AD21" s="131">
        <v>2000</v>
      </c>
      <c r="AE21" s="131">
        <v>2000</v>
      </c>
      <c r="AF21" s="131">
        <v>2000</v>
      </c>
      <c r="AG21" s="131">
        <v>2000</v>
      </c>
      <c r="AH21" s="131">
        <v>2000</v>
      </c>
      <c r="AI21" s="131">
        <v>2000</v>
      </c>
      <c r="AJ21" s="129"/>
      <c r="AK21" s="129">
        <f>SUM(Table35[[#This Row],[JAN]:[VYAJ]])</f>
        <v>48000</v>
      </c>
      <c r="AL21" s="129"/>
      <c r="AM21" s="129"/>
      <c r="AN21" s="130">
        <f>Table35[[#This Row],[KARJ]]-Table35[[#This Row],[PARAT PHED]]</f>
        <v>0</v>
      </c>
      <c r="AO21" s="129"/>
      <c r="AP21" s="78">
        <f>IFERROR(SEARCH($T$9,Table35[[#This Row],[NAME]]),0)</f>
        <v>0</v>
      </c>
    </row>
    <row r="22" spans="9:42" ht="18">
      <c r="I22" s="126">
        <v>7</v>
      </c>
      <c r="J22" s="127"/>
      <c r="K22" s="127" t="s">
        <v>38</v>
      </c>
      <c r="L22" s="127">
        <v>1200</v>
      </c>
      <c r="M22" s="127">
        <v>1200</v>
      </c>
      <c r="N22" s="127">
        <v>1200</v>
      </c>
      <c r="O22" s="127">
        <v>1200</v>
      </c>
      <c r="P22" s="127">
        <v>1200</v>
      </c>
      <c r="Q22" s="127">
        <v>1200</v>
      </c>
      <c r="R22" s="127">
        <v>1200</v>
      </c>
      <c r="S22" s="127">
        <v>1200</v>
      </c>
      <c r="T22" s="127">
        <v>1200</v>
      </c>
      <c r="U22" s="127">
        <v>1200</v>
      </c>
      <c r="V22" s="127">
        <v>1200</v>
      </c>
      <c r="W22" s="127">
        <v>1200</v>
      </c>
      <c r="X22" s="127">
        <v>1200</v>
      </c>
      <c r="Y22" s="127">
        <v>1200</v>
      </c>
      <c r="Z22" s="127">
        <v>1200</v>
      </c>
      <c r="AA22" s="127">
        <v>1200</v>
      </c>
      <c r="AB22" s="127">
        <v>1200</v>
      </c>
      <c r="AC22" s="127">
        <v>1200</v>
      </c>
      <c r="AD22" s="127">
        <v>1200</v>
      </c>
      <c r="AE22" s="127">
        <v>1200</v>
      </c>
      <c r="AF22" s="127">
        <v>1200</v>
      </c>
      <c r="AG22" s="127">
        <v>1200</v>
      </c>
      <c r="AH22" s="127">
        <v>1200</v>
      </c>
      <c r="AI22" s="127">
        <v>1200</v>
      </c>
      <c r="AJ22" s="128"/>
      <c r="AK22" s="129">
        <f>SUM(Table35[[#This Row],[JAN]:[VYAJ]])</f>
        <v>28800</v>
      </c>
      <c r="AL22" s="128"/>
      <c r="AM22" s="128"/>
      <c r="AN22" s="130">
        <f>Table35[[#This Row],[KARJ]]-Table35[[#This Row],[PARAT PHED]]</f>
        <v>0</v>
      </c>
      <c r="AO22" s="129"/>
      <c r="AP22" s="78">
        <f>IFERROR(SEARCH($T$9,Table35[[#This Row],[NAME]]),0)</f>
        <v>0</v>
      </c>
    </row>
    <row r="23" spans="9:42" ht="18">
      <c r="I23" s="126">
        <v>8</v>
      </c>
      <c r="J23" s="131"/>
      <c r="K23" s="131" t="s">
        <v>61</v>
      </c>
      <c r="L23" s="131">
        <v>1000</v>
      </c>
      <c r="M23" s="131">
        <v>1000</v>
      </c>
      <c r="N23" s="131">
        <v>1000</v>
      </c>
      <c r="O23" s="131">
        <v>1000</v>
      </c>
      <c r="P23" s="131">
        <v>1000</v>
      </c>
      <c r="Q23" s="131">
        <v>1000</v>
      </c>
      <c r="R23" s="131">
        <v>1000</v>
      </c>
      <c r="S23" s="131">
        <v>1000</v>
      </c>
      <c r="T23" s="131">
        <v>1000</v>
      </c>
      <c r="U23" s="131">
        <v>1000</v>
      </c>
      <c r="V23" s="131">
        <v>1000</v>
      </c>
      <c r="W23" s="131">
        <v>1000</v>
      </c>
      <c r="X23" s="131">
        <v>1000</v>
      </c>
      <c r="Y23" s="131">
        <v>1000</v>
      </c>
      <c r="Z23" s="131">
        <v>1000</v>
      </c>
      <c r="AA23" s="131">
        <v>1000</v>
      </c>
      <c r="AB23" s="131">
        <v>1000</v>
      </c>
      <c r="AC23" s="131">
        <v>1000</v>
      </c>
      <c r="AD23" s="131">
        <v>1000</v>
      </c>
      <c r="AE23" s="131">
        <v>1000</v>
      </c>
      <c r="AF23" s="131">
        <v>1000</v>
      </c>
      <c r="AG23" s="131">
        <v>1000</v>
      </c>
      <c r="AH23" s="131">
        <v>1000</v>
      </c>
      <c r="AI23" s="131">
        <v>1000</v>
      </c>
      <c r="AJ23" s="129"/>
      <c r="AK23" s="129">
        <f>SUM(Table35[[#This Row],[JAN]:[VYAJ]])</f>
        <v>24000</v>
      </c>
      <c r="AL23" s="129"/>
      <c r="AM23" s="129"/>
      <c r="AN23" s="130">
        <f>Table35[[#This Row],[KARJ]]-Table35[[#This Row],[PARAT PHED]]</f>
        <v>0</v>
      </c>
      <c r="AO23" s="129"/>
      <c r="AP23" s="78">
        <f>IFERROR(SEARCH($T$9,Table35[[#This Row],[NAME]]),0)</f>
        <v>0</v>
      </c>
    </row>
    <row r="24" spans="9:42" ht="18">
      <c r="I24" s="126">
        <v>9</v>
      </c>
      <c r="J24" s="127"/>
      <c r="K24" s="127" t="s">
        <v>33</v>
      </c>
      <c r="L24" s="127">
        <v>1000</v>
      </c>
      <c r="M24" s="127">
        <v>1000</v>
      </c>
      <c r="N24" s="127">
        <v>1000</v>
      </c>
      <c r="O24" s="127">
        <v>1000</v>
      </c>
      <c r="P24" s="127">
        <v>1000</v>
      </c>
      <c r="Q24" s="127">
        <v>1000</v>
      </c>
      <c r="R24" s="127">
        <v>1000</v>
      </c>
      <c r="S24" s="127">
        <v>1000</v>
      </c>
      <c r="T24" s="127">
        <v>1000</v>
      </c>
      <c r="U24" s="127">
        <v>1000</v>
      </c>
      <c r="V24" s="127">
        <v>1000</v>
      </c>
      <c r="W24" s="127">
        <v>1000</v>
      </c>
      <c r="X24" s="127">
        <v>1000</v>
      </c>
      <c r="Y24" s="127">
        <v>1000</v>
      </c>
      <c r="Z24" s="127">
        <v>1000</v>
      </c>
      <c r="AA24" s="127">
        <v>1000</v>
      </c>
      <c r="AB24" s="127">
        <v>1000</v>
      </c>
      <c r="AC24" s="127">
        <v>1000</v>
      </c>
      <c r="AD24" s="127">
        <v>1000</v>
      </c>
      <c r="AE24" s="127">
        <v>1000</v>
      </c>
      <c r="AF24" s="127">
        <v>1000</v>
      </c>
      <c r="AG24" s="127">
        <v>1000</v>
      </c>
      <c r="AH24" s="127">
        <v>1000</v>
      </c>
      <c r="AI24" s="127">
        <v>1000</v>
      </c>
      <c r="AJ24" s="128">
        <f>300+600+600+600+600+600+600+600+600+600+600+600+600+600+600+5400</f>
        <v>14100</v>
      </c>
      <c r="AK24" s="129">
        <f>SUM(Table35[[#This Row],[JAN]:[VYAJ]])</f>
        <v>38100</v>
      </c>
      <c r="AL24" s="128">
        <f>10000+10000+14200</f>
        <v>34200</v>
      </c>
      <c r="AM24" s="128"/>
      <c r="AN24" s="130">
        <f>Table35[[#This Row],[KARJ]]-Table35[[#This Row],[PARAT PHED]]</f>
        <v>34200</v>
      </c>
      <c r="AO24" s="129">
        <v>800</v>
      </c>
      <c r="AP24" s="78">
        <f>IFERROR(SEARCH($T$9,Table35[[#This Row],[NAME]]),0)</f>
        <v>0</v>
      </c>
    </row>
    <row r="25" spans="9:42" ht="18">
      <c r="I25" s="126">
        <v>10</v>
      </c>
      <c r="J25" s="131"/>
      <c r="K25" s="131" t="s">
        <v>34</v>
      </c>
      <c r="L25" s="131">
        <v>1000</v>
      </c>
      <c r="M25" s="131">
        <v>1000</v>
      </c>
      <c r="N25" s="131">
        <v>1000</v>
      </c>
      <c r="O25" s="131">
        <v>1000</v>
      </c>
      <c r="P25" s="131">
        <v>1000</v>
      </c>
      <c r="Q25" s="131">
        <v>1000</v>
      </c>
      <c r="R25" s="131">
        <v>1000</v>
      </c>
      <c r="S25" s="131">
        <v>1000</v>
      </c>
      <c r="T25" s="131">
        <v>1000</v>
      </c>
      <c r="U25" s="131">
        <v>1000</v>
      </c>
      <c r="V25" s="131">
        <v>1000</v>
      </c>
      <c r="W25" s="131">
        <v>1000</v>
      </c>
      <c r="X25" s="131">
        <v>1000</v>
      </c>
      <c r="Y25" s="131">
        <v>1000</v>
      </c>
      <c r="Z25" s="131">
        <v>1000</v>
      </c>
      <c r="AA25" s="131">
        <v>1000</v>
      </c>
      <c r="AB25" s="131">
        <v>1000</v>
      </c>
      <c r="AC25" s="131">
        <v>1000</v>
      </c>
      <c r="AD25" s="131">
        <v>1000</v>
      </c>
      <c r="AE25" s="131">
        <v>1000</v>
      </c>
      <c r="AF25" s="131">
        <v>1000</v>
      </c>
      <c r="AG25" s="131">
        <v>1000</v>
      </c>
      <c r="AH25" s="131">
        <v>1000</v>
      </c>
      <c r="AI25" s="131">
        <v>1000</v>
      </c>
      <c r="AJ25" s="129">
        <f>300+300+300+300+300+300+300+300+300+300+300+300+300+300+600+600</f>
        <v>5400</v>
      </c>
      <c r="AK25" s="129">
        <f>SUM(Table35[[#This Row],[JAN]:[VYAJ]])</f>
        <v>29400</v>
      </c>
      <c r="AL25" s="129">
        <f>10000+10000</f>
        <v>20000</v>
      </c>
      <c r="AM25" s="129">
        <v>20000</v>
      </c>
      <c r="AN25" s="130">
        <f>Table35[[#This Row],[KARJ]]-Table35[[#This Row],[PARAT PHED]]</f>
        <v>0</v>
      </c>
      <c r="AO25" s="129"/>
      <c r="AP25" s="78">
        <f>IFERROR(SEARCH($T$9,Table35[[#This Row],[NAME]]),0)</f>
        <v>0</v>
      </c>
    </row>
    <row r="26" spans="9:42" ht="17.399999999999999" customHeight="1">
      <c r="I26" s="126">
        <v>11</v>
      </c>
      <c r="J26" s="127"/>
      <c r="K26" s="127" t="s">
        <v>100</v>
      </c>
      <c r="L26" s="127">
        <v>1000</v>
      </c>
      <c r="M26" s="127">
        <v>1000</v>
      </c>
      <c r="N26" s="127">
        <v>1000</v>
      </c>
      <c r="O26" s="127">
        <v>1000</v>
      </c>
      <c r="P26" s="127">
        <v>1000</v>
      </c>
      <c r="Q26" s="127">
        <v>1000</v>
      </c>
      <c r="R26" s="127">
        <v>1000</v>
      </c>
      <c r="S26" s="127">
        <v>1000</v>
      </c>
      <c r="T26" s="127">
        <v>1000</v>
      </c>
      <c r="U26" s="127">
        <v>1000</v>
      </c>
      <c r="V26" s="127">
        <v>1000</v>
      </c>
      <c r="W26" s="127">
        <v>1000</v>
      </c>
      <c r="X26" s="127">
        <v>1000</v>
      </c>
      <c r="Y26" s="127">
        <v>1000</v>
      </c>
      <c r="Z26" s="127">
        <v>1000</v>
      </c>
      <c r="AA26" s="127">
        <v>1000</v>
      </c>
      <c r="AB26" s="127">
        <v>1000</v>
      </c>
      <c r="AC26" s="127">
        <v>1000</v>
      </c>
      <c r="AD26" s="127">
        <v>1000</v>
      </c>
      <c r="AE26" s="127">
        <v>1000</v>
      </c>
      <c r="AF26" s="127">
        <v>1000</v>
      </c>
      <c r="AG26" s="127">
        <v>1000</v>
      </c>
      <c r="AH26" s="127">
        <v>1000</v>
      </c>
      <c r="AI26" s="127">
        <v>1000</v>
      </c>
      <c r="AJ26" s="128">
        <f>150+300+600+600+150+150+150+300+900+900+900+900+900+900+900+900+900+900</f>
        <v>11400</v>
      </c>
      <c r="AK26" s="129">
        <f>SUM(Table35[[#This Row],[JAN]:[VYAJ]])</f>
        <v>35400</v>
      </c>
      <c r="AL26" s="128">
        <f>5000+5000+15000+5000+20000</f>
        <v>50000</v>
      </c>
      <c r="AM26" s="128">
        <v>20000</v>
      </c>
      <c r="AN26" s="130">
        <f>Table35[[#This Row],[KARJ]]-Table35[[#This Row],[PARAT PHED]]</f>
        <v>30000</v>
      </c>
      <c r="AO26" s="129"/>
      <c r="AP26" s="78">
        <f>IFERROR(SEARCH($T$9,Table35[[#This Row],[NAME]]),0)</f>
        <v>0</v>
      </c>
    </row>
    <row r="27" spans="9:42" ht="19.2" customHeight="1">
      <c r="I27" s="126">
        <v>12</v>
      </c>
      <c r="J27" s="131"/>
      <c r="K27" s="131" t="s">
        <v>36</v>
      </c>
      <c r="L27" s="131">
        <v>1000</v>
      </c>
      <c r="M27" s="131">
        <v>1000</v>
      </c>
      <c r="N27" s="131">
        <v>1000</v>
      </c>
      <c r="O27" s="131">
        <v>1000</v>
      </c>
      <c r="P27" s="131">
        <v>1000</v>
      </c>
      <c r="Q27" s="131">
        <v>1000</v>
      </c>
      <c r="R27" s="131">
        <v>1000</v>
      </c>
      <c r="S27" s="131">
        <v>1000</v>
      </c>
      <c r="T27" s="131">
        <v>1000</v>
      </c>
      <c r="U27" s="131">
        <v>1000</v>
      </c>
      <c r="V27" s="131">
        <v>1000</v>
      </c>
      <c r="W27" s="131">
        <v>1000</v>
      </c>
      <c r="X27" s="131">
        <v>1000</v>
      </c>
      <c r="Y27" s="131">
        <v>1000</v>
      </c>
      <c r="Z27" s="131">
        <v>1000</v>
      </c>
      <c r="AA27" s="131">
        <v>1000</v>
      </c>
      <c r="AB27" s="131">
        <v>1000</v>
      </c>
      <c r="AC27" s="131">
        <v>1000</v>
      </c>
      <c r="AD27" s="131">
        <v>1000</v>
      </c>
      <c r="AE27" s="131">
        <v>1000</v>
      </c>
      <c r="AF27" s="131">
        <v>1000</v>
      </c>
      <c r="AG27" s="131">
        <v>1000</v>
      </c>
      <c r="AH27" s="131">
        <v>1000</v>
      </c>
      <c r="AI27" s="131">
        <v>1000</v>
      </c>
      <c r="AJ27" s="129"/>
      <c r="AK27" s="129">
        <f>SUM(Table35[[#This Row],[JAN]:[VYAJ]])</f>
        <v>24000</v>
      </c>
      <c r="AL27" s="129"/>
      <c r="AM27" s="129"/>
      <c r="AN27" s="130">
        <f>Table35[[#This Row],[KARJ]]-Table35[[#This Row],[PARAT PHED]]</f>
        <v>0</v>
      </c>
      <c r="AO27" s="129"/>
      <c r="AP27" s="78">
        <f>IFERROR(SEARCH($T$9,Table35[[#This Row],[NAME]]),0)</f>
        <v>0</v>
      </c>
    </row>
    <row r="28" spans="9:42" ht="15" customHeight="1">
      <c r="I28" s="126">
        <v>13</v>
      </c>
      <c r="J28" s="127"/>
      <c r="K28" s="127" t="s">
        <v>22</v>
      </c>
      <c r="L28" s="127">
        <v>1000</v>
      </c>
      <c r="M28" s="127">
        <v>1000</v>
      </c>
      <c r="N28" s="127">
        <v>1000</v>
      </c>
      <c r="O28" s="127">
        <v>1000</v>
      </c>
      <c r="P28" s="127">
        <v>1000</v>
      </c>
      <c r="Q28" s="127">
        <v>1000</v>
      </c>
      <c r="R28" s="127">
        <v>1000</v>
      </c>
      <c r="S28" s="127">
        <v>1000</v>
      </c>
      <c r="T28" s="127">
        <v>1000</v>
      </c>
      <c r="U28" s="127">
        <v>1000</v>
      </c>
      <c r="V28" s="127">
        <v>1000</v>
      </c>
      <c r="W28" s="127">
        <v>1000</v>
      </c>
      <c r="X28" s="127">
        <v>1000</v>
      </c>
      <c r="Y28" s="127">
        <v>1000</v>
      </c>
      <c r="Z28" s="127">
        <v>1000</v>
      </c>
      <c r="AA28" s="127">
        <v>1000</v>
      </c>
      <c r="AB28" s="127">
        <v>1000</v>
      </c>
      <c r="AC28" s="127">
        <v>1000</v>
      </c>
      <c r="AD28" s="127">
        <v>1000</v>
      </c>
      <c r="AE28" s="127">
        <v>1000</v>
      </c>
      <c r="AF28" s="127">
        <v>1000</v>
      </c>
      <c r="AG28" s="127">
        <v>1000</v>
      </c>
      <c r="AH28" s="127">
        <v>1000</v>
      </c>
      <c r="AI28" s="127">
        <v>1000</v>
      </c>
      <c r="AJ28" s="128">
        <f>600+600+1350+1350+1350+1350+1050+1050+1050+1200+1200+1200+1200+150+150+150+150</f>
        <v>15150</v>
      </c>
      <c r="AK28" s="129">
        <f>SUM(Table35[[#This Row],[JAN]:[VYAJ]])</f>
        <v>39150</v>
      </c>
      <c r="AL28" s="128">
        <f>20000+25000+5000</f>
        <v>50000</v>
      </c>
      <c r="AM28" s="128">
        <f>10000+35000+5000</f>
        <v>50000</v>
      </c>
      <c r="AN28" s="130">
        <f>Table35[[#This Row],[KARJ]]-Table35[[#This Row],[PARAT PHED]]</f>
        <v>0</v>
      </c>
      <c r="AO28" s="129"/>
      <c r="AP28" s="78">
        <f>IFERROR(SEARCH($T$9,Table35[[#This Row],[NAME]]),0)</f>
        <v>0</v>
      </c>
    </row>
    <row r="29" spans="9:42" ht="18">
      <c r="I29" s="126">
        <v>14</v>
      </c>
      <c r="J29" s="131"/>
      <c r="K29" s="131" t="s">
        <v>55</v>
      </c>
      <c r="L29" s="131">
        <v>1000</v>
      </c>
      <c r="M29" s="131">
        <v>1000</v>
      </c>
      <c r="N29" s="131">
        <v>1000</v>
      </c>
      <c r="O29" s="131">
        <v>1000</v>
      </c>
      <c r="P29" s="131">
        <v>1000</v>
      </c>
      <c r="Q29" s="131">
        <v>1000</v>
      </c>
      <c r="R29" s="131">
        <v>1000</v>
      </c>
      <c r="S29" s="131">
        <v>1000</v>
      </c>
      <c r="T29" s="131">
        <v>1000</v>
      </c>
      <c r="U29" s="131">
        <v>1000</v>
      </c>
      <c r="V29" s="131">
        <v>1000</v>
      </c>
      <c r="W29" s="131">
        <v>1000</v>
      </c>
      <c r="X29" s="131">
        <v>1000</v>
      </c>
      <c r="Y29" s="131">
        <v>1000</v>
      </c>
      <c r="Z29" s="131">
        <v>1000</v>
      </c>
      <c r="AA29" s="131">
        <v>1000</v>
      </c>
      <c r="AB29" s="131">
        <v>1000</v>
      </c>
      <c r="AC29" s="131">
        <v>1000</v>
      </c>
      <c r="AD29" s="131">
        <v>1000</v>
      </c>
      <c r="AE29" s="131">
        <v>1000</v>
      </c>
      <c r="AF29" s="131">
        <v>1000</v>
      </c>
      <c r="AG29" s="131">
        <v>1000</v>
      </c>
      <c r="AH29" s="131">
        <v>1000</v>
      </c>
      <c r="AI29" s="131">
        <v>1000</v>
      </c>
      <c r="AJ29" s="129">
        <f>300+300+300+300+300+300+300+300+300+300+300+300+300+300+300+2100</f>
        <v>6600</v>
      </c>
      <c r="AK29" s="129">
        <f>SUM(Table35[[#This Row],[JAN]:[VYAJ]])</f>
        <v>30600</v>
      </c>
      <c r="AL29" s="129">
        <f>10000</f>
        <v>10000</v>
      </c>
      <c r="AM29" s="129"/>
      <c r="AN29" s="130">
        <f>Table35[[#This Row],[KARJ]]-Table35[[#This Row],[PARAT PHED]]</f>
        <v>10000</v>
      </c>
      <c r="AO29" s="129">
        <v>600</v>
      </c>
      <c r="AP29" s="78">
        <f>IFERROR(SEARCH($T$9,Table35[[#This Row],[NAME]]),0)</f>
        <v>0</v>
      </c>
    </row>
    <row r="30" spans="9:42" ht="18">
      <c r="I30" s="126">
        <v>15</v>
      </c>
      <c r="J30" s="127"/>
      <c r="K30" s="127" t="s">
        <v>56</v>
      </c>
      <c r="L30" s="127">
        <v>1000</v>
      </c>
      <c r="M30" s="127">
        <v>1000</v>
      </c>
      <c r="N30" s="127">
        <v>1000</v>
      </c>
      <c r="O30" s="127">
        <v>1000</v>
      </c>
      <c r="P30" s="127">
        <v>1000</v>
      </c>
      <c r="Q30" s="127">
        <v>1000</v>
      </c>
      <c r="R30" s="127">
        <v>1000</v>
      </c>
      <c r="S30" s="127">
        <v>1000</v>
      </c>
      <c r="T30" s="127">
        <v>1000</v>
      </c>
      <c r="U30" s="127">
        <v>1000</v>
      </c>
      <c r="V30" s="127">
        <v>1000</v>
      </c>
      <c r="W30" s="127">
        <v>1000</v>
      </c>
      <c r="X30" s="127">
        <v>1000</v>
      </c>
      <c r="Y30" s="127">
        <v>1000</v>
      </c>
      <c r="Z30" s="127">
        <v>1000</v>
      </c>
      <c r="AA30" s="127">
        <v>1000</v>
      </c>
      <c r="AB30" s="127">
        <v>1000</v>
      </c>
      <c r="AC30" s="127">
        <v>1000</v>
      </c>
      <c r="AD30" s="127">
        <v>1000</v>
      </c>
      <c r="AE30" s="127">
        <v>1000</v>
      </c>
      <c r="AF30" s="127">
        <v>1000</v>
      </c>
      <c r="AG30" s="127">
        <v>1000</v>
      </c>
      <c r="AH30" s="127">
        <v>1000</v>
      </c>
      <c r="AI30" s="127">
        <v>1000</v>
      </c>
      <c r="AJ30" s="128">
        <f>900+900+900+900+900+300+300+300+300+300+300+300+300+900+900</f>
        <v>8700</v>
      </c>
      <c r="AK30" s="129">
        <f>SUM(Table35[[#This Row],[JAN]:[VYAJ]])</f>
        <v>32700</v>
      </c>
      <c r="AL30" s="128">
        <f>30000+20000</f>
        <v>50000</v>
      </c>
      <c r="AM30" s="128">
        <f>20000+30000</f>
        <v>50000</v>
      </c>
      <c r="AN30" s="130">
        <f>Table35[[#This Row],[KARJ]]-Table35[[#This Row],[PARAT PHED]]</f>
        <v>0</v>
      </c>
      <c r="AO30" s="129"/>
      <c r="AP30" s="78">
        <f>IFERROR(SEARCH($T$9,Table35[[#This Row],[NAME]]),0)</f>
        <v>0</v>
      </c>
    </row>
    <row r="31" spans="9:42" ht="18">
      <c r="I31" s="126">
        <v>16</v>
      </c>
      <c r="J31" s="131"/>
      <c r="K31" s="131" t="s">
        <v>57</v>
      </c>
      <c r="L31" s="131">
        <v>1000</v>
      </c>
      <c r="M31" s="131">
        <v>1000</v>
      </c>
      <c r="N31" s="131">
        <v>1000</v>
      </c>
      <c r="O31" s="131">
        <v>1000</v>
      </c>
      <c r="P31" s="131">
        <v>1000</v>
      </c>
      <c r="Q31" s="131">
        <v>1000</v>
      </c>
      <c r="R31" s="131">
        <v>1000</v>
      </c>
      <c r="S31" s="131">
        <v>1000</v>
      </c>
      <c r="T31" s="131">
        <v>1000</v>
      </c>
      <c r="U31" s="131">
        <v>1000</v>
      </c>
      <c r="V31" s="131">
        <v>1000</v>
      </c>
      <c r="W31" s="131">
        <v>1000</v>
      </c>
      <c r="X31" s="131">
        <v>1000</v>
      </c>
      <c r="Y31" s="131">
        <v>1000</v>
      </c>
      <c r="Z31" s="131">
        <v>1000</v>
      </c>
      <c r="AA31" s="131">
        <v>1000</v>
      </c>
      <c r="AB31" s="131">
        <v>1000</v>
      </c>
      <c r="AC31" s="131">
        <v>1000</v>
      </c>
      <c r="AD31" s="131">
        <v>1000</v>
      </c>
      <c r="AE31" s="131">
        <v>1000</v>
      </c>
      <c r="AF31" s="131">
        <v>1000</v>
      </c>
      <c r="AG31" s="131">
        <v>1000</v>
      </c>
      <c r="AH31" s="131">
        <v>1000</v>
      </c>
      <c r="AI31" s="131">
        <v>1000</v>
      </c>
      <c r="AJ31" s="129"/>
      <c r="AK31" s="129">
        <f>SUM(Table35[[#This Row],[JAN]:[VYAJ]])</f>
        <v>24000</v>
      </c>
      <c r="AL31" s="129"/>
      <c r="AM31" s="129"/>
      <c r="AN31" s="130">
        <f>Table35[[#This Row],[KARJ]]-Table35[[#This Row],[PARAT PHED]]</f>
        <v>0</v>
      </c>
      <c r="AO31" s="129"/>
      <c r="AP31" s="78">
        <f>IFERROR(SEARCH($T$9,Table35[[#This Row],[NAME]]),0)</f>
        <v>0</v>
      </c>
    </row>
    <row r="32" spans="9:42" ht="18">
      <c r="I32" s="126">
        <v>17</v>
      </c>
      <c r="J32" s="127"/>
      <c r="K32" s="127" t="s">
        <v>65</v>
      </c>
      <c r="L32" s="127">
        <v>1000</v>
      </c>
      <c r="M32" s="127">
        <v>1000</v>
      </c>
      <c r="N32" s="127">
        <v>1000</v>
      </c>
      <c r="O32" s="127">
        <v>1000</v>
      </c>
      <c r="P32" s="127">
        <v>1000</v>
      </c>
      <c r="Q32" s="127">
        <v>1000</v>
      </c>
      <c r="R32" s="127">
        <v>1000</v>
      </c>
      <c r="S32" s="127">
        <v>1000</v>
      </c>
      <c r="T32" s="127">
        <v>1000</v>
      </c>
      <c r="U32" s="127">
        <v>1000</v>
      </c>
      <c r="V32" s="127">
        <v>1000</v>
      </c>
      <c r="W32" s="127">
        <v>1000</v>
      </c>
      <c r="X32" s="127">
        <v>1000</v>
      </c>
      <c r="Y32" s="127">
        <v>1000</v>
      </c>
      <c r="Z32" s="127">
        <v>1000</v>
      </c>
      <c r="AA32" s="127">
        <v>1000</v>
      </c>
      <c r="AB32" s="127">
        <v>1000</v>
      </c>
      <c r="AC32" s="131">
        <v>1000</v>
      </c>
      <c r="AD32" s="127">
        <v>1000</v>
      </c>
      <c r="AE32" s="127">
        <v>1000</v>
      </c>
      <c r="AF32" s="127">
        <v>1000</v>
      </c>
      <c r="AG32" s="127">
        <v>1000</v>
      </c>
      <c r="AH32" s="127">
        <v>1000</v>
      </c>
      <c r="AI32" s="127"/>
      <c r="AJ32" s="128"/>
      <c r="AK32" s="129">
        <f>SUM(Table35[[#This Row],[JAN]:[VYAJ]])</f>
        <v>23000</v>
      </c>
      <c r="AL32" s="128">
        <f>63000+18000</f>
        <v>81000</v>
      </c>
      <c r="AM32" s="128">
        <v>18000</v>
      </c>
      <c r="AN32" s="130">
        <f>Table35[[#This Row],[KARJ]]-Table35[[#This Row],[PARAT PHED]]</f>
        <v>63000</v>
      </c>
      <c r="AO32" s="129"/>
      <c r="AP32" s="78">
        <f>IFERROR(SEARCH($T$9,Table35[[#This Row],[NAME]]),0)</f>
        <v>0</v>
      </c>
    </row>
    <row r="33" spans="9:42" ht="18">
      <c r="I33" s="126">
        <v>18</v>
      </c>
      <c r="J33" s="131"/>
      <c r="K33" s="131" t="s">
        <v>68</v>
      </c>
      <c r="L33" s="131">
        <v>1000</v>
      </c>
      <c r="M33" s="131">
        <v>1000</v>
      </c>
      <c r="N33" s="131">
        <v>1000</v>
      </c>
      <c r="O33" s="131">
        <v>1000</v>
      </c>
      <c r="P33" s="131">
        <v>1000</v>
      </c>
      <c r="Q33" s="131">
        <v>1000</v>
      </c>
      <c r="R33" s="131">
        <v>1000</v>
      </c>
      <c r="S33" s="131">
        <v>1000</v>
      </c>
      <c r="T33" s="131">
        <v>1000</v>
      </c>
      <c r="U33" s="131">
        <v>1000</v>
      </c>
      <c r="V33" s="131">
        <v>1000</v>
      </c>
      <c r="W33" s="131">
        <v>1000</v>
      </c>
      <c r="X33" s="131">
        <v>1000</v>
      </c>
      <c r="Y33" s="131">
        <v>1000</v>
      </c>
      <c r="Z33" s="131">
        <v>1000</v>
      </c>
      <c r="AA33" s="131">
        <v>1000</v>
      </c>
      <c r="AB33" s="131">
        <v>1000</v>
      </c>
      <c r="AC33" s="131">
        <v>1000</v>
      </c>
      <c r="AD33" s="131">
        <v>1000</v>
      </c>
      <c r="AE33" s="131">
        <v>1000</v>
      </c>
      <c r="AF33" s="131">
        <v>1000</v>
      </c>
      <c r="AG33" s="131">
        <v>1000</v>
      </c>
      <c r="AH33" s="131">
        <v>1000</v>
      </c>
      <c r="AI33" s="131">
        <v>1000</v>
      </c>
      <c r="AJ33" s="129"/>
      <c r="AK33" s="129">
        <f>SUM(Table35[[#This Row],[JAN]:[VYAJ]])</f>
        <v>24000</v>
      </c>
      <c r="AL33" s="129"/>
      <c r="AM33" s="129"/>
      <c r="AN33" s="130">
        <f>Table35[[#This Row],[KARJ]]-Table35[[#This Row],[PARAT PHED]]</f>
        <v>0</v>
      </c>
      <c r="AO33" s="129"/>
      <c r="AP33" s="78">
        <f>IFERROR(SEARCH($T$9,Table35[[#This Row],[NAME]]),0)</f>
        <v>0</v>
      </c>
    </row>
    <row r="34" spans="9:42" ht="18">
      <c r="I34" s="126">
        <v>19</v>
      </c>
      <c r="J34" s="127"/>
      <c r="K34" s="127" t="s">
        <v>71</v>
      </c>
      <c r="L34" s="127">
        <v>1000</v>
      </c>
      <c r="M34" s="127">
        <v>1000</v>
      </c>
      <c r="N34" s="127">
        <v>1000</v>
      </c>
      <c r="O34" s="127">
        <v>1000</v>
      </c>
      <c r="P34" s="127">
        <v>1000</v>
      </c>
      <c r="Q34" s="127">
        <v>1000</v>
      </c>
      <c r="R34" s="127">
        <v>1000</v>
      </c>
      <c r="S34" s="127">
        <v>1000</v>
      </c>
      <c r="T34" s="127">
        <v>1000</v>
      </c>
      <c r="U34" s="127">
        <v>1000</v>
      </c>
      <c r="V34" s="127">
        <v>1000</v>
      </c>
      <c r="W34" s="127">
        <v>1000</v>
      </c>
      <c r="X34" s="127">
        <v>1000</v>
      </c>
      <c r="Y34" s="127">
        <v>1000</v>
      </c>
      <c r="Z34" s="127">
        <v>1000</v>
      </c>
      <c r="AA34" s="127">
        <v>1000</v>
      </c>
      <c r="AB34" s="127">
        <v>1000</v>
      </c>
      <c r="AC34" s="127">
        <v>1000</v>
      </c>
      <c r="AD34" s="127">
        <v>1000</v>
      </c>
      <c r="AE34" s="127">
        <v>1000</v>
      </c>
      <c r="AF34" s="127">
        <v>1000</v>
      </c>
      <c r="AG34" s="127">
        <v>1000</v>
      </c>
      <c r="AH34" s="127">
        <v>1000</v>
      </c>
      <c r="AI34" s="127">
        <v>1000</v>
      </c>
      <c r="AJ34" s="128"/>
      <c r="AK34" s="129">
        <f>SUM(Table35[[#This Row],[JAN]:[VYAJ]])</f>
        <v>24000</v>
      </c>
      <c r="AL34" s="128"/>
      <c r="AM34" s="128"/>
      <c r="AN34" s="130">
        <f>Table35[[#This Row],[KARJ]]-Table35[[#This Row],[PARAT PHED]]</f>
        <v>0</v>
      </c>
      <c r="AO34" s="129"/>
      <c r="AP34" s="78">
        <f>IFERROR(SEARCH($T$9,Table35[[#This Row],[NAME]]),0)</f>
        <v>0</v>
      </c>
    </row>
    <row r="35" spans="9:42" ht="18">
      <c r="I35" s="126">
        <v>20</v>
      </c>
      <c r="J35" s="131"/>
      <c r="K35" s="131" t="s">
        <v>107</v>
      </c>
      <c r="L35" s="131">
        <v>1000</v>
      </c>
      <c r="M35" s="131">
        <v>1000</v>
      </c>
      <c r="N35" s="131">
        <v>1000</v>
      </c>
      <c r="O35" s="131">
        <v>1000</v>
      </c>
      <c r="P35" s="131">
        <v>1000</v>
      </c>
      <c r="Q35" s="131">
        <v>1000</v>
      </c>
      <c r="R35" s="131">
        <v>1000</v>
      </c>
      <c r="S35" s="131">
        <v>1000</v>
      </c>
      <c r="T35" s="131">
        <v>1000</v>
      </c>
      <c r="U35" s="131">
        <v>1000</v>
      </c>
      <c r="V35" s="131">
        <v>1000</v>
      </c>
      <c r="W35" s="131">
        <v>1000</v>
      </c>
      <c r="X35" s="131">
        <v>1000</v>
      </c>
      <c r="Y35" s="131">
        <v>1000</v>
      </c>
      <c r="Z35" s="131">
        <v>1000</v>
      </c>
      <c r="AA35" s="131">
        <v>1000</v>
      </c>
      <c r="AB35" s="131">
        <v>1000</v>
      </c>
      <c r="AC35" s="131">
        <v>1000</v>
      </c>
      <c r="AD35" s="131">
        <v>1000</v>
      </c>
      <c r="AE35" s="131">
        <v>1000</v>
      </c>
      <c r="AF35" s="131">
        <v>1000</v>
      </c>
      <c r="AG35" s="131">
        <v>1000</v>
      </c>
      <c r="AH35" s="131">
        <v>1000</v>
      </c>
      <c r="AI35" s="131">
        <v>1000</v>
      </c>
      <c r="AJ35" s="129"/>
      <c r="AK35" s="129">
        <f>SUM(Table35[[#This Row],[JAN]:[VYAJ]])</f>
        <v>24000</v>
      </c>
      <c r="AL35" s="129"/>
      <c r="AM35" s="129"/>
      <c r="AN35" s="130">
        <f>Table35[[#This Row],[KARJ]]-Table35[[#This Row],[PARAT PHED]]</f>
        <v>0</v>
      </c>
      <c r="AO35" s="129"/>
      <c r="AP35" s="79">
        <f>IFERROR(SEARCH($T$9,Table35[[#This Row],[NAME]]),0)</f>
        <v>0</v>
      </c>
    </row>
    <row r="36" spans="9:42" ht="18">
      <c r="I36" s="126">
        <v>21</v>
      </c>
      <c r="J36" s="127"/>
      <c r="K36" s="127" t="s">
        <v>39</v>
      </c>
      <c r="L36" s="127">
        <v>600</v>
      </c>
      <c r="M36" s="127">
        <v>600</v>
      </c>
      <c r="N36" s="127">
        <v>600</v>
      </c>
      <c r="O36" s="127">
        <v>600</v>
      </c>
      <c r="P36" s="127">
        <v>600</v>
      </c>
      <c r="Q36" s="127">
        <v>600</v>
      </c>
      <c r="R36" s="127">
        <v>600</v>
      </c>
      <c r="S36" s="127">
        <v>600</v>
      </c>
      <c r="T36" s="127">
        <v>600</v>
      </c>
      <c r="U36" s="127">
        <v>600</v>
      </c>
      <c r="V36" s="127">
        <v>600</v>
      </c>
      <c r="W36" s="127">
        <v>600</v>
      </c>
      <c r="X36" s="127">
        <v>600</v>
      </c>
      <c r="Y36" s="127">
        <v>600</v>
      </c>
      <c r="Z36" s="127">
        <v>600</v>
      </c>
      <c r="AA36" s="127">
        <v>600</v>
      </c>
      <c r="AB36" s="127">
        <v>600</v>
      </c>
      <c r="AC36" s="127">
        <v>600</v>
      </c>
      <c r="AD36" s="127">
        <v>600</v>
      </c>
      <c r="AE36" s="127">
        <v>600</v>
      </c>
      <c r="AF36" s="127">
        <v>600</v>
      </c>
      <c r="AG36" s="127">
        <v>600</v>
      </c>
      <c r="AH36" s="127">
        <v>600</v>
      </c>
      <c r="AI36" s="127">
        <v>600</v>
      </c>
      <c r="AJ36" s="128"/>
      <c r="AK36" s="129">
        <f>SUM(Table35[[#This Row],[JAN]:[VYAJ]])</f>
        <v>14400</v>
      </c>
      <c r="AL36" s="128"/>
      <c r="AM36" s="128"/>
      <c r="AN36" s="130">
        <f>Table35[[#This Row],[KARJ]]-Table35[[#This Row],[PARAT PHED]]</f>
        <v>0</v>
      </c>
      <c r="AO36" s="129"/>
      <c r="AP36" s="78">
        <f>IFERROR(SEARCH($T$9,Table35[[#This Row],[NAME]]),0)</f>
        <v>0</v>
      </c>
    </row>
    <row r="37" spans="9:42" ht="18">
      <c r="I37" s="126">
        <v>22</v>
      </c>
      <c r="J37" s="131"/>
      <c r="K37" s="131" t="s">
        <v>40</v>
      </c>
      <c r="L37" s="131">
        <v>600</v>
      </c>
      <c r="M37" s="131">
        <v>600</v>
      </c>
      <c r="N37" s="131">
        <v>600</v>
      </c>
      <c r="O37" s="131">
        <v>600</v>
      </c>
      <c r="P37" s="131">
        <v>600</v>
      </c>
      <c r="Q37" s="131">
        <v>600</v>
      </c>
      <c r="R37" s="131">
        <v>600</v>
      </c>
      <c r="S37" s="131">
        <v>600</v>
      </c>
      <c r="T37" s="131">
        <v>600</v>
      </c>
      <c r="U37" s="131">
        <v>600</v>
      </c>
      <c r="V37" s="131">
        <v>600</v>
      </c>
      <c r="W37" s="131">
        <v>600</v>
      </c>
      <c r="X37" s="131">
        <v>600</v>
      </c>
      <c r="Y37" s="131">
        <v>600</v>
      </c>
      <c r="Z37" s="131">
        <v>600</v>
      </c>
      <c r="AA37" s="131">
        <v>600</v>
      </c>
      <c r="AB37" s="131">
        <v>600</v>
      </c>
      <c r="AC37" s="131">
        <v>600</v>
      </c>
      <c r="AD37" s="131">
        <v>600</v>
      </c>
      <c r="AE37" s="131">
        <v>600</v>
      </c>
      <c r="AF37" s="131">
        <v>600</v>
      </c>
      <c r="AG37" s="131">
        <v>600</v>
      </c>
      <c r="AH37" s="131">
        <v>600</v>
      </c>
      <c r="AI37" s="131">
        <v>600</v>
      </c>
      <c r="AJ37" s="129"/>
      <c r="AK37" s="129">
        <f>SUM(Table35[[#This Row],[JAN]:[VYAJ]])</f>
        <v>14400</v>
      </c>
      <c r="AL37" s="129">
        <v>600</v>
      </c>
      <c r="AM37" s="129"/>
      <c r="AN37" s="130">
        <f>Table35[[#This Row],[KARJ]]-Table35[[#This Row],[PARAT PHED]]</f>
        <v>600</v>
      </c>
      <c r="AO37" s="129"/>
      <c r="AP37" s="78">
        <f>IFERROR(SEARCH($T$9,Table35[[#This Row],[NAME]]),0)</f>
        <v>0</v>
      </c>
    </row>
    <row r="38" spans="9:42" ht="18">
      <c r="I38" s="126">
        <v>23</v>
      </c>
      <c r="J38" s="127"/>
      <c r="K38" s="127" t="s">
        <v>41</v>
      </c>
      <c r="L38" s="127">
        <v>600</v>
      </c>
      <c r="M38" s="127">
        <v>600</v>
      </c>
      <c r="N38" s="127">
        <v>600</v>
      </c>
      <c r="O38" s="127">
        <v>600</v>
      </c>
      <c r="P38" s="127">
        <v>600</v>
      </c>
      <c r="Q38" s="127">
        <v>600</v>
      </c>
      <c r="R38" s="127">
        <v>600</v>
      </c>
      <c r="S38" s="127">
        <v>600</v>
      </c>
      <c r="T38" s="127">
        <v>600</v>
      </c>
      <c r="U38" s="127">
        <v>600</v>
      </c>
      <c r="V38" s="127">
        <v>600</v>
      </c>
      <c r="W38" s="127">
        <v>600</v>
      </c>
      <c r="X38" s="127">
        <v>600</v>
      </c>
      <c r="Y38" s="127">
        <v>600</v>
      </c>
      <c r="Z38" s="127">
        <v>600</v>
      </c>
      <c r="AA38" s="127">
        <v>600</v>
      </c>
      <c r="AB38" s="127">
        <v>600</v>
      </c>
      <c r="AC38" s="127">
        <v>600</v>
      </c>
      <c r="AD38" s="127">
        <v>600</v>
      </c>
      <c r="AE38" s="127">
        <v>600</v>
      </c>
      <c r="AF38" s="127">
        <v>600</v>
      </c>
      <c r="AG38" s="127">
        <v>600</v>
      </c>
      <c r="AH38" s="127">
        <v>600</v>
      </c>
      <c r="AI38" s="127">
        <v>600</v>
      </c>
      <c r="AJ38" s="128"/>
      <c r="AK38" s="129">
        <f>SUM(Table35[[#This Row],[JAN]:[VYAJ]])</f>
        <v>14400</v>
      </c>
      <c r="AL38" s="128"/>
      <c r="AM38" s="128"/>
      <c r="AN38" s="130">
        <f>Table35[[#This Row],[KARJ]]-Table35[[#This Row],[PARAT PHED]]</f>
        <v>0</v>
      </c>
      <c r="AO38" s="129"/>
      <c r="AP38" s="78">
        <f>IFERROR(SEARCH($T$9,Table35[[#This Row],[NAME]]),0)</f>
        <v>0</v>
      </c>
    </row>
    <row r="39" spans="9:42" ht="18">
      <c r="I39" s="126">
        <v>24</v>
      </c>
      <c r="J39" s="131"/>
      <c r="K39" s="131" t="s">
        <v>42</v>
      </c>
      <c r="L39" s="131">
        <v>600</v>
      </c>
      <c r="M39" s="131">
        <v>600</v>
      </c>
      <c r="N39" s="131">
        <v>600</v>
      </c>
      <c r="O39" s="131">
        <v>600</v>
      </c>
      <c r="P39" s="131">
        <v>600</v>
      </c>
      <c r="Q39" s="131">
        <v>600</v>
      </c>
      <c r="R39" s="131">
        <v>600</v>
      </c>
      <c r="S39" s="131">
        <v>600</v>
      </c>
      <c r="T39" s="131">
        <v>600</v>
      </c>
      <c r="U39" s="131">
        <v>600</v>
      </c>
      <c r="V39" s="131">
        <v>600</v>
      </c>
      <c r="W39" s="131">
        <v>600</v>
      </c>
      <c r="X39" s="131">
        <v>600</v>
      </c>
      <c r="Y39" s="131">
        <v>600</v>
      </c>
      <c r="Z39" s="131">
        <v>600</v>
      </c>
      <c r="AA39" s="131">
        <v>600</v>
      </c>
      <c r="AB39" s="131">
        <v>600</v>
      </c>
      <c r="AC39" s="131">
        <v>600</v>
      </c>
      <c r="AD39" s="131">
        <v>600</v>
      </c>
      <c r="AE39" s="131">
        <v>600</v>
      </c>
      <c r="AF39" s="131">
        <v>600</v>
      </c>
      <c r="AG39" s="131">
        <v>600</v>
      </c>
      <c r="AH39" s="131">
        <v>600</v>
      </c>
      <c r="AI39" s="131"/>
      <c r="AJ39" s="129">
        <f>60+300+300+300+360+360+360+420+420+420+420+420+420+420+420+420+480+480+480+480+480+480</f>
        <v>8700</v>
      </c>
      <c r="AK39" s="129">
        <f>SUM(Table35[[#This Row],[JAN]:[VYAJ]])</f>
        <v>22500</v>
      </c>
      <c r="AL39" s="129">
        <f>2000+8000+2000+2000+2000</f>
        <v>16000</v>
      </c>
      <c r="AM39" s="129"/>
      <c r="AN39" s="130">
        <f>Table35[[#This Row],[KARJ]]-Table35[[#This Row],[PARAT PHED]]</f>
        <v>16000</v>
      </c>
      <c r="AO39" s="129"/>
      <c r="AP39" s="78">
        <f>IFERROR(SEARCH($T$9,Table35[[#This Row],[NAME]]),0)</f>
        <v>0</v>
      </c>
    </row>
    <row r="40" spans="9:42" ht="18">
      <c r="I40" s="126">
        <v>25</v>
      </c>
      <c r="J40" s="127"/>
      <c r="K40" s="127" t="s">
        <v>43</v>
      </c>
      <c r="L40" s="127">
        <v>600</v>
      </c>
      <c r="M40" s="127">
        <v>600</v>
      </c>
      <c r="N40" s="127">
        <v>600</v>
      </c>
      <c r="O40" s="127">
        <v>600</v>
      </c>
      <c r="P40" s="127">
        <v>600</v>
      </c>
      <c r="Q40" s="127">
        <v>600</v>
      </c>
      <c r="R40" s="127">
        <v>600</v>
      </c>
      <c r="S40" s="127">
        <v>600</v>
      </c>
      <c r="T40" s="127">
        <v>600</v>
      </c>
      <c r="U40" s="127">
        <v>600</v>
      </c>
      <c r="V40" s="127">
        <v>600</v>
      </c>
      <c r="W40" s="127">
        <v>600</v>
      </c>
      <c r="X40" s="127">
        <v>600</v>
      </c>
      <c r="Y40" s="127">
        <v>600</v>
      </c>
      <c r="Z40" s="127">
        <v>600</v>
      </c>
      <c r="AA40" s="127">
        <v>600</v>
      </c>
      <c r="AB40" s="127">
        <v>600</v>
      </c>
      <c r="AC40" s="127">
        <v>600</v>
      </c>
      <c r="AD40" s="127">
        <v>600</v>
      </c>
      <c r="AE40" s="127">
        <v>600</v>
      </c>
      <c r="AF40" s="127">
        <v>600</v>
      </c>
      <c r="AG40" s="127">
        <v>600</v>
      </c>
      <c r="AH40" s="127">
        <v>600</v>
      </c>
      <c r="AI40" s="127">
        <v>600</v>
      </c>
      <c r="AJ40" s="128"/>
      <c r="AK40" s="129">
        <f>SUM(Table35[[#This Row],[JAN]:[VYAJ]])</f>
        <v>14400</v>
      </c>
      <c r="AL40" s="128"/>
      <c r="AM40" s="128"/>
      <c r="AN40" s="130">
        <f>Table35[[#This Row],[KARJ]]-Table35[[#This Row],[PARAT PHED]]</f>
        <v>0</v>
      </c>
      <c r="AO40" s="129">
        <v>120</v>
      </c>
      <c r="AP40" s="78">
        <f>IFERROR(SEARCH($T$9,Table35[[#This Row],[NAME]]),0)</f>
        <v>0</v>
      </c>
    </row>
    <row r="41" spans="9:42" ht="18">
      <c r="I41" s="126">
        <v>26</v>
      </c>
      <c r="J41" s="131"/>
      <c r="K41" s="131" t="s">
        <v>44</v>
      </c>
      <c r="L41" s="131">
        <v>600</v>
      </c>
      <c r="M41" s="131">
        <v>600</v>
      </c>
      <c r="N41" s="131">
        <v>600</v>
      </c>
      <c r="O41" s="131">
        <v>600</v>
      </c>
      <c r="P41" s="131">
        <v>600</v>
      </c>
      <c r="Q41" s="131">
        <v>600</v>
      </c>
      <c r="R41" s="131">
        <v>600</v>
      </c>
      <c r="S41" s="131">
        <v>600</v>
      </c>
      <c r="T41" s="131">
        <v>600</v>
      </c>
      <c r="U41" s="131">
        <v>600</v>
      </c>
      <c r="V41" s="131">
        <v>600</v>
      </c>
      <c r="W41" s="131">
        <v>600</v>
      </c>
      <c r="X41" s="131">
        <v>600</v>
      </c>
      <c r="Y41" s="131">
        <v>600</v>
      </c>
      <c r="Z41" s="131">
        <v>600</v>
      </c>
      <c r="AA41" s="131">
        <v>600</v>
      </c>
      <c r="AB41" s="131">
        <v>600</v>
      </c>
      <c r="AC41" s="131">
        <v>600</v>
      </c>
      <c r="AD41" s="131">
        <v>600</v>
      </c>
      <c r="AE41" s="131">
        <v>600</v>
      </c>
      <c r="AF41" s="131">
        <v>600</v>
      </c>
      <c r="AG41" s="131">
        <v>600</v>
      </c>
      <c r="AH41" s="131">
        <v>600</v>
      </c>
      <c r="AI41" s="131">
        <v>600</v>
      </c>
      <c r="AJ41" s="129">
        <f>180+180+180+180+780+780+780+780+780+780+780+150+300+210+210+210+960+60</f>
        <v>8280</v>
      </c>
      <c r="AK41" s="129">
        <f>SUM(Table35[[#This Row],[JAN]:[VYAJ]])</f>
        <v>22680</v>
      </c>
      <c r="AL41" s="129">
        <f>6000+20000+5000+5000+25000</f>
        <v>61000</v>
      </c>
      <c r="AM41" s="129">
        <f>26000+3000+30000+2000</f>
        <v>61000</v>
      </c>
      <c r="AN41" s="130">
        <f>Table35[[#This Row],[KARJ]]-Table35[[#This Row],[PARAT PHED]]</f>
        <v>0</v>
      </c>
      <c r="AO41" s="129"/>
      <c r="AP41" s="78">
        <f>IFERROR(SEARCH($T$9,Table35[[#This Row],[NAME]]),0)</f>
        <v>0</v>
      </c>
    </row>
    <row r="42" spans="9:42" ht="18">
      <c r="I42" s="126">
        <v>27</v>
      </c>
      <c r="J42" s="127"/>
      <c r="K42" s="127" t="s">
        <v>45</v>
      </c>
      <c r="L42" s="127">
        <v>600</v>
      </c>
      <c r="M42" s="127">
        <v>600</v>
      </c>
      <c r="N42" s="127">
        <v>600</v>
      </c>
      <c r="O42" s="127">
        <v>600</v>
      </c>
      <c r="P42" s="127">
        <v>600</v>
      </c>
      <c r="Q42" s="127">
        <v>600</v>
      </c>
      <c r="R42" s="127">
        <v>600</v>
      </c>
      <c r="S42" s="127">
        <v>600</v>
      </c>
      <c r="T42" s="127">
        <v>600</v>
      </c>
      <c r="U42" s="127">
        <v>600</v>
      </c>
      <c r="V42" s="127">
        <v>600</v>
      </c>
      <c r="W42" s="127">
        <v>600</v>
      </c>
      <c r="X42" s="127">
        <v>600</v>
      </c>
      <c r="Y42" s="127">
        <v>600</v>
      </c>
      <c r="Z42" s="127">
        <v>600</v>
      </c>
      <c r="AA42" s="127">
        <v>600</v>
      </c>
      <c r="AB42" s="127">
        <v>600</v>
      </c>
      <c r="AC42" s="127">
        <v>600</v>
      </c>
      <c r="AD42" s="127">
        <v>600</v>
      </c>
      <c r="AE42" s="127">
        <v>600</v>
      </c>
      <c r="AF42" s="127">
        <v>600</v>
      </c>
      <c r="AG42" s="127">
        <v>600</v>
      </c>
      <c r="AH42" s="127">
        <v>600</v>
      </c>
      <c r="AI42" s="127">
        <v>600</v>
      </c>
      <c r="AJ42" s="128"/>
      <c r="AK42" s="129">
        <f>SUM(Table35[[#This Row],[JAN]:[VYAJ]])</f>
        <v>14400</v>
      </c>
      <c r="AL42" s="128"/>
      <c r="AM42" s="128"/>
      <c r="AN42" s="130">
        <f>Table35[[#This Row],[KARJ]]-Table35[[#This Row],[PARAT PHED]]</f>
        <v>0</v>
      </c>
      <c r="AO42" s="129"/>
      <c r="AP42" s="78">
        <f>IFERROR(SEARCH($T$9,Table35[[#This Row],[NAME]]),0)</f>
        <v>0</v>
      </c>
    </row>
    <row r="43" spans="9:42" ht="18">
      <c r="I43" s="126">
        <v>28</v>
      </c>
      <c r="J43" s="131"/>
      <c r="K43" s="131" t="s">
        <v>46</v>
      </c>
      <c r="L43" s="131">
        <v>600</v>
      </c>
      <c r="M43" s="131">
        <v>600</v>
      </c>
      <c r="N43" s="131">
        <v>600</v>
      </c>
      <c r="O43" s="131">
        <v>600</v>
      </c>
      <c r="P43" s="131">
        <v>600</v>
      </c>
      <c r="Q43" s="131">
        <v>600</v>
      </c>
      <c r="R43" s="131">
        <v>600</v>
      </c>
      <c r="S43" s="131">
        <v>600</v>
      </c>
      <c r="T43" s="131">
        <v>600</v>
      </c>
      <c r="U43" s="131">
        <v>600</v>
      </c>
      <c r="V43" s="131">
        <v>600</v>
      </c>
      <c r="W43" s="131">
        <v>600</v>
      </c>
      <c r="X43" s="131">
        <v>600</v>
      </c>
      <c r="Y43" s="131">
        <v>600</v>
      </c>
      <c r="Z43" s="131">
        <v>600</v>
      </c>
      <c r="AA43" s="131">
        <v>600</v>
      </c>
      <c r="AB43" s="131">
        <v>600</v>
      </c>
      <c r="AC43" s="131">
        <v>600</v>
      </c>
      <c r="AD43" s="131">
        <v>600</v>
      </c>
      <c r="AE43" s="131">
        <v>600</v>
      </c>
      <c r="AF43" s="131">
        <v>600</v>
      </c>
      <c r="AG43" s="131">
        <v>600</v>
      </c>
      <c r="AH43" s="131">
        <v>600</v>
      </c>
      <c r="AI43" s="131">
        <v>600</v>
      </c>
      <c r="AJ43" s="129">
        <f>180</f>
        <v>180</v>
      </c>
      <c r="AK43" s="129">
        <f>SUM(Table35[[#This Row],[JAN]:[VYAJ]])</f>
        <v>14580</v>
      </c>
      <c r="AL43" s="129">
        <f>6780</f>
        <v>6780</v>
      </c>
      <c r="AM43" s="129"/>
      <c r="AN43" s="130">
        <f>Table35[[#This Row],[KARJ]]-Table35[[#This Row],[PARAT PHED]]</f>
        <v>6780</v>
      </c>
      <c r="AO43" s="129">
        <v>600</v>
      </c>
      <c r="AP43" s="78">
        <f>IFERROR(SEARCH($T$9,Table35[[#This Row],[NAME]]),0)</f>
        <v>0</v>
      </c>
    </row>
    <row r="44" spans="9:42" ht="18">
      <c r="I44" s="126">
        <v>29</v>
      </c>
      <c r="J44" s="127"/>
      <c r="K44" s="127" t="s">
        <v>47</v>
      </c>
      <c r="L44" s="127">
        <v>600</v>
      </c>
      <c r="M44" s="127">
        <v>600</v>
      </c>
      <c r="N44" s="127">
        <v>600</v>
      </c>
      <c r="O44" s="127">
        <v>600</v>
      </c>
      <c r="P44" s="127">
        <v>600</v>
      </c>
      <c r="Q44" s="127">
        <v>600</v>
      </c>
      <c r="R44" s="127">
        <v>600</v>
      </c>
      <c r="S44" s="127">
        <v>600</v>
      </c>
      <c r="T44" s="127">
        <v>600</v>
      </c>
      <c r="U44" s="127">
        <v>600</v>
      </c>
      <c r="V44" s="127">
        <v>600</v>
      </c>
      <c r="W44" s="127">
        <v>600</v>
      </c>
      <c r="X44" s="127">
        <v>600</v>
      </c>
      <c r="Y44" s="127">
        <v>600</v>
      </c>
      <c r="Z44" s="127">
        <v>600</v>
      </c>
      <c r="AA44" s="127">
        <v>600</v>
      </c>
      <c r="AB44" s="127">
        <v>600</v>
      </c>
      <c r="AC44" s="127">
        <v>600</v>
      </c>
      <c r="AD44" s="127">
        <v>600</v>
      </c>
      <c r="AE44" s="127">
        <v>600</v>
      </c>
      <c r="AF44" s="127">
        <v>600</v>
      </c>
      <c r="AG44" s="127">
        <v>600</v>
      </c>
      <c r="AH44" s="127">
        <v>600</v>
      </c>
      <c r="AI44" s="127"/>
      <c r="AJ44" s="128">
        <f>300+300+300+450+450+750</f>
        <v>2550</v>
      </c>
      <c r="AK44" s="129">
        <f>SUM(Table35[[#This Row],[JAN]:[VYAJ]])</f>
        <v>16350</v>
      </c>
      <c r="AL44" s="128">
        <f>10000+10000+15000+15000+10000</f>
        <v>60000</v>
      </c>
      <c r="AM44" s="128">
        <f>10000+10000+15000</f>
        <v>35000</v>
      </c>
      <c r="AN44" s="130">
        <f>Table35[[#This Row],[KARJ]]-Table35[[#This Row],[PARAT PHED]]</f>
        <v>25000</v>
      </c>
      <c r="AO44" s="129"/>
      <c r="AP44" s="78">
        <f>IFERROR(SEARCH($T$9,Table35[[#This Row],[NAME]]),0)</f>
        <v>0</v>
      </c>
    </row>
    <row r="45" spans="9:42" ht="18">
      <c r="I45" s="126">
        <v>30</v>
      </c>
      <c r="J45" s="131"/>
      <c r="K45" s="131" t="s">
        <v>64</v>
      </c>
      <c r="L45" s="131">
        <v>600</v>
      </c>
      <c r="M45" s="131">
        <v>600</v>
      </c>
      <c r="N45" s="131">
        <v>600</v>
      </c>
      <c r="O45" s="131">
        <v>600</v>
      </c>
      <c r="P45" s="131">
        <v>600</v>
      </c>
      <c r="Q45" s="131">
        <v>600</v>
      </c>
      <c r="R45" s="131">
        <v>600</v>
      </c>
      <c r="S45" s="131">
        <v>600</v>
      </c>
      <c r="T45" s="131">
        <v>600</v>
      </c>
      <c r="U45" s="131">
        <v>600</v>
      </c>
      <c r="V45" s="131">
        <v>600</v>
      </c>
      <c r="W45" s="131">
        <v>600</v>
      </c>
      <c r="X45" s="131">
        <v>600</v>
      </c>
      <c r="Y45" s="131">
        <v>600</v>
      </c>
      <c r="Z45" s="131">
        <v>600</v>
      </c>
      <c r="AA45" s="131">
        <v>600</v>
      </c>
      <c r="AB45" s="131">
        <v>600</v>
      </c>
      <c r="AC45" s="131">
        <v>600</v>
      </c>
      <c r="AD45" s="131">
        <v>600</v>
      </c>
      <c r="AE45" s="131">
        <v>600</v>
      </c>
      <c r="AF45" s="131">
        <v>600</v>
      </c>
      <c r="AG45" s="131">
        <v>600</v>
      </c>
      <c r="AH45" s="131">
        <v>600</v>
      </c>
      <c r="AI45" s="131">
        <v>600</v>
      </c>
      <c r="AJ45" s="129">
        <f>600+600+600+400+400+400</f>
        <v>3000</v>
      </c>
      <c r="AK45" s="129">
        <f>SUM(Table35[[#This Row],[JAN]:[VYAJ]])</f>
        <v>17400</v>
      </c>
      <c r="AL45" s="129">
        <v>30000</v>
      </c>
      <c r="AM45" s="129">
        <f>10000+20000</f>
        <v>30000</v>
      </c>
      <c r="AN45" s="130">
        <f>Table35[[#This Row],[KARJ]]-Table35[[#This Row],[PARAT PHED]]</f>
        <v>0</v>
      </c>
      <c r="AO45" s="129"/>
      <c r="AP45" s="78">
        <f>IFERROR(SEARCH($T$9,Table35[[#This Row],[NAME]]),0)</f>
        <v>0</v>
      </c>
    </row>
    <row r="46" spans="9:42" ht="18">
      <c r="I46" s="126">
        <v>31</v>
      </c>
      <c r="J46" s="127"/>
      <c r="K46" s="127" t="s">
        <v>105</v>
      </c>
      <c r="L46" s="127">
        <v>600</v>
      </c>
      <c r="M46" s="127">
        <v>600</v>
      </c>
      <c r="N46" s="127">
        <v>600</v>
      </c>
      <c r="O46" s="127">
        <v>600</v>
      </c>
      <c r="P46" s="127">
        <v>600</v>
      </c>
      <c r="Q46" s="127">
        <v>600</v>
      </c>
      <c r="R46" s="127">
        <v>600</v>
      </c>
      <c r="S46" s="127">
        <v>600</v>
      </c>
      <c r="T46" s="127">
        <v>600</v>
      </c>
      <c r="U46" s="127">
        <v>600</v>
      </c>
      <c r="V46" s="127">
        <v>600</v>
      </c>
      <c r="W46" s="127">
        <v>600</v>
      </c>
      <c r="X46" s="127">
        <v>600</v>
      </c>
      <c r="Y46" s="127">
        <v>600</v>
      </c>
      <c r="Z46" s="127">
        <v>600</v>
      </c>
      <c r="AA46" s="127">
        <v>600</v>
      </c>
      <c r="AB46" s="127">
        <v>600</v>
      </c>
      <c r="AC46" s="127">
        <v>600</v>
      </c>
      <c r="AD46" s="127">
        <v>600</v>
      </c>
      <c r="AE46" s="127">
        <v>600</v>
      </c>
      <c r="AF46" s="127">
        <v>600</v>
      </c>
      <c r="AG46" s="127">
        <v>600</v>
      </c>
      <c r="AH46" s="127">
        <v>600</v>
      </c>
      <c r="AI46" s="127">
        <v>600</v>
      </c>
      <c r="AJ46" s="128">
        <f>150+150+450+450+450+450+450+450+450+5850</f>
        <v>9300</v>
      </c>
      <c r="AK46" s="129">
        <f>SUM(Table35[[#This Row],[JAN]:[VYAJ]])</f>
        <v>23700</v>
      </c>
      <c r="AL46" s="128">
        <f>5000+10000+13700</f>
        <v>28700</v>
      </c>
      <c r="AM46" s="128"/>
      <c r="AN46" s="130">
        <f>Table35[[#This Row],[KARJ]]-Table35[[#This Row],[PARAT PHED]]</f>
        <v>28700</v>
      </c>
      <c r="AO46" s="129">
        <v>650</v>
      </c>
      <c r="AP46" s="79">
        <f>IFERROR(SEARCH($T$9,Table35[[#This Row],[NAME]]),0)</f>
        <v>0</v>
      </c>
    </row>
    <row r="47" spans="9:42" ht="18">
      <c r="I47" s="126">
        <v>32</v>
      </c>
      <c r="J47" s="131"/>
      <c r="K47" s="131" t="s">
        <v>48</v>
      </c>
      <c r="L47" s="131">
        <v>400</v>
      </c>
      <c r="M47" s="131">
        <v>400</v>
      </c>
      <c r="N47" s="131">
        <v>400</v>
      </c>
      <c r="O47" s="131">
        <v>400</v>
      </c>
      <c r="P47" s="131">
        <v>400</v>
      </c>
      <c r="Q47" s="131">
        <v>400</v>
      </c>
      <c r="R47" s="131">
        <v>400</v>
      </c>
      <c r="S47" s="131">
        <v>400</v>
      </c>
      <c r="T47" s="131">
        <v>400</v>
      </c>
      <c r="U47" s="131">
        <v>400</v>
      </c>
      <c r="V47" s="131">
        <v>400</v>
      </c>
      <c r="W47" s="131">
        <v>400</v>
      </c>
      <c r="X47" s="131">
        <v>400</v>
      </c>
      <c r="Y47" s="131">
        <v>400</v>
      </c>
      <c r="Z47" s="131">
        <v>400</v>
      </c>
      <c r="AA47" s="131">
        <v>400</v>
      </c>
      <c r="AB47" s="131">
        <v>400</v>
      </c>
      <c r="AC47" s="131">
        <v>400</v>
      </c>
      <c r="AD47" s="131">
        <v>400</v>
      </c>
      <c r="AE47" s="131">
        <v>400</v>
      </c>
      <c r="AF47" s="131">
        <v>400</v>
      </c>
      <c r="AG47" s="131">
        <v>400</v>
      </c>
      <c r="AH47" s="131">
        <v>400</v>
      </c>
      <c r="AI47" s="131">
        <v>400</v>
      </c>
      <c r="AJ47" s="129">
        <f>600+450+300+150</f>
        <v>1500</v>
      </c>
      <c r="AK47" s="129">
        <f>SUM(Table35[[#This Row],[JAN]:[VYAJ]])</f>
        <v>11100</v>
      </c>
      <c r="AL47" s="129">
        <v>20000</v>
      </c>
      <c r="AM47" s="129">
        <f>5000+5000+5000+5000</f>
        <v>20000</v>
      </c>
      <c r="AN47" s="130">
        <f>Table35[[#This Row],[KARJ]]-Table35[[#This Row],[PARAT PHED]]</f>
        <v>0</v>
      </c>
      <c r="AO47" s="129"/>
      <c r="AP47" s="78">
        <f>IFERROR(SEARCH($T$9,Table35[[#This Row],[NAME]]),0)</f>
        <v>0</v>
      </c>
    </row>
    <row r="48" spans="9:42" ht="18">
      <c r="I48" s="126">
        <v>33</v>
      </c>
      <c r="J48" s="127"/>
      <c r="K48" s="127" t="s">
        <v>49</v>
      </c>
      <c r="L48" s="127">
        <v>400</v>
      </c>
      <c r="M48" s="127">
        <v>400</v>
      </c>
      <c r="N48" s="127">
        <v>400</v>
      </c>
      <c r="O48" s="127">
        <v>400</v>
      </c>
      <c r="P48" s="127">
        <v>400</v>
      </c>
      <c r="Q48" s="127">
        <v>400</v>
      </c>
      <c r="R48" s="127">
        <v>400</v>
      </c>
      <c r="S48" s="127">
        <v>400</v>
      </c>
      <c r="T48" s="127">
        <v>400</v>
      </c>
      <c r="U48" s="127">
        <v>400</v>
      </c>
      <c r="V48" s="127">
        <v>400</v>
      </c>
      <c r="W48" s="127">
        <v>400</v>
      </c>
      <c r="X48" s="127">
        <v>400</v>
      </c>
      <c r="Y48" s="127">
        <v>400</v>
      </c>
      <c r="Z48" s="127">
        <v>400</v>
      </c>
      <c r="AA48" s="127">
        <v>400</v>
      </c>
      <c r="AB48" s="127">
        <v>400</v>
      </c>
      <c r="AC48" s="127">
        <v>400</v>
      </c>
      <c r="AD48" s="127">
        <v>400</v>
      </c>
      <c r="AE48" s="127">
        <v>400</v>
      </c>
      <c r="AF48" s="127">
        <v>400</v>
      </c>
      <c r="AG48" s="127">
        <v>400</v>
      </c>
      <c r="AH48" s="127">
        <v>400</v>
      </c>
      <c r="AI48" s="127">
        <v>400</v>
      </c>
      <c r="AJ48" s="128">
        <f>300+300+300+300+300+300+300+300+300+450+450+450+450+450+150+150+150</f>
        <v>5400</v>
      </c>
      <c r="AK48" s="129">
        <f>SUM(Table35[[#This Row],[JAN]:[VYAJ]])</f>
        <v>15000</v>
      </c>
      <c r="AL48" s="128">
        <f>10000+15000</f>
        <v>25000</v>
      </c>
      <c r="AM48" s="128">
        <f>10000+10000+5000</f>
        <v>25000</v>
      </c>
      <c r="AN48" s="130">
        <f>Table35[[#This Row],[KARJ]]-Table35[[#This Row],[PARAT PHED]]</f>
        <v>0</v>
      </c>
      <c r="AO48" s="129"/>
      <c r="AP48" s="78">
        <f>IFERROR(SEARCH($T$9,Table35[[#This Row],[NAME]]),0)</f>
        <v>0</v>
      </c>
    </row>
    <row r="49" spans="9:42" ht="18">
      <c r="I49" s="126">
        <v>34</v>
      </c>
      <c r="J49" s="131"/>
      <c r="K49" s="131" t="s">
        <v>50</v>
      </c>
      <c r="L49" s="131">
        <v>400</v>
      </c>
      <c r="M49" s="131">
        <v>400</v>
      </c>
      <c r="N49" s="131">
        <v>400</v>
      </c>
      <c r="O49" s="131">
        <v>400</v>
      </c>
      <c r="P49" s="131">
        <v>400</v>
      </c>
      <c r="Q49" s="131">
        <v>400</v>
      </c>
      <c r="R49" s="131">
        <v>400</v>
      </c>
      <c r="S49" s="131">
        <v>400</v>
      </c>
      <c r="T49" s="131">
        <v>400</v>
      </c>
      <c r="U49" s="131">
        <v>400</v>
      </c>
      <c r="V49" s="131">
        <v>400</v>
      </c>
      <c r="W49" s="131">
        <v>400</v>
      </c>
      <c r="X49" s="131">
        <v>400</v>
      </c>
      <c r="Y49" s="131">
        <v>400</v>
      </c>
      <c r="Z49" s="131">
        <v>400</v>
      </c>
      <c r="AA49" s="131">
        <v>400</v>
      </c>
      <c r="AB49" s="131">
        <v>400</v>
      </c>
      <c r="AC49" s="131">
        <v>400</v>
      </c>
      <c r="AD49" s="131">
        <v>400</v>
      </c>
      <c r="AE49" s="131">
        <v>400</v>
      </c>
      <c r="AF49" s="131">
        <v>400</v>
      </c>
      <c r="AG49" s="131">
        <v>400</v>
      </c>
      <c r="AH49" s="131">
        <v>400</v>
      </c>
      <c r="AI49" s="131">
        <v>400</v>
      </c>
      <c r="AJ49" s="129">
        <f>180+180+180+180+180+180+180+180+180+180+180+180+180+180+180+180+1440</f>
        <v>4320</v>
      </c>
      <c r="AK49" s="129">
        <f>SUM(Table35[[#This Row],[JAN]:[VYAJ]])</f>
        <v>13920</v>
      </c>
      <c r="AL49" s="129">
        <f>6000+4520</f>
        <v>10520</v>
      </c>
      <c r="AM49" s="129"/>
      <c r="AN49" s="130">
        <f>Table35[[#This Row],[KARJ]]-Table35[[#This Row],[PARAT PHED]]</f>
        <v>10520</v>
      </c>
      <c r="AO49" s="129">
        <v>280</v>
      </c>
      <c r="AP49" s="78">
        <f>IFERROR(SEARCH($T$9,Table35[[#This Row],[NAME]]),0)</f>
        <v>0</v>
      </c>
    </row>
    <row r="50" spans="9:42" ht="18">
      <c r="I50" s="126">
        <v>35</v>
      </c>
      <c r="J50" s="127"/>
      <c r="K50" s="127" t="s">
        <v>58</v>
      </c>
      <c r="L50" s="127">
        <v>400</v>
      </c>
      <c r="M50" s="127">
        <v>400</v>
      </c>
      <c r="N50" s="127">
        <v>400</v>
      </c>
      <c r="O50" s="127">
        <v>400</v>
      </c>
      <c r="P50" s="127">
        <v>400</v>
      </c>
      <c r="Q50" s="127">
        <v>400</v>
      </c>
      <c r="R50" s="127">
        <v>400</v>
      </c>
      <c r="S50" s="127">
        <v>400</v>
      </c>
      <c r="T50" s="127">
        <v>400</v>
      </c>
      <c r="U50" s="127">
        <v>400</v>
      </c>
      <c r="V50" s="127">
        <v>400</v>
      </c>
      <c r="W50" s="127">
        <v>400</v>
      </c>
      <c r="X50" s="127">
        <v>400</v>
      </c>
      <c r="Y50" s="127">
        <v>400</v>
      </c>
      <c r="Z50" s="127">
        <v>400</v>
      </c>
      <c r="AA50" s="127">
        <v>400</v>
      </c>
      <c r="AB50" s="127">
        <v>400</v>
      </c>
      <c r="AC50" s="127">
        <v>400</v>
      </c>
      <c r="AD50" s="127">
        <v>400</v>
      </c>
      <c r="AE50" s="127">
        <v>400</v>
      </c>
      <c r="AF50" s="127">
        <v>400</v>
      </c>
      <c r="AG50" s="127">
        <v>400</v>
      </c>
      <c r="AH50" s="127">
        <v>400</v>
      </c>
      <c r="AI50" s="127">
        <v>400</v>
      </c>
      <c r="AJ50" s="128">
        <f>300+300+450+450+450+450+450+750+750+750+840+810+750+750+750+750+750+750+750+750+750+450</f>
        <v>13950</v>
      </c>
      <c r="AK50" s="129">
        <f>SUM(Table35[[#This Row],[JAN]:[VYAJ]])</f>
        <v>23550</v>
      </c>
      <c r="AL50" s="128">
        <f>10000+5000+10000+5000</f>
        <v>30000</v>
      </c>
      <c r="AM50" s="128">
        <f>2000+1000+2000+10000+5000</f>
        <v>20000</v>
      </c>
      <c r="AN50" s="130">
        <f>Table35[[#This Row],[KARJ]]-Table35[[#This Row],[PARAT PHED]]</f>
        <v>10000</v>
      </c>
      <c r="AO50" s="129"/>
      <c r="AP50" s="78">
        <f>IFERROR(SEARCH($T$9,Table35[[#This Row],[NAME]]),0)</f>
        <v>0</v>
      </c>
    </row>
    <row r="51" spans="9:42" ht="18">
      <c r="I51" s="126">
        <v>36</v>
      </c>
      <c r="J51" s="131"/>
      <c r="K51" s="131" t="s">
        <v>87</v>
      </c>
      <c r="L51" s="131">
        <v>400</v>
      </c>
      <c r="M51" s="131">
        <v>400</v>
      </c>
      <c r="N51" s="131">
        <v>400</v>
      </c>
      <c r="O51" s="131">
        <v>400</v>
      </c>
      <c r="P51" s="131">
        <v>400</v>
      </c>
      <c r="Q51" s="131">
        <v>400</v>
      </c>
      <c r="R51" s="131">
        <v>400</v>
      </c>
      <c r="S51" s="131">
        <v>400</v>
      </c>
      <c r="T51" s="131">
        <v>400</v>
      </c>
      <c r="U51" s="131">
        <v>400</v>
      </c>
      <c r="V51" s="131">
        <v>400</v>
      </c>
      <c r="W51" s="131">
        <v>400</v>
      </c>
      <c r="X51" s="131">
        <v>400</v>
      </c>
      <c r="Y51" s="131">
        <v>400</v>
      </c>
      <c r="Z51" s="131">
        <v>400</v>
      </c>
      <c r="AA51" s="131">
        <v>400</v>
      </c>
      <c r="AB51" s="131">
        <v>400</v>
      </c>
      <c r="AC51" s="131">
        <v>400</v>
      </c>
      <c r="AD51" s="131">
        <v>400</v>
      </c>
      <c r="AE51" s="131">
        <v>400</v>
      </c>
      <c r="AF51" s="131">
        <v>400</v>
      </c>
      <c r="AG51" s="131">
        <v>400</v>
      </c>
      <c r="AH51" s="131">
        <v>400</v>
      </c>
      <c r="AI51" s="131">
        <v>400</v>
      </c>
      <c r="AJ51" s="129">
        <f>200+200+200</f>
        <v>600</v>
      </c>
      <c r="AK51" s="129">
        <f>SUM(Table35[[#This Row],[JAN]:[VYAJ]])</f>
        <v>10200</v>
      </c>
      <c r="AL51" s="129">
        <f>10000</f>
        <v>10000</v>
      </c>
      <c r="AM51" s="129"/>
      <c r="AN51" s="130">
        <f>Table35[[#This Row],[KARJ]]-Table35[[#This Row],[PARAT PHED]]</f>
        <v>10000</v>
      </c>
      <c r="AO51" s="129"/>
      <c r="AP51" s="78">
        <f>IFERROR(SEARCH($T$9,Table35[[#This Row],[NAME]]),0)</f>
        <v>0</v>
      </c>
    </row>
    <row r="52" spans="9:42" s="42" customFormat="1" ht="18">
      <c r="I52" s="126">
        <v>37</v>
      </c>
      <c r="J52" s="127"/>
      <c r="K52" s="127" t="s">
        <v>66</v>
      </c>
      <c r="L52" s="127">
        <v>400</v>
      </c>
      <c r="M52" s="127">
        <v>400</v>
      </c>
      <c r="N52" s="127">
        <v>400</v>
      </c>
      <c r="O52" s="127">
        <v>400</v>
      </c>
      <c r="P52" s="127">
        <v>400</v>
      </c>
      <c r="Q52" s="127">
        <v>400</v>
      </c>
      <c r="R52" s="127">
        <v>400</v>
      </c>
      <c r="S52" s="127">
        <v>400</v>
      </c>
      <c r="T52" s="127">
        <v>400</v>
      </c>
      <c r="U52" s="127">
        <v>400</v>
      </c>
      <c r="V52" s="127">
        <v>400</v>
      </c>
      <c r="W52" s="127">
        <v>400</v>
      </c>
      <c r="X52" s="127">
        <v>400</v>
      </c>
      <c r="Y52" s="127">
        <v>400</v>
      </c>
      <c r="Z52" s="127">
        <v>400</v>
      </c>
      <c r="AA52" s="127">
        <v>400</v>
      </c>
      <c r="AB52" s="127">
        <v>400</v>
      </c>
      <c r="AC52" s="127">
        <v>400</v>
      </c>
      <c r="AD52" s="127">
        <v>400</v>
      </c>
      <c r="AE52" s="127">
        <v>400</v>
      </c>
      <c r="AF52" s="127">
        <v>400</v>
      </c>
      <c r="AG52" s="127">
        <v>400</v>
      </c>
      <c r="AH52" s="127">
        <v>400</v>
      </c>
      <c r="AI52" s="127">
        <v>400</v>
      </c>
      <c r="AJ52" s="128">
        <f>150+450+450+450+450+450+450+450+450+450+450+450+450+450+450+450+3600</f>
        <v>10500</v>
      </c>
      <c r="AK52" s="129">
        <f>SUM(Table35[[#This Row],[JAN]:[VYAJ]])</f>
        <v>20100</v>
      </c>
      <c r="AL52" s="128">
        <f>5000+10000+6400</f>
        <v>21400</v>
      </c>
      <c r="AM52" s="128"/>
      <c r="AN52" s="130">
        <f>Table35[[#This Row],[KARJ]]-Table35[[#This Row],[PARAT PHED]]</f>
        <v>21400</v>
      </c>
      <c r="AO52" s="129"/>
      <c r="AP52" s="78">
        <f>IFERROR(SEARCH($T$9,Table35[[#This Row],[NAME]]),0)</f>
        <v>0</v>
      </c>
    </row>
    <row r="53" spans="9:42" ht="18">
      <c r="I53" s="126">
        <v>38</v>
      </c>
      <c r="J53" s="131"/>
      <c r="K53" s="131" t="s">
        <v>103</v>
      </c>
      <c r="L53" s="131">
        <v>400</v>
      </c>
      <c r="M53" s="131">
        <v>400</v>
      </c>
      <c r="N53" s="131">
        <v>400</v>
      </c>
      <c r="O53" s="131">
        <v>400</v>
      </c>
      <c r="P53" s="131">
        <v>400</v>
      </c>
      <c r="Q53" s="131">
        <v>400</v>
      </c>
      <c r="R53" s="131">
        <v>400</v>
      </c>
      <c r="S53" s="131">
        <v>400</v>
      </c>
      <c r="T53" s="131">
        <v>400</v>
      </c>
      <c r="U53" s="131">
        <v>400</v>
      </c>
      <c r="V53" s="131">
        <v>400</v>
      </c>
      <c r="W53" s="131">
        <v>400</v>
      </c>
      <c r="X53" s="131">
        <v>400</v>
      </c>
      <c r="Y53" s="131">
        <v>400</v>
      </c>
      <c r="Z53" s="131">
        <v>400</v>
      </c>
      <c r="AA53" s="131">
        <v>400</v>
      </c>
      <c r="AB53" s="131">
        <v>400</v>
      </c>
      <c r="AC53" s="131">
        <v>400</v>
      </c>
      <c r="AD53" s="131">
        <v>400</v>
      </c>
      <c r="AE53" s="131">
        <v>400</v>
      </c>
      <c r="AF53" s="131">
        <v>400</v>
      </c>
      <c r="AG53" s="131">
        <v>400</v>
      </c>
      <c r="AH53" s="131">
        <v>400</v>
      </c>
      <c r="AI53" s="131">
        <v>400</v>
      </c>
      <c r="AJ53" s="129"/>
      <c r="AK53" s="129">
        <f>SUM(Table35[[#This Row],[JAN]:[VYAJ]])</f>
        <v>9600</v>
      </c>
      <c r="AL53" s="129"/>
      <c r="AM53" s="129"/>
      <c r="AN53" s="130">
        <f>Table35[[#This Row],[KARJ]]-Table35[[#This Row],[PARAT PHED]]</f>
        <v>0</v>
      </c>
      <c r="AO53" s="129"/>
      <c r="AP53" s="79">
        <f>IFERROR(SEARCH($T$9,Table35[[#This Row],[NAME]]),0)</f>
        <v>0</v>
      </c>
    </row>
    <row r="54" spans="9:42" ht="18">
      <c r="I54" s="126">
        <v>39</v>
      </c>
      <c r="J54" s="127"/>
      <c r="K54" s="127" t="s">
        <v>51</v>
      </c>
      <c r="L54" s="127">
        <v>200</v>
      </c>
      <c r="M54" s="127">
        <v>200</v>
      </c>
      <c r="N54" s="127">
        <v>200</v>
      </c>
      <c r="O54" s="127">
        <v>200</v>
      </c>
      <c r="P54" s="127">
        <v>200</v>
      </c>
      <c r="Q54" s="127">
        <v>200</v>
      </c>
      <c r="R54" s="127">
        <v>200</v>
      </c>
      <c r="S54" s="127">
        <v>200</v>
      </c>
      <c r="T54" s="127">
        <v>200</v>
      </c>
      <c r="U54" s="127">
        <v>200</v>
      </c>
      <c r="V54" s="127">
        <v>200</v>
      </c>
      <c r="W54" s="127">
        <v>200</v>
      </c>
      <c r="X54" s="127">
        <v>200</v>
      </c>
      <c r="Y54" s="127">
        <v>200</v>
      </c>
      <c r="Z54" s="127">
        <v>200</v>
      </c>
      <c r="AA54" s="127">
        <v>200</v>
      </c>
      <c r="AB54" s="127">
        <v>200</v>
      </c>
      <c r="AC54" s="127">
        <v>200</v>
      </c>
      <c r="AD54" s="127">
        <v>200</v>
      </c>
      <c r="AE54" s="127">
        <v>200</v>
      </c>
      <c r="AF54" s="127">
        <v>200</v>
      </c>
      <c r="AG54" s="127">
        <v>200</v>
      </c>
      <c r="AH54" s="127">
        <v>200</v>
      </c>
      <c r="AI54" s="127">
        <v>200</v>
      </c>
      <c r="AJ54" s="128">
        <v>200</v>
      </c>
      <c r="AK54" s="129">
        <f>SUM(Table35[[#This Row],[JAN]:[VYAJ]])</f>
        <v>5000</v>
      </c>
      <c r="AL54" s="128"/>
      <c r="AM54" s="128"/>
      <c r="AN54" s="130">
        <f>Table35[[#This Row],[KARJ]]-Table35[[#This Row],[PARAT PHED]]</f>
        <v>0</v>
      </c>
      <c r="AO54" s="129"/>
      <c r="AP54" s="78">
        <f>IFERROR(SEARCH($T$9,Table35[[#This Row],[NAME]]),0)</f>
        <v>0</v>
      </c>
    </row>
    <row r="55" spans="9:42" ht="18">
      <c r="I55" s="126">
        <v>40</v>
      </c>
      <c r="J55" s="131"/>
      <c r="K55" s="131" t="s">
        <v>52</v>
      </c>
      <c r="L55" s="131">
        <v>200</v>
      </c>
      <c r="M55" s="131">
        <v>200</v>
      </c>
      <c r="N55" s="131">
        <v>200</v>
      </c>
      <c r="O55" s="131">
        <v>200</v>
      </c>
      <c r="P55" s="131">
        <v>200</v>
      </c>
      <c r="Q55" s="131">
        <v>200</v>
      </c>
      <c r="R55" s="131">
        <v>200</v>
      </c>
      <c r="S55" s="131">
        <v>200</v>
      </c>
      <c r="T55" s="131">
        <v>200</v>
      </c>
      <c r="U55" s="131">
        <v>200</v>
      </c>
      <c r="V55" s="131">
        <v>200</v>
      </c>
      <c r="W55" s="131">
        <v>200</v>
      </c>
      <c r="X55" s="131">
        <v>200</v>
      </c>
      <c r="Y55" s="131">
        <v>200</v>
      </c>
      <c r="Z55" s="131">
        <v>200</v>
      </c>
      <c r="AA55" s="131">
        <v>200</v>
      </c>
      <c r="AB55" s="131">
        <v>200</v>
      </c>
      <c r="AC55" s="131">
        <v>200</v>
      </c>
      <c r="AD55" s="131">
        <v>200</v>
      </c>
      <c r="AE55" s="131">
        <v>200</v>
      </c>
      <c r="AF55" s="131">
        <v>200</v>
      </c>
      <c r="AG55" s="131">
        <v>200</v>
      </c>
      <c r="AH55" s="131">
        <v>200</v>
      </c>
      <c r="AI55" s="131">
        <v>200</v>
      </c>
      <c r="AJ55" s="129"/>
      <c r="AK55" s="129">
        <f>SUM(Table35[[#This Row],[JAN]:[VYAJ]])</f>
        <v>4800</v>
      </c>
      <c r="AL55" s="129"/>
      <c r="AM55" s="129"/>
      <c r="AN55" s="130">
        <f>Table35[[#This Row],[KARJ]]-Table35[[#This Row],[PARAT PHED]]</f>
        <v>0</v>
      </c>
      <c r="AO55" s="129"/>
      <c r="AP55" s="78">
        <f>IFERROR(SEARCH($T$9,Table35[[#This Row],[NAME]]),0)</f>
        <v>0</v>
      </c>
    </row>
    <row r="56" spans="9:42" ht="18">
      <c r="I56" s="126">
        <v>41</v>
      </c>
      <c r="J56" s="127"/>
      <c r="K56" s="127" t="s">
        <v>59</v>
      </c>
      <c r="L56" s="127">
        <v>200</v>
      </c>
      <c r="M56" s="127">
        <v>200</v>
      </c>
      <c r="N56" s="127">
        <v>200</v>
      </c>
      <c r="O56" s="127">
        <v>200</v>
      </c>
      <c r="P56" s="127">
        <v>200</v>
      </c>
      <c r="Q56" s="127">
        <v>200</v>
      </c>
      <c r="R56" s="127">
        <v>200</v>
      </c>
      <c r="S56" s="127">
        <v>200</v>
      </c>
      <c r="T56" s="127">
        <v>200</v>
      </c>
      <c r="U56" s="127">
        <v>200</v>
      </c>
      <c r="V56" s="127">
        <v>200</v>
      </c>
      <c r="W56" s="127">
        <v>200</v>
      </c>
      <c r="X56" s="127">
        <v>200</v>
      </c>
      <c r="Y56" s="127">
        <v>200</v>
      </c>
      <c r="Z56" s="127">
        <v>200</v>
      </c>
      <c r="AA56" s="127">
        <v>200</v>
      </c>
      <c r="AB56" s="127">
        <v>200</v>
      </c>
      <c r="AC56" s="127">
        <v>200</v>
      </c>
      <c r="AD56" s="127">
        <v>200</v>
      </c>
      <c r="AE56" s="127">
        <v>200</v>
      </c>
      <c r="AF56" s="127">
        <v>200</v>
      </c>
      <c r="AG56" s="127">
        <v>200</v>
      </c>
      <c r="AH56" s="127">
        <v>200</v>
      </c>
      <c r="AI56" s="127">
        <v>200</v>
      </c>
      <c r="AJ56" s="128">
        <f>780+780+780+780+780+780+780+780+780+780+780+780+780+780+4680</f>
        <v>15600</v>
      </c>
      <c r="AK56" s="129">
        <f>SUM(Table35[[#This Row],[JAN]:[VYAJ]])</f>
        <v>20400</v>
      </c>
      <c r="AL56" s="128">
        <f>39000+6000</f>
        <v>45000</v>
      </c>
      <c r="AM56" s="128"/>
      <c r="AN56" s="130">
        <f>Table35[[#This Row],[KARJ]]-Table35[[#This Row],[PARAT PHED]]</f>
        <v>45000</v>
      </c>
      <c r="AO56" s="129">
        <f>100+180</f>
        <v>280</v>
      </c>
      <c r="AP56" s="78">
        <f>IFERROR(SEARCH($T$9,Table35[[#This Row],[NAME]]),0)</f>
        <v>1</v>
      </c>
    </row>
    <row r="57" spans="9:42" ht="18">
      <c r="I57" s="126">
        <v>42</v>
      </c>
      <c r="J57" s="131"/>
      <c r="K57" s="131" t="s">
        <v>101</v>
      </c>
      <c r="L57" s="131">
        <v>200</v>
      </c>
      <c r="M57" s="131">
        <v>200</v>
      </c>
      <c r="N57" s="131">
        <v>200</v>
      </c>
      <c r="O57" s="131">
        <v>200</v>
      </c>
      <c r="P57" s="131">
        <v>200</v>
      </c>
      <c r="Q57" s="131">
        <v>200</v>
      </c>
      <c r="R57" s="131">
        <v>200</v>
      </c>
      <c r="S57" s="131">
        <v>200</v>
      </c>
      <c r="T57" s="131">
        <v>200</v>
      </c>
      <c r="U57" s="131">
        <v>200</v>
      </c>
      <c r="V57" s="131">
        <v>200</v>
      </c>
      <c r="W57" s="131">
        <v>200</v>
      </c>
      <c r="X57" s="131">
        <v>200</v>
      </c>
      <c r="Y57" s="131">
        <v>200</v>
      </c>
      <c r="Z57" s="131">
        <v>200</v>
      </c>
      <c r="AA57" s="131">
        <v>200</v>
      </c>
      <c r="AB57" s="131">
        <v>200</v>
      </c>
      <c r="AC57" s="131">
        <v>200</v>
      </c>
      <c r="AD57" s="131">
        <v>200</v>
      </c>
      <c r="AE57" s="131">
        <v>200</v>
      </c>
      <c r="AF57" s="131">
        <v>200</v>
      </c>
      <c r="AG57" s="131">
        <v>200</v>
      </c>
      <c r="AH57" s="131">
        <v>200</v>
      </c>
      <c r="AI57" s="131">
        <v>200</v>
      </c>
      <c r="AJ57" s="129"/>
      <c r="AK57" s="129">
        <f>SUM(Table35[[#This Row],[JAN]:[VYAJ]])</f>
        <v>4800</v>
      </c>
      <c r="AL57" s="129"/>
      <c r="AM57" s="129"/>
      <c r="AN57" s="130">
        <f>Table35[[#This Row],[KARJ]]-Table35[[#This Row],[PARAT PHED]]</f>
        <v>0</v>
      </c>
      <c r="AO57" s="129"/>
      <c r="AP57" s="79">
        <f>IFERROR(SEARCH($T$9,Table35[[#This Row],[NAME]]),0)</f>
        <v>0</v>
      </c>
    </row>
    <row r="58" spans="9:42" ht="18">
      <c r="I58" s="126">
        <v>43</v>
      </c>
      <c r="J58" s="127"/>
      <c r="K58" s="127" t="s">
        <v>102</v>
      </c>
      <c r="L58" s="127">
        <v>200</v>
      </c>
      <c r="M58" s="127">
        <v>200</v>
      </c>
      <c r="N58" s="127">
        <v>200</v>
      </c>
      <c r="O58" s="127">
        <v>200</v>
      </c>
      <c r="P58" s="127">
        <v>200</v>
      </c>
      <c r="Q58" s="127">
        <v>200</v>
      </c>
      <c r="R58" s="127">
        <v>200</v>
      </c>
      <c r="S58" s="127">
        <v>200</v>
      </c>
      <c r="T58" s="127">
        <v>200</v>
      </c>
      <c r="U58" s="127">
        <v>200</v>
      </c>
      <c r="V58" s="127">
        <v>200</v>
      </c>
      <c r="W58" s="127">
        <v>200</v>
      </c>
      <c r="X58" s="127">
        <v>200</v>
      </c>
      <c r="Y58" s="127">
        <v>200</v>
      </c>
      <c r="Z58" s="127">
        <v>200</v>
      </c>
      <c r="AA58" s="127">
        <v>200</v>
      </c>
      <c r="AB58" s="127">
        <v>200</v>
      </c>
      <c r="AC58" s="127">
        <v>200</v>
      </c>
      <c r="AD58" s="127">
        <v>200</v>
      </c>
      <c r="AE58" s="127">
        <v>200</v>
      </c>
      <c r="AF58" s="127">
        <v>200</v>
      </c>
      <c r="AG58" s="127">
        <v>200</v>
      </c>
      <c r="AH58" s="127">
        <v>200</v>
      </c>
      <c r="AI58" s="127">
        <v>200</v>
      </c>
      <c r="AJ58" s="128"/>
      <c r="AK58" s="129">
        <f>SUM(Table35[[#This Row],[JAN]:[VYAJ]])</f>
        <v>4800</v>
      </c>
      <c r="AL58" s="128"/>
      <c r="AM58" s="128"/>
      <c r="AN58" s="130">
        <f>Table35[[#This Row],[KARJ]]-Table35[[#This Row],[PARAT PHED]]</f>
        <v>0</v>
      </c>
      <c r="AO58" s="129"/>
      <c r="AP58" s="79">
        <f>IFERROR(SEARCH($T$9,Table35[[#This Row],[NAME]]),0)</f>
        <v>0</v>
      </c>
    </row>
    <row r="59" spans="9:42" ht="18">
      <c r="I59" s="126">
        <v>44</v>
      </c>
      <c r="J59" s="131"/>
      <c r="K59" s="131" t="s">
        <v>104</v>
      </c>
      <c r="L59" s="131">
        <v>200</v>
      </c>
      <c r="M59" s="131">
        <v>200</v>
      </c>
      <c r="N59" s="131">
        <v>200</v>
      </c>
      <c r="O59" s="131">
        <v>200</v>
      </c>
      <c r="P59" s="131">
        <v>200</v>
      </c>
      <c r="Q59" s="131">
        <v>200</v>
      </c>
      <c r="R59" s="131">
        <v>200</v>
      </c>
      <c r="S59" s="131">
        <v>200</v>
      </c>
      <c r="T59" s="131">
        <v>200</v>
      </c>
      <c r="U59" s="131">
        <v>200</v>
      </c>
      <c r="V59" s="131">
        <v>200</v>
      </c>
      <c r="W59" s="131">
        <v>200</v>
      </c>
      <c r="X59" s="131">
        <v>200</v>
      </c>
      <c r="Y59" s="131">
        <v>200</v>
      </c>
      <c r="Z59" s="131">
        <v>200</v>
      </c>
      <c r="AA59" s="131">
        <v>200</v>
      </c>
      <c r="AB59" s="131">
        <v>200</v>
      </c>
      <c r="AC59" s="131">
        <v>200</v>
      </c>
      <c r="AD59" s="131">
        <v>200</v>
      </c>
      <c r="AE59" s="131">
        <v>200</v>
      </c>
      <c r="AF59" s="131">
        <v>200</v>
      </c>
      <c r="AG59" s="131">
        <v>200</v>
      </c>
      <c r="AH59" s="131">
        <v>200</v>
      </c>
      <c r="AI59" s="131">
        <v>200</v>
      </c>
      <c r="AJ59" s="129"/>
      <c r="AK59" s="129">
        <f>SUM(Table35[[#This Row],[JAN]:[VYAJ]])</f>
        <v>4800</v>
      </c>
      <c r="AL59" s="129"/>
      <c r="AM59" s="129"/>
      <c r="AN59" s="130">
        <f>Table35[[#This Row],[KARJ]]-Table35[[#This Row],[PARAT PHED]]</f>
        <v>0</v>
      </c>
      <c r="AO59" s="129"/>
      <c r="AP59" s="79">
        <f>IFERROR(SEARCH($T$9,Table35[[#This Row],[NAME]]),0)</f>
        <v>0</v>
      </c>
    </row>
    <row r="60" spans="9:42" ht="18">
      <c r="I60" s="132"/>
      <c r="J60" s="133"/>
      <c r="K60" s="133" t="s">
        <v>27</v>
      </c>
      <c r="L60" s="134">
        <f>SUM(L16:L59)</f>
        <v>36800</v>
      </c>
      <c r="M60" s="135">
        <f>SUM(M16:M59)</f>
        <v>36800</v>
      </c>
      <c r="N60" s="135">
        <f>SUM(N16:N59)</f>
        <v>36800</v>
      </c>
      <c r="O60" s="135">
        <f>SUBTOTAL(109,Table35[APR])</f>
        <v>36800</v>
      </c>
      <c r="P60" s="135">
        <f t="shared" ref="P60:AI60" si="0">SUM(P16:P59)</f>
        <v>36800</v>
      </c>
      <c r="Q60" s="135">
        <f t="shared" si="0"/>
        <v>36800</v>
      </c>
      <c r="R60" s="135">
        <f t="shared" si="0"/>
        <v>36800</v>
      </c>
      <c r="S60" s="135">
        <f t="shared" si="0"/>
        <v>36800</v>
      </c>
      <c r="T60" s="135">
        <f t="shared" si="0"/>
        <v>36800</v>
      </c>
      <c r="U60" s="135">
        <f t="shared" si="0"/>
        <v>36800</v>
      </c>
      <c r="V60" s="135">
        <f t="shared" si="0"/>
        <v>36800</v>
      </c>
      <c r="W60" s="135">
        <f t="shared" si="0"/>
        <v>36800</v>
      </c>
      <c r="X60" s="135">
        <f t="shared" si="0"/>
        <v>36800</v>
      </c>
      <c r="Y60" s="135">
        <f t="shared" si="0"/>
        <v>36800</v>
      </c>
      <c r="Z60" s="135">
        <f t="shared" si="0"/>
        <v>36800</v>
      </c>
      <c r="AA60" s="135">
        <f t="shared" si="0"/>
        <v>36800</v>
      </c>
      <c r="AB60" s="135">
        <f t="shared" si="0"/>
        <v>36800</v>
      </c>
      <c r="AC60" s="135">
        <f t="shared" si="0"/>
        <v>36800</v>
      </c>
      <c r="AD60" s="135">
        <f t="shared" si="0"/>
        <v>36800</v>
      </c>
      <c r="AE60" s="135">
        <f t="shared" si="0"/>
        <v>36800</v>
      </c>
      <c r="AF60" s="135">
        <f t="shared" si="0"/>
        <v>36800</v>
      </c>
      <c r="AG60" s="135">
        <f t="shared" si="0"/>
        <v>36800</v>
      </c>
      <c r="AH60" s="135">
        <f t="shared" si="0"/>
        <v>36800</v>
      </c>
      <c r="AI60" s="135">
        <f t="shared" si="0"/>
        <v>34600</v>
      </c>
      <c r="AJ60" s="133">
        <f>SUBTOTAL(109,Table35[VYAJ])</f>
        <v>157130</v>
      </c>
      <c r="AK60" s="133">
        <f>SUM(Table35[TOTAL(V^2)])</f>
        <v>1038130</v>
      </c>
      <c r="AL60" s="133">
        <f>SUM(Table35[KARJ])</f>
        <v>785200</v>
      </c>
      <c r="AM60" s="133">
        <f>SUBTOTAL(109,Table35[PARAT PHED])</f>
        <v>349000</v>
      </c>
      <c r="AN60" s="133">
        <f>SUBTOTAL(109,Table35[TOTAL])</f>
        <v>436200</v>
      </c>
      <c r="AO60" s="136">
        <f>SUBTOTAL(109,Table35[DAND])</f>
        <v>3330</v>
      </c>
      <c r="AP60" s="133"/>
    </row>
    <row r="61" spans="9:42" ht="15" thickBot="1"/>
    <row r="62" spans="9:42" ht="18.600000000000001" thickBot="1">
      <c r="I62" s="146" t="s">
        <v>89</v>
      </c>
      <c r="J62" s="147"/>
      <c r="K62" s="74">
        <f>Table35[[#Totals],[TOTAL(V^2)]]-Table35[[#Totals],[TOTAL]]+Table35[[#Totals],[DAND]]</f>
        <v>605260</v>
      </c>
    </row>
    <row r="64" spans="9:42">
      <c r="AP64">
        <v>34</v>
      </c>
    </row>
  </sheetData>
  <mergeCells count="4">
    <mergeCell ref="I8:P11"/>
    <mergeCell ref="I62:J62"/>
    <mergeCell ref="R9:S9"/>
    <mergeCell ref="T9:W9"/>
  </mergeCells>
  <conditionalFormatting sqref="AP16:AP53">
    <cfRule type="expression" dxfId="196" priority="19">
      <formula>IF(ISBLANK($T$9),0,$AP16&gt;0)</formula>
    </cfRule>
  </conditionalFormatting>
  <conditionalFormatting sqref="I16:AO17">
    <cfRule type="expression" dxfId="195" priority="2">
      <formula>IF(ISBLANK($T$9),0,$AP16&gt;0)</formula>
    </cfRule>
  </conditionalFormatting>
  <conditionalFormatting sqref="I18:AO59">
    <cfRule type="expression" dxfId="194" priority="1">
      <formula>IF(ISBLANK($T$9),0,$AP18&gt;0)</formula>
    </cfRule>
  </conditionalFormatting>
  <pageMargins left="0" right="0.7" top="0.75" bottom="0.75" header="0.3" footer="0.3"/>
  <pageSetup paperSize="8" scale="75" orientation="landscape" horizontalDpi="4294967293" verticalDpi="1200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D5:O70"/>
  <sheetViews>
    <sheetView topLeftCell="A3" zoomScale="88" workbookViewId="0">
      <selection activeCell="E56" sqref="E56"/>
    </sheetView>
  </sheetViews>
  <sheetFormatPr defaultRowHeight="14.4"/>
  <cols>
    <col min="3" max="3" width="8.21875" customWidth="1"/>
    <col min="4" max="4" width="8.88671875" hidden="1" customWidth="1"/>
    <col min="5" max="5" width="17.77734375" customWidth="1"/>
    <col min="6" max="6" width="23.44140625" customWidth="1"/>
    <col min="7" max="7" width="15.33203125" customWidth="1"/>
    <col min="8" max="8" width="9.33203125" customWidth="1"/>
    <col min="9" max="9" width="15.109375" customWidth="1"/>
    <col min="10" max="10" width="22.5546875" customWidth="1"/>
    <col min="11" max="11" width="18.44140625" customWidth="1"/>
  </cols>
  <sheetData>
    <row r="5" spans="6:15" ht="23.4">
      <c r="H5" s="124" t="s">
        <v>253</v>
      </c>
      <c r="I5" s="124" t="s">
        <v>250</v>
      </c>
      <c r="J5" s="124" t="s">
        <v>251</v>
      </c>
      <c r="K5" s="124" t="s">
        <v>252</v>
      </c>
    </row>
    <row r="6" spans="6:15" ht="21">
      <c r="F6" s="121" t="s">
        <v>109</v>
      </c>
      <c r="G6" t="s">
        <v>113</v>
      </c>
      <c r="H6" s="123">
        <v>1</v>
      </c>
      <c r="I6" s="123" t="s">
        <v>178</v>
      </c>
      <c r="J6" s="123" t="s">
        <v>112</v>
      </c>
      <c r="K6" s="123"/>
      <c r="N6" t="s">
        <v>112</v>
      </c>
      <c r="O6" t="s">
        <v>112</v>
      </c>
    </row>
    <row r="7" spans="6:15" ht="21">
      <c r="F7" s="121" t="s">
        <v>110</v>
      </c>
      <c r="H7" s="123">
        <v>2</v>
      </c>
      <c r="I7" s="123" t="s">
        <v>179</v>
      </c>
      <c r="J7" s="123" t="s">
        <v>112</v>
      </c>
      <c r="K7" s="123"/>
      <c r="N7" t="s">
        <v>112</v>
      </c>
    </row>
    <row r="8" spans="6:15" ht="21">
      <c r="F8" s="122" t="s">
        <v>111</v>
      </c>
      <c r="H8" s="123">
        <v>3</v>
      </c>
      <c r="I8" s="123" t="s">
        <v>180</v>
      </c>
      <c r="J8" s="123" t="s">
        <v>112</v>
      </c>
      <c r="K8" s="123"/>
      <c r="N8" t="s">
        <v>112</v>
      </c>
    </row>
    <row r="9" spans="6:15" ht="21">
      <c r="H9" s="123">
        <v>4</v>
      </c>
      <c r="I9" s="123" t="s">
        <v>181</v>
      </c>
      <c r="J9" s="123" t="s">
        <v>112</v>
      </c>
      <c r="K9" s="123"/>
      <c r="N9" t="s">
        <v>112</v>
      </c>
    </row>
    <row r="10" spans="6:15" ht="21">
      <c r="H10" s="123">
        <v>5</v>
      </c>
      <c r="I10" s="123" t="s">
        <v>182</v>
      </c>
      <c r="J10" s="123" t="s">
        <v>112</v>
      </c>
      <c r="K10" s="123"/>
      <c r="N10" t="s">
        <v>112</v>
      </c>
    </row>
    <row r="11" spans="6:15" ht="21">
      <c r="H11" s="123">
        <v>6</v>
      </c>
      <c r="I11" s="123" t="s">
        <v>183</v>
      </c>
      <c r="J11" s="123" t="s">
        <v>112</v>
      </c>
      <c r="K11" s="123"/>
      <c r="N11" t="s">
        <v>112</v>
      </c>
    </row>
    <row r="12" spans="6:15" ht="21">
      <c r="H12" s="123">
        <v>7</v>
      </c>
      <c r="I12" s="123" t="s">
        <v>184</v>
      </c>
      <c r="J12" s="123" t="s">
        <v>112</v>
      </c>
      <c r="K12" s="123"/>
      <c r="N12" t="s">
        <v>112</v>
      </c>
    </row>
    <row r="13" spans="6:15" ht="21">
      <c r="H13" s="123">
        <v>8</v>
      </c>
      <c r="I13" s="123" t="s">
        <v>185</v>
      </c>
      <c r="J13" s="123" t="s">
        <v>112</v>
      </c>
      <c r="K13" s="123"/>
      <c r="N13" t="s">
        <v>112</v>
      </c>
    </row>
    <row r="14" spans="6:15" ht="21">
      <c r="H14" s="123">
        <v>9</v>
      </c>
      <c r="I14" s="123" t="s">
        <v>186</v>
      </c>
      <c r="J14" s="123" t="s">
        <v>112</v>
      </c>
      <c r="K14" s="123"/>
      <c r="N14" t="s">
        <v>112</v>
      </c>
    </row>
    <row r="15" spans="6:15" ht="21">
      <c r="H15" s="123">
        <v>10</v>
      </c>
      <c r="I15" s="123" t="s">
        <v>187</v>
      </c>
      <c r="J15" s="123" t="s">
        <v>112</v>
      </c>
      <c r="K15" s="123"/>
      <c r="N15" t="s">
        <v>112</v>
      </c>
    </row>
    <row r="16" spans="6:15" ht="21">
      <c r="H16" s="123">
        <v>11</v>
      </c>
      <c r="I16" s="123" t="s">
        <v>188</v>
      </c>
      <c r="J16" s="123" t="s">
        <v>112</v>
      </c>
      <c r="K16" s="123"/>
      <c r="N16" t="s">
        <v>112</v>
      </c>
    </row>
    <row r="17" spans="8:14" ht="21">
      <c r="H17" s="123">
        <v>12</v>
      </c>
      <c r="I17" s="123" t="s">
        <v>189</v>
      </c>
      <c r="J17" s="123" t="s">
        <v>112</v>
      </c>
      <c r="K17" s="123"/>
      <c r="N17" t="s">
        <v>112</v>
      </c>
    </row>
    <row r="18" spans="8:14" ht="21">
      <c r="H18" s="123">
        <v>13</v>
      </c>
      <c r="I18" s="123" t="s">
        <v>190</v>
      </c>
      <c r="J18" s="123" t="s">
        <v>112</v>
      </c>
      <c r="K18" s="123"/>
      <c r="N18" t="s">
        <v>112</v>
      </c>
    </row>
    <row r="19" spans="8:14" ht="21">
      <c r="H19" s="123">
        <v>14</v>
      </c>
      <c r="I19" s="123" t="s">
        <v>191</v>
      </c>
      <c r="J19" s="123" t="s">
        <v>112</v>
      </c>
      <c r="K19" s="123"/>
      <c r="N19" t="s">
        <v>112</v>
      </c>
    </row>
    <row r="20" spans="8:14" ht="21">
      <c r="H20" s="123">
        <v>15</v>
      </c>
      <c r="I20" s="123" t="s">
        <v>192</v>
      </c>
      <c r="J20" s="123" t="s">
        <v>112</v>
      </c>
      <c r="K20" s="123"/>
      <c r="N20" t="s">
        <v>112</v>
      </c>
    </row>
    <row r="21" spans="8:14" ht="21">
      <c r="H21" s="123">
        <v>16</v>
      </c>
      <c r="I21" s="123" t="s">
        <v>193</v>
      </c>
      <c r="J21" s="123" t="s">
        <v>112</v>
      </c>
      <c r="K21" s="123"/>
      <c r="N21" t="s">
        <v>112</v>
      </c>
    </row>
    <row r="22" spans="8:14" ht="21">
      <c r="H22" s="123">
        <v>17</v>
      </c>
      <c r="I22" s="123" t="s">
        <v>194</v>
      </c>
      <c r="J22" s="123" t="s">
        <v>112</v>
      </c>
      <c r="K22" s="123"/>
      <c r="N22" t="s">
        <v>112</v>
      </c>
    </row>
    <row r="23" spans="8:14" ht="21">
      <c r="H23" s="123">
        <v>18</v>
      </c>
      <c r="I23" s="123" t="s">
        <v>195</v>
      </c>
      <c r="J23" s="123" t="s">
        <v>112</v>
      </c>
      <c r="K23" s="123"/>
      <c r="N23" t="s">
        <v>112</v>
      </c>
    </row>
    <row r="24" spans="8:14" ht="21">
      <c r="H24" s="123">
        <v>19</v>
      </c>
      <c r="I24" s="123" t="s">
        <v>196</v>
      </c>
      <c r="J24" s="123" t="s">
        <v>112</v>
      </c>
      <c r="K24" s="123"/>
      <c r="N24" t="s">
        <v>112</v>
      </c>
    </row>
    <row r="25" spans="8:14" ht="21">
      <c r="H25" s="123">
        <v>20</v>
      </c>
      <c r="I25" s="123" t="s">
        <v>197</v>
      </c>
      <c r="J25" s="123" t="s">
        <v>233</v>
      </c>
      <c r="K25" s="123"/>
      <c r="N25" t="s">
        <v>233</v>
      </c>
    </row>
    <row r="26" spans="8:14" ht="21">
      <c r="H26" s="123">
        <v>21</v>
      </c>
      <c r="I26" s="123" t="s">
        <v>198</v>
      </c>
      <c r="J26" s="123" t="s">
        <v>234</v>
      </c>
      <c r="K26" s="123"/>
      <c r="N26" t="s">
        <v>234</v>
      </c>
    </row>
    <row r="27" spans="8:14" ht="21">
      <c r="H27" s="123">
        <v>22</v>
      </c>
      <c r="I27" s="123" t="s">
        <v>179</v>
      </c>
      <c r="J27" s="123" t="s">
        <v>235</v>
      </c>
      <c r="K27" s="123"/>
      <c r="N27" t="s">
        <v>235</v>
      </c>
    </row>
    <row r="28" spans="8:14" ht="21">
      <c r="H28" s="123">
        <v>23</v>
      </c>
      <c r="I28" s="123" t="s">
        <v>199</v>
      </c>
      <c r="J28" s="123" t="s">
        <v>235</v>
      </c>
      <c r="K28" s="123"/>
      <c r="N28" t="s">
        <v>235</v>
      </c>
    </row>
    <row r="29" spans="8:14" ht="21">
      <c r="H29" s="123">
        <v>24</v>
      </c>
      <c r="I29" s="123" t="s">
        <v>200</v>
      </c>
      <c r="J29" s="123" t="s">
        <v>235</v>
      </c>
      <c r="K29" s="123"/>
      <c r="N29" t="s">
        <v>235</v>
      </c>
    </row>
    <row r="30" spans="8:14" ht="21">
      <c r="H30" s="123">
        <v>25</v>
      </c>
      <c r="I30" s="123" t="s">
        <v>201</v>
      </c>
      <c r="J30" s="123" t="s">
        <v>235</v>
      </c>
      <c r="K30" s="123"/>
      <c r="N30" t="s">
        <v>235</v>
      </c>
    </row>
    <row r="31" spans="8:14" ht="21">
      <c r="H31" s="123">
        <v>26</v>
      </c>
      <c r="I31" s="123" t="s">
        <v>202</v>
      </c>
      <c r="J31" s="123" t="s">
        <v>235</v>
      </c>
      <c r="K31" s="123"/>
      <c r="N31" t="s">
        <v>235</v>
      </c>
    </row>
    <row r="32" spans="8:14" ht="21">
      <c r="H32" s="123">
        <v>27</v>
      </c>
      <c r="I32" s="123" t="s">
        <v>139</v>
      </c>
      <c r="J32" s="123" t="s">
        <v>139</v>
      </c>
      <c r="K32" s="123"/>
      <c r="N32" t="s">
        <v>139</v>
      </c>
    </row>
    <row r="33" spans="8:14" ht="21">
      <c r="H33" s="123">
        <v>28</v>
      </c>
      <c r="I33" s="123" t="s">
        <v>203</v>
      </c>
      <c r="J33" s="123" t="s">
        <v>235</v>
      </c>
      <c r="K33" s="123"/>
      <c r="N33" t="s">
        <v>235</v>
      </c>
    </row>
    <row r="34" spans="8:14" ht="21">
      <c r="H34" s="123">
        <v>29</v>
      </c>
      <c r="I34" s="123" t="s">
        <v>204</v>
      </c>
      <c r="J34" s="123" t="s">
        <v>235</v>
      </c>
      <c r="K34" s="123"/>
      <c r="N34" t="s">
        <v>235</v>
      </c>
    </row>
    <row r="35" spans="8:14" ht="21">
      <c r="H35" s="123">
        <v>30</v>
      </c>
      <c r="I35" s="123" t="s">
        <v>205</v>
      </c>
      <c r="J35" s="123" t="s">
        <v>236</v>
      </c>
      <c r="K35" s="123"/>
      <c r="N35" t="s">
        <v>236</v>
      </c>
    </row>
    <row r="36" spans="8:14" ht="21">
      <c r="H36" s="123">
        <v>31</v>
      </c>
      <c r="I36" s="123" t="s">
        <v>206</v>
      </c>
      <c r="J36" s="123" t="s">
        <v>236</v>
      </c>
      <c r="K36" s="123"/>
      <c r="N36" t="s">
        <v>236</v>
      </c>
    </row>
    <row r="37" spans="8:14" ht="21">
      <c r="H37" s="123">
        <v>32</v>
      </c>
      <c r="I37" s="123" t="s">
        <v>207</v>
      </c>
      <c r="J37" s="123" t="s">
        <v>236</v>
      </c>
      <c r="K37" s="123"/>
      <c r="N37" t="s">
        <v>236</v>
      </c>
    </row>
    <row r="38" spans="8:14" ht="21">
      <c r="H38" s="123">
        <v>33</v>
      </c>
      <c r="I38" s="123" t="s">
        <v>208</v>
      </c>
      <c r="J38" s="123" t="s">
        <v>236</v>
      </c>
      <c r="K38" s="123"/>
      <c r="N38" t="s">
        <v>236</v>
      </c>
    </row>
    <row r="39" spans="8:14" ht="21">
      <c r="H39" s="123">
        <v>34</v>
      </c>
      <c r="I39" s="123" t="s">
        <v>209</v>
      </c>
      <c r="J39" s="123" t="s">
        <v>236</v>
      </c>
      <c r="K39" s="123"/>
      <c r="N39" t="s">
        <v>236</v>
      </c>
    </row>
    <row r="40" spans="8:14" ht="21">
      <c r="H40" s="123">
        <v>35</v>
      </c>
      <c r="I40" s="123" t="s">
        <v>202</v>
      </c>
      <c r="J40" s="123" t="s">
        <v>236</v>
      </c>
      <c r="K40" s="123"/>
      <c r="N40" t="s">
        <v>236</v>
      </c>
    </row>
    <row r="41" spans="8:14" ht="21">
      <c r="H41" s="123">
        <v>36</v>
      </c>
      <c r="I41" s="123" t="s">
        <v>210</v>
      </c>
      <c r="J41" s="123" t="s">
        <v>237</v>
      </c>
      <c r="K41" s="123"/>
      <c r="N41" t="s">
        <v>237</v>
      </c>
    </row>
    <row r="42" spans="8:14" ht="21">
      <c r="H42" s="123">
        <v>37</v>
      </c>
      <c r="I42" s="123" t="s">
        <v>211</v>
      </c>
      <c r="J42" s="123" t="s">
        <v>235</v>
      </c>
      <c r="K42" s="123"/>
      <c r="N42" t="s">
        <v>235</v>
      </c>
    </row>
    <row r="43" spans="8:14" ht="21">
      <c r="H43" s="123">
        <v>38</v>
      </c>
      <c r="I43" s="123" t="s">
        <v>212</v>
      </c>
      <c r="J43" s="123" t="s">
        <v>235</v>
      </c>
      <c r="K43" s="123"/>
      <c r="N43" t="s">
        <v>235</v>
      </c>
    </row>
    <row r="44" spans="8:14" ht="21">
      <c r="H44" s="123">
        <v>39</v>
      </c>
      <c r="I44" s="123" t="s">
        <v>210</v>
      </c>
      <c r="J44" s="123" t="s">
        <v>236</v>
      </c>
      <c r="K44" s="123"/>
      <c r="N44" t="s">
        <v>236</v>
      </c>
    </row>
    <row r="45" spans="8:14" ht="21">
      <c r="H45" s="123">
        <v>40</v>
      </c>
      <c r="I45" s="123" t="s">
        <v>213</v>
      </c>
      <c r="J45" s="123" t="s">
        <v>236</v>
      </c>
      <c r="K45" s="123"/>
      <c r="N45" t="s">
        <v>236</v>
      </c>
    </row>
    <row r="46" spans="8:14" ht="21">
      <c r="H46" s="123">
        <v>41</v>
      </c>
      <c r="I46" s="123" t="s">
        <v>190</v>
      </c>
      <c r="J46" s="123" t="s">
        <v>235</v>
      </c>
      <c r="K46" s="123"/>
      <c r="N46" t="s">
        <v>235</v>
      </c>
    </row>
    <row r="47" spans="8:14" ht="21">
      <c r="H47" s="123">
        <v>42</v>
      </c>
      <c r="I47" s="123" t="s">
        <v>196</v>
      </c>
      <c r="J47" s="123" t="s">
        <v>235</v>
      </c>
      <c r="K47" s="123"/>
      <c r="N47" t="s">
        <v>235</v>
      </c>
    </row>
    <row r="48" spans="8:14" ht="21">
      <c r="H48" s="123">
        <v>43</v>
      </c>
      <c r="I48" s="123" t="s">
        <v>214</v>
      </c>
      <c r="J48" s="123" t="s">
        <v>235</v>
      </c>
      <c r="K48" s="123"/>
      <c r="N48" t="s">
        <v>235</v>
      </c>
    </row>
    <row r="49" spans="5:14" ht="21">
      <c r="H49" s="123">
        <v>44</v>
      </c>
      <c r="I49" s="123" t="s">
        <v>215</v>
      </c>
      <c r="J49" s="123" t="s">
        <v>238</v>
      </c>
      <c r="K49" s="123"/>
      <c r="N49" t="s">
        <v>238</v>
      </c>
    </row>
    <row r="50" spans="5:14" ht="21">
      <c r="H50" s="123">
        <v>45</v>
      </c>
      <c r="I50" s="123" t="s">
        <v>216</v>
      </c>
      <c r="J50" s="123" t="s">
        <v>235</v>
      </c>
      <c r="K50" s="123"/>
      <c r="N50" t="s">
        <v>235</v>
      </c>
    </row>
    <row r="51" spans="5:14" ht="21">
      <c r="H51" s="123">
        <v>46</v>
      </c>
      <c r="I51" s="123" t="s">
        <v>217</v>
      </c>
      <c r="J51" s="123" t="s">
        <v>239</v>
      </c>
      <c r="K51" s="123"/>
      <c r="N51" t="s">
        <v>239</v>
      </c>
    </row>
    <row r="52" spans="5:14" ht="21">
      <c r="H52" s="123">
        <v>47</v>
      </c>
      <c r="I52" s="123" t="s">
        <v>218</v>
      </c>
      <c r="J52" s="123" t="s">
        <v>112</v>
      </c>
      <c r="K52" s="123"/>
      <c r="N52" t="s">
        <v>112</v>
      </c>
    </row>
    <row r="53" spans="5:14" ht="21">
      <c r="E53">
        <v>7200</v>
      </c>
      <c r="F53">
        <v>3600</v>
      </c>
      <c r="H53" s="123">
        <v>48</v>
      </c>
      <c r="I53" s="123" t="s">
        <v>219</v>
      </c>
      <c r="J53" s="123" t="s">
        <v>240</v>
      </c>
      <c r="K53" s="123"/>
      <c r="N53" t="s">
        <v>240</v>
      </c>
    </row>
    <row r="54" spans="5:14" ht="21">
      <c r="E54">
        <v>16200</v>
      </c>
      <c r="F54">
        <v>5400</v>
      </c>
      <c r="H54" s="123">
        <v>49</v>
      </c>
      <c r="I54" s="123" t="s">
        <v>220</v>
      </c>
      <c r="J54" s="123" t="s">
        <v>236</v>
      </c>
      <c r="K54" s="123"/>
      <c r="N54" t="s">
        <v>236</v>
      </c>
    </row>
    <row r="55" spans="5:14" ht="21">
      <c r="E55">
        <v>105300</v>
      </c>
      <c r="F55">
        <v>35100</v>
      </c>
      <c r="H55" s="123">
        <v>50</v>
      </c>
      <c r="I55" s="123" t="s">
        <v>221</v>
      </c>
      <c r="J55" s="123" t="s">
        <v>241</v>
      </c>
      <c r="K55" s="123"/>
      <c r="N55" t="s">
        <v>241</v>
      </c>
    </row>
    <row r="56" spans="5:14" ht="21">
      <c r="E56">
        <f>SUM(E53:E55)</f>
        <v>128700</v>
      </c>
      <c r="F56">
        <f>SUM(F53:F55)</f>
        <v>44100</v>
      </c>
      <c r="H56" s="123">
        <v>51</v>
      </c>
      <c r="I56" s="123" t="s">
        <v>222</v>
      </c>
      <c r="J56" s="123" t="s">
        <v>242</v>
      </c>
      <c r="K56" s="123"/>
      <c r="N56" t="s">
        <v>242</v>
      </c>
    </row>
    <row r="57" spans="5:14" ht="21">
      <c r="H57" s="123">
        <v>52</v>
      </c>
      <c r="I57" s="123" t="s">
        <v>223</v>
      </c>
      <c r="J57" s="123" t="s">
        <v>236</v>
      </c>
      <c r="K57" s="123"/>
      <c r="N57" t="s">
        <v>236</v>
      </c>
    </row>
    <row r="58" spans="5:14" ht="21">
      <c r="H58" s="123">
        <v>53</v>
      </c>
      <c r="I58" s="123" t="s">
        <v>224</v>
      </c>
      <c r="J58" s="123" t="s">
        <v>237</v>
      </c>
      <c r="K58" s="123"/>
      <c r="N58" t="s">
        <v>237</v>
      </c>
    </row>
    <row r="59" spans="5:14" ht="21">
      <c r="H59" s="123">
        <v>54</v>
      </c>
      <c r="I59" s="123" t="s">
        <v>225</v>
      </c>
      <c r="J59" s="123" t="s">
        <v>112</v>
      </c>
      <c r="K59" s="123"/>
      <c r="N59" t="s">
        <v>112</v>
      </c>
    </row>
    <row r="60" spans="5:14" ht="21">
      <c r="H60" s="123">
        <v>55</v>
      </c>
      <c r="I60" s="123" t="s">
        <v>226</v>
      </c>
      <c r="J60" s="123" t="s">
        <v>235</v>
      </c>
      <c r="K60" s="123"/>
      <c r="N60" t="s">
        <v>235</v>
      </c>
    </row>
    <row r="61" spans="5:14" ht="21">
      <c r="H61" s="123">
        <v>56</v>
      </c>
      <c r="I61" s="123" t="s">
        <v>221</v>
      </c>
      <c r="J61" s="123" t="s">
        <v>243</v>
      </c>
      <c r="K61" s="123"/>
      <c r="N61" t="s">
        <v>243</v>
      </c>
    </row>
    <row r="62" spans="5:14" ht="21">
      <c r="H62" s="123">
        <v>57</v>
      </c>
      <c r="I62" s="123" t="s">
        <v>227</v>
      </c>
      <c r="J62" s="123" t="s">
        <v>244</v>
      </c>
      <c r="K62" s="123"/>
      <c r="N62" t="s">
        <v>244</v>
      </c>
    </row>
    <row r="63" spans="5:14" ht="21">
      <c r="H63" s="123">
        <v>58</v>
      </c>
      <c r="I63" s="123" t="s">
        <v>228</v>
      </c>
      <c r="J63" s="123" t="s">
        <v>245</v>
      </c>
      <c r="K63" s="123"/>
      <c r="N63" t="s">
        <v>245</v>
      </c>
    </row>
    <row r="64" spans="5:14" ht="21">
      <c r="H64" s="123">
        <v>59</v>
      </c>
      <c r="I64" s="123" t="s">
        <v>229</v>
      </c>
      <c r="J64" s="123" t="s">
        <v>246</v>
      </c>
      <c r="K64" s="123"/>
      <c r="N64" t="s">
        <v>246</v>
      </c>
    </row>
    <row r="65" spans="8:14" ht="21">
      <c r="H65" s="123">
        <v>60</v>
      </c>
      <c r="I65" s="123" t="s">
        <v>230</v>
      </c>
      <c r="J65" s="123" t="s">
        <v>235</v>
      </c>
      <c r="K65" s="123"/>
      <c r="N65" t="s">
        <v>235</v>
      </c>
    </row>
    <row r="66" spans="8:14" ht="21">
      <c r="H66" s="123">
        <v>61</v>
      </c>
      <c r="I66" s="123" t="s">
        <v>210</v>
      </c>
      <c r="J66" s="123" t="s">
        <v>247</v>
      </c>
      <c r="K66" s="123"/>
      <c r="N66" t="s">
        <v>247</v>
      </c>
    </row>
    <row r="67" spans="8:14" ht="21">
      <c r="H67" s="123">
        <v>62</v>
      </c>
      <c r="I67" s="123" t="s">
        <v>187</v>
      </c>
      <c r="J67" s="123" t="s">
        <v>235</v>
      </c>
      <c r="K67" s="123"/>
      <c r="N67" t="s">
        <v>235</v>
      </c>
    </row>
    <row r="68" spans="8:14" ht="21">
      <c r="H68" s="123">
        <v>63</v>
      </c>
      <c r="I68" s="123" t="s">
        <v>231</v>
      </c>
      <c r="J68" s="123" t="s">
        <v>236</v>
      </c>
      <c r="K68" s="123"/>
      <c r="N68" t="s">
        <v>236</v>
      </c>
    </row>
    <row r="69" spans="8:14" ht="21">
      <c r="H69" s="123">
        <v>64</v>
      </c>
      <c r="I69" s="123" t="s">
        <v>232</v>
      </c>
      <c r="J69" s="123" t="s">
        <v>236</v>
      </c>
      <c r="K69" s="123"/>
      <c r="N69" t="s">
        <v>236</v>
      </c>
    </row>
    <row r="70" spans="8:14" ht="21">
      <c r="H70" s="123">
        <v>65</v>
      </c>
      <c r="I70" s="123" t="s">
        <v>249</v>
      </c>
      <c r="J70" s="123" t="s">
        <v>248</v>
      </c>
      <c r="K70" s="123"/>
      <c r="N70" t="s">
        <v>248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T45"/>
  <sheetViews>
    <sheetView showGridLines="0" zoomScale="78" zoomScaleNormal="100" workbookViewId="0">
      <selection activeCell="E11" sqref="E11:I11"/>
    </sheetView>
  </sheetViews>
  <sheetFormatPr defaultRowHeight="14.4"/>
  <cols>
    <col min="5" max="5" width="14.33203125" customWidth="1"/>
    <col min="17" max="17" width="23" hidden="1" customWidth="1"/>
    <col min="18" max="18" width="37" hidden="1" customWidth="1"/>
    <col min="19" max="19" width="29.109375" hidden="1" customWidth="1"/>
    <col min="20" max="20" width="27.6640625" hidden="1" customWidth="1"/>
  </cols>
  <sheetData>
    <row r="1" spans="2:20" ht="15" thickBot="1"/>
    <row r="2" spans="2:20" ht="18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3"/>
      <c r="Q2">
        <f>IF(ISNUMBER(SEARCH($E$11,R2)),MAX($Q$1:Q1)+1,0)</f>
        <v>0</v>
      </c>
      <c r="R2" s="108" t="s">
        <v>31</v>
      </c>
      <c r="S2" t="str">
        <f>IFERROR(VLOOKUP(ROWS($R$2:R2),Q2:R45,2,0),"")</f>
        <v xml:space="preserve"> Maya Babaso Chorge</v>
      </c>
      <c r="T2" t="str">
        <f ca="1">OFFSET($S$2,,,COUNTIF($S$2:S45,"?*"))</f>
        <v xml:space="preserve"> Maya Babaso Chorge</v>
      </c>
    </row>
    <row r="3" spans="2:20" ht="18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6"/>
      <c r="Q3">
        <f>IF(ISNUMBER(SEARCH($E$11,R3)),MAX($Q$1:Q2)+1,0)</f>
        <v>0</v>
      </c>
      <c r="R3" s="109" t="s">
        <v>99</v>
      </c>
      <c r="S3" t="str">
        <f>IFERROR(VLOOKUP(ROWS($R$2:R3),Q3:R46,2,0),"")</f>
        <v/>
      </c>
    </row>
    <row r="4" spans="2:20" ht="18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6"/>
      <c r="O4" s="80"/>
      <c r="Q4">
        <f>IF(ISNUMBER(SEARCH($E$11,R4)),MAX($Q$1:Q3)+1,0)</f>
        <v>0</v>
      </c>
      <c r="R4" s="108" t="s">
        <v>32</v>
      </c>
      <c r="S4" t="str">
        <f>IFERROR(VLOOKUP(ROWS($R$2:R4),Q4:R47,2,0),"")</f>
        <v/>
      </c>
    </row>
    <row r="5" spans="2:20" ht="18">
      <c r="B5" s="114"/>
      <c r="C5" s="162" t="s">
        <v>53</v>
      </c>
      <c r="D5" s="162"/>
      <c r="E5" s="162"/>
      <c r="F5" s="162"/>
      <c r="G5" s="162"/>
      <c r="H5" s="162"/>
      <c r="I5" s="162"/>
      <c r="J5" s="162"/>
      <c r="K5" s="162"/>
      <c r="L5" s="116"/>
      <c r="Q5">
        <f>IF(ISNUMBER(SEARCH($E$11,R5)),MAX($Q$1:Q4)+1,0)</f>
        <v>0</v>
      </c>
      <c r="R5" s="109" t="s">
        <v>63</v>
      </c>
      <c r="S5" t="str">
        <f>IFERROR(VLOOKUP(ROWS($R$2:R5),Q5:R48,2,0),"")</f>
        <v/>
      </c>
    </row>
    <row r="6" spans="2:20" ht="18">
      <c r="B6" s="114"/>
      <c r="C6" s="162"/>
      <c r="D6" s="162"/>
      <c r="E6" s="162"/>
      <c r="F6" s="162"/>
      <c r="G6" s="162"/>
      <c r="H6" s="162"/>
      <c r="I6" s="162"/>
      <c r="J6" s="162"/>
      <c r="K6" s="162"/>
      <c r="L6" s="116"/>
      <c r="Q6">
        <f>IF(ISNUMBER(SEARCH($E$11,R6)),MAX($Q$1:Q5)+1,0)</f>
        <v>0</v>
      </c>
      <c r="R6" s="108" t="s">
        <v>88</v>
      </c>
      <c r="S6" t="str">
        <f>IFERROR(VLOOKUP(ROWS($R$2:R6),Q6:R49,2,0),"")</f>
        <v/>
      </c>
    </row>
    <row r="7" spans="2:20" ht="18">
      <c r="B7" s="114"/>
      <c r="C7" s="162"/>
      <c r="D7" s="162"/>
      <c r="E7" s="162"/>
      <c r="F7" s="162"/>
      <c r="G7" s="162"/>
      <c r="H7" s="162"/>
      <c r="I7" s="162"/>
      <c r="J7" s="162"/>
      <c r="K7" s="162"/>
      <c r="L7" s="116"/>
      <c r="Q7">
        <f>IF(ISNUMBER(SEARCH($E$11,R7)),MAX($Q$1:Q6)+1,0)</f>
        <v>0</v>
      </c>
      <c r="R7" s="109" t="s">
        <v>37</v>
      </c>
      <c r="S7" t="str">
        <f>IFERROR(VLOOKUP(ROWS($R$2:R7),Q7:R50,2,0),"")</f>
        <v/>
      </c>
    </row>
    <row r="8" spans="2:20" ht="14.4" customHeight="1">
      <c r="B8" s="114"/>
      <c r="C8" s="163" t="s">
        <v>92</v>
      </c>
      <c r="D8" s="163"/>
      <c r="E8" s="163"/>
      <c r="F8" s="163"/>
      <c r="G8" s="163"/>
      <c r="H8" s="163"/>
      <c r="I8" s="163"/>
      <c r="J8" s="163"/>
      <c r="K8" s="163"/>
      <c r="L8" s="116"/>
      <c r="Q8">
        <f>IF(ISNUMBER(SEARCH($E$11,R8)),MAX($Q$1:Q7)+1,0)</f>
        <v>0</v>
      </c>
      <c r="R8" s="108" t="s">
        <v>38</v>
      </c>
      <c r="S8" t="str">
        <f>IFERROR(VLOOKUP(ROWS($R$2:R8),Q8:R51,2,0),"")</f>
        <v/>
      </c>
    </row>
    <row r="9" spans="2:20" ht="15" customHeight="1">
      <c r="B9" s="114"/>
      <c r="C9" s="163"/>
      <c r="D9" s="163"/>
      <c r="E9" s="163"/>
      <c r="F9" s="163"/>
      <c r="G9" s="163"/>
      <c r="H9" s="163"/>
      <c r="I9" s="163"/>
      <c r="J9" s="163"/>
      <c r="K9" s="163"/>
      <c r="L9" s="116"/>
      <c r="Q9">
        <f>IF(ISNUMBER(SEARCH($E$11,R9)),MAX($Q$1:Q8)+1,0)</f>
        <v>0</v>
      </c>
      <c r="R9" s="109" t="s">
        <v>61</v>
      </c>
      <c r="S9" t="str">
        <f>IFERROR(VLOOKUP(ROWS($R$2:R9),Q9:R52,2,0),"")</f>
        <v/>
      </c>
    </row>
    <row r="10" spans="2:20" ht="18.600000000000001" thickBot="1"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6"/>
      <c r="Q10">
        <f>IF(ISNUMBER(SEARCH($E$11,R10)),MAX($Q$1:Q9)+1,0)</f>
        <v>0</v>
      </c>
      <c r="R10" s="108" t="s">
        <v>33</v>
      </c>
      <c r="S10" t="str">
        <f>IFERROR(VLOOKUP(ROWS($R$2:R10),Q10:R53,2,0),"")</f>
        <v/>
      </c>
    </row>
    <row r="11" spans="2:20" ht="28.8" thickBot="1">
      <c r="B11" s="114"/>
      <c r="C11" s="164" t="s">
        <v>93</v>
      </c>
      <c r="D11" s="164"/>
      <c r="E11" s="165" t="s">
        <v>44</v>
      </c>
      <c r="F11" s="166"/>
      <c r="G11" s="166"/>
      <c r="H11" s="166"/>
      <c r="I11" s="167"/>
      <c r="J11" s="115"/>
      <c r="K11" s="115"/>
      <c r="L11" s="116"/>
      <c r="Q11">
        <f>IF(ISNUMBER(SEARCH($E$11,R11)),MAX($Q$1:Q10)+1,0)</f>
        <v>0</v>
      </c>
      <c r="R11" s="109" t="s">
        <v>34</v>
      </c>
      <c r="S11" t="str">
        <f>IFERROR(VLOOKUP(ROWS($R$2:R11),Q11:R54,2,0),"")</f>
        <v/>
      </c>
    </row>
    <row r="12" spans="2:20" ht="18.600000000000001" thickBot="1">
      <c r="B12" s="114"/>
      <c r="C12" s="115"/>
      <c r="D12" s="115"/>
      <c r="E12" s="158"/>
      <c r="F12" s="158"/>
      <c r="G12" s="158"/>
      <c r="H12" s="115"/>
      <c r="I12" s="115"/>
      <c r="J12" s="115"/>
      <c r="K12" s="115"/>
      <c r="L12" s="116"/>
      <c r="Q12">
        <f>IF(ISNUMBER(SEARCH($E$11,R12)),MAX($Q$1:Q11)+1,0)</f>
        <v>0</v>
      </c>
      <c r="R12" s="108" t="s">
        <v>100</v>
      </c>
      <c r="S12" t="str">
        <f>IFERROR(VLOOKUP(ROWS($R$2:R12),Q12:R55,2,0),"")</f>
        <v/>
      </c>
    </row>
    <row r="13" spans="2:20" ht="25.8" thickBot="1">
      <c r="B13" s="151" t="s">
        <v>94</v>
      </c>
      <c r="C13" s="152"/>
      <c r="D13" s="152"/>
      <c r="E13" s="153"/>
      <c r="F13" s="154">
        <f>_xlfn.IFNA(VLOOKUP(E11,Sheet5!K16:AO59,2,0),0)</f>
        <v>600</v>
      </c>
      <c r="G13" s="155"/>
      <c r="H13" s="115"/>
      <c r="I13" s="152"/>
      <c r="J13" s="152"/>
      <c r="K13" s="115"/>
      <c r="L13" s="115"/>
      <c r="Q13">
        <f>IF(ISNUMBER(SEARCH($E$11,R13)),MAX($Q$1:Q12)+1,0)</f>
        <v>0</v>
      </c>
      <c r="R13" s="109" t="s">
        <v>36</v>
      </c>
      <c r="S13" t="str">
        <f>IFERROR(VLOOKUP(ROWS($R$2:R13),Q13:R56,2,0),"")</f>
        <v/>
      </c>
    </row>
    <row r="14" spans="2:20" ht="18.600000000000001" thickBot="1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6"/>
      <c r="Q14">
        <f>IF(ISNUMBER(SEARCH($E$11,R14)),MAX($Q$1:Q13)+1,0)</f>
        <v>0</v>
      </c>
      <c r="R14" s="108" t="s">
        <v>22</v>
      </c>
      <c r="S14" t="str">
        <f>IFERROR(VLOOKUP(ROWS($R$2:R14),Q14:R57,2,0),"")</f>
        <v/>
      </c>
    </row>
    <row r="15" spans="2:20" ht="25.8" thickBot="1">
      <c r="B15" s="151" t="s">
        <v>95</v>
      </c>
      <c r="C15" s="152"/>
      <c r="D15" s="152"/>
      <c r="E15" s="153"/>
      <c r="F15" s="154">
        <f>_xlfn.IFNA(VLOOKUP(E11,Sheet5!K16:AO59,27,0),0)</f>
        <v>22680</v>
      </c>
      <c r="G15" s="155"/>
      <c r="H15" s="115"/>
      <c r="I15" s="115"/>
      <c r="J15" s="115"/>
      <c r="K15" s="115"/>
      <c r="L15" s="116"/>
      <c r="Q15">
        <f>IF(ISNUMBER(SEARCH($E$11,R15)),MAX($Q$1:Q14)+1,0)</f>
        <v>0</v>
      </c>
      <c r="R15" s="109" t="s">
        <v>55</v>
      </c>
      <c r="S15" t="str">
        <f>IFERROR(VLOOKUP(ROWS($R$2:R15),Q15:R58,2,0),"")</f>
        <v/>
      </c>
    </row>
    <row r="16" spans="2:20" ht="18.600000000000001" thickBot="1">
      <c r="B16" s="156"/>
      <c r="C16" s="157"/>
      <c r="D16" s="157"/>
      <c r="E16" s="115"/>
      <c r="F16" s="115"/>
      <c r="G16" s="115"/>
      <c r="H16" s="115"/>
      <c r="I16" s="115"/>
      <c r="J16" s="115"/>
      <c r="K16" s="115"/>
      <c r="L16" s="116"/>
      <c r="Q16">
        <f>IF(ISNUMBER(SEARCH($E$11,R16)),MAX($Q$1:Q15)+1,0)</f>
        <v>0</v>
      </c>
      <c r="R16" s="108" t="s">
        <v>56</v>
      </c>
      <c r="S16" t="str">
        <f>IFERROR(VLOOKUP(ROWS($R$2:R16),Q16:R59,2,0),"")</f>
        <v/>
      </c>
    </row>
    <row r="17" spans="2:19" ht="25.8" thickBot="1">
      <c r="B17" s="151" t="s">
        <v>96</v>
      </c>
      <c r="C17" s="152"/>
      <c r="D17" s="152"/>
      <c r="E17" s="153"/>
      <c r="F17" s="154">
        <f>_xlfn.IFNA(VLOOKUP(E11,Sheet5!K16:AO59,26,0),0)</f>
        <v>8280</v>
      </c>
      <c r="G17" s="155"/>
      <c r="H17" s="115"/>
      <c r="I17" s="115"/>
      <c r="J17" s="115"/>
      <c r="K17" s="115"/>
      <c r="L17" s="116"/>
      <c r="Q17">
        <f>IF(ISNUMBER(SEARCH($E$11,R17)),MAX($Q$1:Q16)+1,0)</f>
        <v>0</v>
      </c>
      <c r="R17" s="109" t="s">
        <v>57</v>
      </c>
      <c r="S17" t="str">
        <f>IFERROR(VLOOKUP(ROWS($R$2:R17),Q17:R60,2,0),"")</f>
        <v/>
      </c>
    </row>
    <row r="18" spans="2:19" ht="18.600000000000001" thickBot="1"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6"/>
      <c r="Q18">
        <f>IF(ISNUMBER(SEARCH($E$11,R18)),MAX($Q$1:Q17)+1,0)</f>
        <v>0</v>
      </c>
      <c r="R18" s="108" t="s">
        <v>65</v>
      </c>
      <c r="S18" t="str">
        <f>IFERROR(VLOOKUP(ROWS($R$2:R18),Q18:R61,2,0),"")</f>
        <v/>
      </c>
    </row>
    <row r="19" spans="2:19" ht="25.8" thickBot="1">
      <c r="B19" s="151" t="s">
        <v>97</v>
      </c>
      <c r="C19" s="152"/>
      <c r="D19" s="152"/>
      <c r="E19" s="153"/>
      <c r="F19" s="154">
        <f>_xlfn.IFNA(VLOOKUP(E11,Sheet5!K16:AO59,28,0),0)</f>
        <v>61000</v>
      </c>
      <c r="G19" s="155"/>
      <c r="H19" s="117"/>
      <c r="I19" s="115"/>
      <c r="J19" s="115"/>
      <c r="K19" s="115"/>
      <c r="L19" s="116"/>
      <c r="Q19">
        <f>IF(ISNUMBER(SEARCH($E$11,R19)),MAX($Q$1:Q18)+1,0)</f>
        <v>0</v>
      </c>
      <c r="R19" s="109" t="s">
        <v>68</v>
      </c>
      <c r="S19" t="str">
        <f>IFERROR(VLOOKUP(ROWS($R$2:R19),Q19:R62,2,0),"")</f>
        <v/>
      </c>
    </row>
    <row r="20" spans="2:19" ht="18.600000000000001" thickBot="1">
      <c r="B20" s="114"/>
      <c r="C20" s="115"/>
      <c r="D20" s="115"/>
      <c r="E20" s="115"/>
      <c r="F20" s="115"/>
      <c r="G20" s="115"/>
      <c r="H20" s="115"/>
      <c r="I20" s="115"/>
      <c r="J20" s="125"/>
      <c r="K20" s="115"/>
      <c r="L20" s="116"/>
      <c r="Q20">
        <f>IF(ISNUMBER(SEARCH($E$11,R20)),MAX($Q$1:Q19)+1,0)</f>
        <v>0</v>
      </c>
      <c r="R20" s="108" t="s">
        <v>71</v>
      </c>
      <c r="S20" t="str">
        <f>IFERROR(VLOOKUP(ROWS($R$2:R20),Q20:R63,2,0),"")</f>
        <v/>
      </c>
    </row>
    <row r="21" spans="2:19" ht="25.8" thickBot="1">
      <c r="B21" s="159" t="s">
        <v>98</v>
      </c>
      <c r="C21" s="160"/>
      <c r="D21" s="160"/>
      <c r="E21" s="161"/>
      <c r="F21" s="154">
        <f>_xlfn.IFNA(VLOOKUP(E11,Sheet5!K16:AO59,29,0),0)</f>
        <v>61000</v>
      </c>
      <c r="G21" s="155"/>
      <c r="H21" s="117"/>
      <c r="I21" s="115"/>
      <c r="J21" s="115"/>
      <c r="K21" s="115"/>
      <c r="L21" s="116"/>
      <c r="Q21">
        <f>IF(ISNUMBER(SEARCH($E$11,R21)),MAX($Q$1:Q20)+1,0)</f>
        <v>0</v>
      </c>
      <c r="R21" s="109" t="s">
        <v>107</v>
      </c>
      <c r="S21" t="str">
        <f>IFERROR(VLOOKUP(ROWS($R$2:R21),Q21:R64,2,0),"")</f>
        <v/>
      </c>
    </row>
    <row r="22" spans="2:19" ht="18.600000000000001" thickBot="1">
      <c r="B22" s="114"/>
      <c r="C22" s="115"/>
      <c r="D22" s="115"/>
      <c r="E22" s="115"/>
      <c r="F22" s="115"/>
      <c r="G22" s="115"/>
      <c r="H22" s="115"/>
      <c r="I22" s="115"/>
      <c r="J22" s="115"/>
      <c r="K22" s="115"/>
      <c r="L22" s="116"/>
      <c r="Q22">
        <f>IF(ISNUMBER(SEARCH($E$11,R22)),MAX($Q$1:Q21)+1,0)</f>
        <v>0</v>
      </c>
      <c r="R22" s="108" t="s">
        <v>39</v>
      </c>
      <c r="S22" t="str">
        <f>IFERROR(VLOOKUP(ROWS($R$2:R22),Q22:R65,2,0),"")</f>
        <v/>
      </c>
    </row>
    <row r="23" spans="2:19" ht="25.8" thickBot="1">
      <c r="B23" s="151" t="s">
        <v>254</v>
      </c>
      <c r="C23" s="152"/>
      <c r="D23" s="152"/>
      <c r="E23" s="153"/>
      <c r="F23" s="154">
        <f>_xlfn.IFNA(VLOOKUP(E11,Sheet5!K16:AO59,30,0),0)</f>
        <v>0</v>
      </c>
      <c r="G23" s="155"/>
      <c r="H23" s="115"/>
      <c r="I23" s="115"/>
      <c r="J23" s="115"/>
      <c r="K23" s="115"/>
      <c r="L23" s="116"/>
      <c r="Q23">
        <f>IF(ISNUMBER(SEARCH($E$11,R23)),MAX($Q$1:Q22)+1,0)</f>
        <v>0</v>
      </c>
      <c r="R23" s="109" t="s">
        <v>40</v>
      </c>
      <c r="S23" t="str">
        <f>IFERROR(VLOOKUP(ROWS($R$2:R23),Q23:R66,2,0),"")</f>
        <v/>
      </c>
    </row>
    <row r="24" spans="2:19" ht="18.600000000000001" thickBot="1">
      <c r="B24" s="118"/>
      <c r="C24" s="119"/>
      <c r="D24" s="119"/>
      <c r="E24" s="119"/>
      <c r="F24" s="119"/>
      <c r="G24" s="119"/>
      <c r="H24" s="119"/>
      <c r="I24" s="119"/>
      <c r="J24" s="119"/>
      <c r="K24" s="119"/>
      <c r="L24" s="120"/>
      <c r="Q24">
        <f>IF(ISNUMBER(SEARCH($E$11,R24)),MAX($Q$1:Q23)+1,0)</f>
        <v>0</v>
      </c>
      <c r="R24" s="108" t="s">
        <v>41</v>
      </c>
      <c r="S24" t="str">
        <f>IFERROR(VLOOKUP(ROWS($R$2:R24),Q24:R67,2,0),"")</f>
        <v/>
      </c>
    </row>
    <row r="25" spans="2:19" ht="18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Q25">
        <f>IF(ISNUMBER(SEARCH($E$11,R25)),MAX($Q$1:Q24)+1,0)</f>
        <v>0</v>
      </c>
      <c r="R25" s="109" t="s">
        <v>42</v>
      </c>
      <c r="S25" t="str">
        <f>IFERROR(VLOOKUP(ROWS($R$2:R25),Q25:R68,2,0),"")</f>
        <v/>
      </c>
    </row>
    <row r="26" spans="2:19" ht="18">
      <c r="Q26">
        <f>IF(ISNUMBER(SEARCH($E$11,R26)),MAX($Q$1:Q25)+1,0)</f>
        <v>0</v>
      </c>
      <c r="R26" s="108" t="s">
        <v>43</v>
      </c>
      <c r="S26" t="str">
        <f>IFERROR(VLOOKUP(ROWS($R$2:R26),Q26:R69,2,0),"")</f>
        <v/>
      </c>
    </row>
    <row r="27" spans="2:19" ht="18">
      <c r="Q27">
        <f>IF(ISNUMBER(SEARCH($E$11,R27)),MAX($Q$1:Q26)+1,0)</f>
        <v>1</v>
      </c>
      <c r="R27" s="109" t="s">
        <v>44</v>
      </c>
      <c r="S27" t="str">
        <f>IFERROR(VLOOKUP(ROWS($R$2:R27),Q27:R70,2,0),"")</f>
        <v/>
      </c>
    </row>
    <row r="28" spans="2:19" ht="18">
      <c r="Q28">
        <f>IF(ISNUMBER(SEARCH($E$11,R28)),MAX($Q$1:Q27)+1,0)</f>
        <v>0</v>
      </c>
      <c r="R28" s="108" t="s">
        <v>45</v>
      </c>
      <c r="S28" t="str">
        <f>IFERROR(VLOOKUP(ROWS($R$2:R28),Q28:R71,2,0),"")</f>
        <v/>
      </c>
    </row>
    <row r="29" spans="2:19" ht="18">
      <c r="Q29">
        <f>IF(ISNUMBER(SEARCH($E$11,R29)),MAX($Q$1:Q28)+1,0)</f>
        <v>0</v>
      </c>
      <c r="R29" s="109" t="s">
        <v>46</v>
      </c>
      <c r="S29" t="str">
        <f>IFERROR(VLOOKUP(ROWS($R$2:R29),Q29:R72,2,0),"")</f>
        <v/>
      </c>
    </row>
    <row r="30" spans="2:19" ht="18">
      <c r="Q30">
        <f>IF(ISNUMBER(SEARCH($E$11,R30)),MAX($Q$1:Q29)+1,0)</f>
        <v>0</v>
      </c>
      <c r="R30" s="108" t="s">
        <v>47</v>
      </c>
      <c r="S30" t="str">
        <f>IFERROR(VLOOKUP(ROWS($R$2:R30),Q30:R73,2,0),"")</f>
        <v/>
      </c>
    </row>
    <row r="31" spans="2:19" ht="18">
      <c r="Q31">
        <f>IF(ISNUMBER(SEARCH($E$11,R31)),MAX($Q$1:Q30)+1,0)</f>
        <v>0</v>
      </c>
      <c r="R31" s="109" t="s">
        <v>64</v>
      </c>
      <c r="S31" t="str">
        <f>IFERROR(VLOOKUP(ROWS($R$2:R31),Q31:R74,2,0),"")</f>
        <v/>
      </c>
    </row>
    <row r="32" spans="2:19" ht="18">
      <c r="Q32">
        <f>IF(ISNUMBER(SEARCH($E$11,R32)),MAX($Q$1:Q31)+1,0)</f>
        <v>0</v>
      </c>
      <c r="R32" s="108" t="s">
        <v>105</v>
      </c>
      <c r="S32" t="str">
        <f>IFERROR(VLOOKUP(ROWS($R$2:R32),Q32:R75,2,0),"")</f>
        <v/>
      </c>
    </row>
    <row r="33" spans="17:19" ht="18">
      <c r="Q33">
        <f>IF(ISNUMBER(SEARCH($E$11,R33)),MAX($Q$1:Q32)+1,0)</f>
        <v>0</v>
      </c>
      <c r="R33" s="109" t="s">
        <v>48</v>
      </c>
      <c r="S33" t="str">
        <f>IFERROR(VLOOKUP(ROWS($R$2:R33),Q33:R76,2,0),"")</f>
        <v/>
      </c>
    </row>
    <row r="34" spans="17:19" ht="18">
      <c r="Q34">
        <f>IF(ISNUMBER(SEARCH($E$11,R34)),MAX($Q$1:Q33)+1,0)</f>
        <v>0</v>
      </c>
      <c r="R34" s="108" t="s">
        <v>49</v>
      </c>
      <c r="S34" t="str">
        <f>IFERROR(VLOOKUP(ROWS($R$2:R34),Q34:R77,2,0),"")</f>
        <v/>
      </c>
    </row>
    <row r="35" spans="17:19" ht="18">
      <c r="Q35">
        <f>IF(ISNUMBER(SEARCH($E$11,R35)),MAX($Q$1:Q34)+1,0)</f>
        <v>0</v>
      </c>
      <c r="R35" s="109" t="s">
        <v>50</v>
      </c>
      <c r="S35" t="str">
        <f>IFERROR(VLOOKUP(ROWS($R$2:R35),Q35:R78,2,0),"")</f>
        <v/>
      </c>
    </row>
    <row r="36" spans="17:19" ht="18">
      <c r="Q36">
        <f>IF(ISNUMBER(SEARCH($E$11,R36)),MAX($Q$1:Q35)+1,0)</f>
        <v>0</v>
      </c>
      <c r="R36" s="108" t="s">
        <v>58</v>
      </c>
      <c r="S36" t="str">
        <f>IFERROR(VLOOKUP(ROWS($R$2:R36),Q36:R79,2,0),"")</f>
        <v/>
      </c>
    </row>
    <row r="37" spans="17:19" ht="18">
      <c r="Q37">
        <f>IF(ISNUMBER(SEARCH($E$11,R37)),MAX($Q$1:Q36)+1,0)</f>
        <v>0</v>
      </c>
      <c r="R37" s="109" t="s">
        <v>87</v>
      </c>
      <c r="S37" t="str">
        <f>IFERROR(VLOOKUP(ROWS($R$2:R37),Q37:R80,2,0),"")</f>
        <v/>
      </c>
    </row>
    <row r="38" spans="17:19" ht="18">
      <c r="Q38">
        <f>IF(ISNUMBER(SEARCH($E$11,R38)),MAX($Q$1:Q37)+1,0)</f>
        <v>0</v>
      </c>
      <c r="R38" s="108" t="s">
        <v>66</v>
      </c>
      <c r="S38" t="str">
        <f>IFERROR(VLOOKUP(ROWS($R$2:R38),Q38:R81,2,0),"")</f>
        <v/>
      </c>
    </row>
    <row r="39" spans="17:19" ht="18">
      <c r="Q39">
        <f>IF(ISNUMBER(SEARCH($E$11,R39)),MAX($Q$1:Q38)+1,0)</f>
        <v>0</v>
      </c>
      <c r="R39" s="109" t="s">
        <v>103</v>
      </c>
      <c r="S39" t="str">
        <f>IFERROR(VLOOKUP(ROWS($R$2:R39),Q39:R82,2,0),"")</f>
        <v/>
      </c>
    </row>
    <row r="40" spans="17:19" ht="18">
      <c r="Q40">
        <f>IF(ISNUMBER(SEARCH($E$11,R40)),MAX($Q$1:Q39)+1,0)</f>
        <v>0</v>
      </c>
      <c r="R40" s="108" t="s">
        <v>51</v>
      </c>
      <c r="S40" t="str">
        <f>IFERROR(VLOOKUP(ROWS($R$2:R40),Q40:R83,2,0),"")</f>
        <v/>
      </c>
    </row>
    <row r="41" spans="17:19" ht="18">
      <c r="Q41">
        <f>IF(ISNUMBER(SEARCH($E$11,R41)),MAX($Q$1:Q40)+1,0)</f>
        <v>0</v>
      </c>
      <c r="R41" s="109" t="s">
        <v>52</v>
      </c>
      <c r="S41" t="str">
        <f>IFERROR(VLOOKUP(ROWS($R$2:R41),Q41:R84,2,0),"")</f>
        <v/>
      </c>
    </row>
    <row r="42" spans="17:19" ht="18">
      <c r="Q42">
        <f>IF(ISNUMBER(SEARCH($E$11,R42)),MAX($Q$1:Q41)+1,0)</f>
        <v>0</v>
      </c>
      <c r="R42" s="108" t="s">
        <v>59</v>
      </c>
      <c r="S42" t="str">
        <f>IFERROR(VLOOKUP(ROWS($R$2:R42),Q42:R85,2,0),"")</f>
        <v/>
      </c>
    </row>
    <row r="43" spans="17:19" ht="18">
      <c r="Q43">
        <f>IF(ISNUMBER(SEARCH($E$11,R43)),MAX($Q$1:Q42)+1,0)</f>
        <v>0</v>
      </c>
      <c r="R43" s="109" t="s">
        <v>101</v>
      </c>
      <c r="S43" t="str">
        <f>IFERROR(VLOOKUP(ROWS($R$2:R43),Q43:R86,2,0),"")</f>
        <v/>
      </c>
    </row>
    <row r="44" spans="17:19" ht="18">
      <c r="Q44">
        <f>IF(ISNUMBER(SEARCH($E$11,R44)),MAX($Q$1:Q43)+1,0)</f>
        <v>0</v>
      </c>
      <c r="R44" s="108" t="s">
        <v>102</v>
      </c>
      <c r="S44" t="str">
        <f>IFERROR(VLOOKUP(ROWS($R$2:R44),Q44:R87,2,0),"")</f>
        <v/>
      </c>
    </row>
    <row r="45" spans="17:19" ht="18">
      <c r="Q45">
        <f>IF(ISNUMBER(SEARCH($E$11,R45)),MAX($Q$1:Q44)+1,0)</f>
        <v>0</v>
      </c>
      <c r="R45" s="109" t="s">
        <v>104</v>
      </c>
      <c r="S45" t="str">
        <f>IFERROR(VLOOKUP(ROWS($R$2:R45),Q45:R88,2,0),"")</f>
        <v/>
      </c>
    </row>
  </sheetData>
  <mergeCells count="19">
    <mergeCell ref="C5:K7"/>
    <mergeCell ref="C8:K9"/>
    <mergeCell ref="C11:D11"/>
    <mergeCell ref="F13:G13"/>
    <mergeCell ref="F15:G15"/>
    <mergeCell ref="E11:I11"/>
    <mergeCell ref="I13:J13"/>
    <mergeCell ref="B23:E23"/>
    <mergeCell ref="F23:G23"/>
    <mergeCell ref="B16:D16"/>
    <mergeCell ref="E12:G12"/>
    <mergeCell ref="F19:G19"/>
    <mergeCell ref="F21:G21"/>
    <mergeCell ref="F17:G17"/>
    <mergeCell ref="B13:E13"/>
    <mergeCell ref="B15:E15"/>
    <mergeCell ref="B17:E17"/>
    <mergeCell ref="B19:E19"/>
    <mergeCell ref="B21:E21"/>
  </mergeCells>
  <conditionalFormatting sqref="R2:R36">
    <cfRule type="expression" dxfId="180" priority="4">
      <formula>IF(ISBLANK($T$9),0,$AP2&gt;0)</formula>
    </cfRule>
  </conditionalFormatting>
  <conditionalFormatting sqref="R37:R43">
    <cfRule type="expression" dxfId="179" priority="3">
      <formula>IF(ISBLANK($T$9),0,$AP37&gt;0)</formula>
    </cfRule>
  </conditionalFormatting>
  <conditionalFormatting sqref="R44">
    <cfRule type="expression" dxfId="178" priority="2">
      <formula>IF(ISBLANK($T$9),0,$AP44&gt;0)</formula>
    </cfRule>
  </conditionalFormatting>
  <conditionalFormatting sqref="R45">
    <cfRule type="expression" dxfId="177" priority="1">
      <formula>IF(ISBLANK($T$9),0,$AP45&gt;0)</formula>
    </cfRule>
  </conditionalFormatting>
  <dataValidations count="1">
    <dataValidation type="list" allowBlank="1" showInputMessage="1" showErrorMessage="1" sqref="E11">
      <formula1>AniketFormula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I6:DG93"/>
  <sheetViews>
    <sheetView topLeftCell="CU65" zoomScale="101" zoomScaleNormal="154" workbookViewId="0">
      <selection activeCell="DG19" sqref="DG19:DG83"/>
    </sheetView>
  </sheetViews>
  <sheetFormatPr defaultRowHeight="14.4"/>
  <cols>
    <col min="8" max="8" width="8.88671875" customWidth="1"/>
    <col min="9" max="9" width="9.6640625" customWidth="1"/>
    <col min="10" max="10" width="12" customWidth="1"/>
    <col min="11" max="11" width="30.88671875" customWidth="1"/>
    <col min="12" max="12" width="9.44140625" customWidth="1"/>
    <col min="13" max="13" width="16.88671875" customWidth="1"/>
    <col min="14" max="14" width="17.44140625" customWidth="1"/>
    <col min="15" max="16" width="17.33203125" customWidth="1"/>
    <col min="17" max="17" width="16.77734375" customWidth="1"/>
    <col min="18" max="18" width="16.44140625" customWidth="1"/>
    <col min="19" max="19" width="17.109375" customWidth="1"/>
    <col min="20" max="20" width="16.88671875" customWidth="1"/>
    <col min="21" max="23" width="17.109375" customWidth="1"/>
    <col min="24" max="24" width="10.6640625" customWidth="1"/>
    <col min="25" max="25" width="17.6640625" customWidth="1"/>
    <col min="26" max="26" width="18.33203125" customWidth="1"/>
    <col min="27" max="27" width="10.88671875" customWidth="1"/>
    <col min="28" max="28" width="11.44140625" customWidth="1"/>
    <col min="29" max="29" width="10.88671875" customWidth="1"/>
    <col min="30" max="30" width="10.33203125" customWidth="1"/>
    <col min="31" max="31" width="11.44140625" customWidth="1"/>
    <col min="32" max="32" width="18.33203125" customWidth="1"/>
    <col min="33" max="33" width="18.109375" customWidth="1"/>
    <col min="34" max="35" width="18.33203125" customWidth="1"/>
    <col min="36" max="36" width="11.5546875" customWidth="1"/>
    <col min="37" max="37" width="24.33203125" customWidth="1"/>
    <col min="38" max="38" width="12.44140625" customWidth="1"/>
    <col min="39" max="39" width="19.5546875" customWidth="1"/>
    <col min="40" max="40" width="14" customWidth="1"/>
    <col min="50" max="50" width="9" customWidth="1"/>
    <col min="51" max="51" width="11.33203125" customWidth="1"/>
    <col min="53" max="62" width="9" customWidth="1"/>
    <col min="105" max="105" width="35.88671875" customWidth="1"/>
  </cols>
  <sheetData>
    <row r="6" spans="9:81">
      <c r="AG6" s="55"/>
    </row>
    <row r="7" spans="9:81"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</row>
    <row r="8" spans="9:81"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</row>
    <row r="9" spans="9:81"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</row>
    <row r="10" spans="9:81" ht="14.4" customHeight="1">
      <c r="I10" s="168" t="s">
        <v>67</v>
      </c>
      <c r="J10" s="168"/>
      <c r="K10" s="168"/>
      <c r="L10" s="168"/>
      <c r="M10" s="168"/>
      <c r="N10" s="168"/>
      <c r="O10" s="168"/>
      <c r="P10" s="168"/>
      <c r="Q10" s="168"/>
      <c r="R10" s="168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</row>
    <row r="11" spans="9:81" ht="14.4" customHeight="1"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</row>
    <row r="12" spans="9:81" ht="14.4" customHeight="1"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AC12" s="55"/>
      <c r="AD12" s="55"/>
      <c r="AE12" s="55"/>
      <c r="AF12" s="55"/>
      <c r="AG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</row>
    <row r="13" spans="9:81" ht="14.4" customHeight="1"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W13" s="75"/>
      <c r="AC13" s="55"/>
      <c r="AD13" s="55"/>
      <c r="AE13" s="55"/>
      <c r="AF13" s="55"/>
      <c r="AG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9:81">
      <c r="AC14" s="55"/>
      <c r="AD14" s="55"/>
      <c r="AE14" s="55"/>
      <c r="AF14" s="55"/>
      <c r="AG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</row>
    <row r="15" spans="9:81" ht="15.6">
      <c r="AC15" s="55"/>
      <c r="AD15" s="55"/>
      <c r="AE15" s="55"/>
      <c r="AF15" s="55"/>
      <c r="AG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t="s">
        <v>14</v>
      </c>
      <c r="AY15" t="s">
        <v>19</v>
      </c>
      <c r="AZ15" t="s">
        <v>15</v>
      </c>
      <c r="BA15" t="s">
        <v>2</v>
      </c>
      <c r="BB15" t="s">
        <v>3</v>
      </c>
      <c r="BC15" t="s">
        <v>4</v>
      </c>
      <c r="BD15" t="s">
        <v>5</v>
      </c>
      <c r="BE15" t="s">
        <v>6</v>
      </c>
      <c r="BF15" t="s">
        <v>7</v>
      </c>
      <c r="BG15" t="s">
        <v>8</v>
      </c>
      <c r="BH15" t="s">
        <v>9</v>
      </c>
      <c r="BI15" s="58" t="s">
        <v>10</v>
      </c>
      <c r="BJ15" s="58" t="s">
        <v>11</v>
      </c>
      <c r="BK15" s="58" t="s">
        <v>12</v>
      </c>
      <c r="BL15" s="58" t="s">
        <v>13</v>
      </c>
      <c r="BM15" s="58" t="s">
        <v>69</v>
      </c>
      <c r="BN15" s="58" t="s">
        <v>70</v>
      </c>
      <c r="BO15" s="58" t="s">
        <v>77</v>
      </c>
      <c r="BP15" s="58" t="s">
        <v>78</v>
      </c>
      <c r="BQ15" s="58" t="s">
        <v>79</v>
      </c>
      <c r="BR15" s="58" t="s">
        <v>80</v>
      </c>
      <c r="BS15" s="58" t="s">
        <v>81</v>
      </c>
      <c r="BT15" s="58" t="s">
        <v>82</v>
      </c>
      <c r="BU15" s="58" t="s">
        <v>83</v>
      </c>
      <c r="BV15" s="58" t="s">
        <v>84</v>
      </c>
      <c r="BW15" s="58" t="s">
        <v>85</v>
      </c>
      <c r="BX15" s="58" t="s">
        <v>86</v>
      </c>
      <c r="BY15" s="58" t="s">
        <v>72</v>
      </c>
      <c r="BZ15" s="58" t="s">
        <v>73</v>
      </c>
      <c r="CA15" s="58" t="s">
        <v>74</v>
      </c>
      <c r="CB15" s="58" t="s">
        <v>75</v>
      </c>
      <c r="CC15" s="58" t="s">
        <v>76</v>
      </c>
    </row>
    <row r="16" spans="9:81"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42">
        <v>28</v>
      </c>
      <c r="AY16" s="42"/>
      <c r="AZ16" s="42" t="s">
        <v>51</v>
      </c>
      <c r="BA16" s="42">
        <v>200</v>
      </c>
      <c r="BB16" s="42"/>
      <c r="BC16" s="42"/>
      <c r="BD16" s="42"/>
      <c r="BE16" s="42"/>
      <c r="BF16" s="42"/>
      <c r="BG16" s="42"/>
      <c r="BH16" s="42"/>
      <c r="BZ16">
        <f>SUM(Table3546[[#This Row],[JAN]:[VYAJ2]])</f>
        <v>200</v>
      </c>
      <c r="CC16">
        <f>Table3546[[#This Row],[APR5]]-Table3546[[#This Row],[MAY6]]</f>
        <v>0</v>
      </c>
    </row>
    <row r="17" spans="9:111" ht="15.6">
      <c r="I17" t="s">
        <v>14</v>
      </c>
      <c r="J17" t="s">
        <v>19</v>
      </c>
      <c r="K17" t="s">
        <v>15</v>
      </c>
      <c r="L17" t="s">
        <v>2</v>
      </c>
      <c r="M17" t="s">
        <v>3</v>
      </c>
      <c r="N17" t="s">
        <v>4</v>
      </c>
      <c r="O17" t="s">
        <v>5</v>
      </c>
      <c r="P17" t="s">
        <v>6</v>
      </c>
      <c r="Q17" t="s">
        <v>7</v>
      </c>
      <c r="R17" t="s">
        <v>8</v>
      </c>
      <c r="S17" t="s">
        <v>9</v>
      </c>
      <c r="T17" s="58" t="s">
        <v>10</v>
      </c>
      <c r="U17" s="58" t="s">
        <v>11</v>
      </c>
      <c r="V17" s="58" t="s">
        <v>12</v>
      </c>
      <c r="W17" s="58" t="s">
        <v>13</v>
      </c>
      <c r="X17" s="58" t="s">
        <v>69</v>
      </c>
      <c r="Y17" s="58" t="s">
        <v>70</v>
      </c>
      <c r="Z17" s="58" t="s">
        <v>77</v>
      </c>
      <c r="AA17" s="58" t="s">
        <v>78</v>
      </c>
      <c r="AB17" s="58" t="s">
        <v>79</v>
      </c>
      <c r="AC17" s="58" t="s">
        <v>80</v>
      </c>
      <c r="AD17" s="58" t="s">
        <v>81</v>
      </c>
      <c r="AE17" s="58" t="s">
        <v>82</v>
      </c>
      <c r="AF17" s="58" t="s">
        <v>83</v>
      </c>
      <c r="AG17" s="58" t="s">
        <v>84</v>
      </c>
      <c r="AH17" s="58" t="s">
        <v>85</v>
      </c>
      <c r="AI17" s="58" t="s">
        <v>86</v>
      </c>
      <c r="AJ17" s="58" t="s">
        <v>72</v>
      </c>
      <c r="AK17" s="58" t="s">
        <v>73</v>
      </c>
      <c r="AL17" s="58" t="s">
        <v>74</v>
      </c>
      <c r="AM17" s="58" t="s">
        <v>75</v>
      </c>
      <c r="AN17" s="58" t="s">
        <v>76</v>
      </c>
      <c r="AO17" s="55"/>
      <c r="AP17" s="55"/>
      <c r="AQ17" s="55"/>
      <c r="AR17" s="55"/>
      <c r="AS17" s="55"/>
      <c r="AT17" s="55"/>
      <c r="AU17" s="55"/>
      <c r="AV17" s="55"/>
      <c r="AW17" s="55"/>
      <c r="AX17" s="42">
        <v>29</v>
      </c>
      <c r="AY17" s="42"/>
      <c r="AZ17" s="42" t="s">
        <v>52</v>
      </c>
      <c r="BA17" s="42">
        <v>200</v>
      </c>
      <c r="BB17" s="42"/>
      <c r="BC17" s="42"/>
      <c r="BD17" s="42"/>
      <c r="BE17" s="42"/>
      <c r="BF17" s="42"/>
      <c r="BG17" s="42"/>
      <c r="BH17" s="42"/>
      <c r="BZ17">
        <f>SUM(Table3546[[#This Row],[JAN]:[VYAJ2]])</f>
        <v>200</v>
      </c>
      <c r="CC17">
        <f>Table3546[[#This Row],[APR5]]-Table3546[[#This Row],[MAY6]]</f>
        <v>0</v>
      </c>
    </row>
    <row r="18" spans="9:111">
      <c r="I18" s="42">
        <v>28</v>
      </c>
      <c r="J18" s="42"/>
      <c r="K18" s="42" t="s">
        <v>51</v>
      </c>
      <c r="L18" s="42">
        <v>200</v>
      </c>
      <c r="M18" s="42">
        <v>5000</v>
      </c>
      <c r="N18" s="42">
        <v>122220</v>
      </c>
      <c r="O18" s="42"/>
      <c r="P18" s="42"/>
      <c r="Q18" s="42"/>
      <c r="R18" s="42"/>
      <c r="S18" s="42"/>
      <c r="AK18">
        <f>SUM(Table354[[#This Row],[JAN]:[VYAJ2]])</f>
        <v>127420</v>
      </c>
      <c r="AN18">
        <f>Table354[[#This Row],[APR5]]-Table354[[#This Row],[MAY6]]</f>
        <v>0</v>
      </c>
      <c r="AO18" s="55"/>
      <c r="AP18" s="55"/>
      <c r="AQ18" s="55"/>
      <c r="AR18" s="55"/>
      <c r="AS18" s="55"/>
      <c r="AT18" s="55"/>
      <c r="AU18" s="55"/>
      <c r="AV18" s="55"/>
      <c r="AW18" s="55"/>
      <c r="AX18" s="42">
        <v>30</v>
      </c>
      <c r="AY18" s="42"/>
      <c r="AZ18" s="42" t="s">
        <v>59</v>
      </c>
      <c r="BA18" s="42">
        <v>200</v>
      </c>
      <c r="BB18" s="42"/>
      <c r="BC18" s="42"/>
      <c r="BD18" s="42"/>
      <c r="BE18" s="42"/>
      <c r="BF18" s="42"/>
      <c r="BG18" s="42"/>
      <c r="BH18" s="42"/>
      <c r="BZ18">
        <f>SUM(Table3546[[#This Row],[JAN]:[VYAJ2]])</f>
        <v>200</v>
      </c>
      <c r="CC18">
        <f>Table3546[[#This Row],[APR5]]-Table3546[[#This Row],[MAY6]]</f>
        <v>0</v>
      </c>
    </row>
    <row r="19" spans="9:111">
      <c r="I19" s="42">
        <v>29</v>
      </c>
      <c r="J19" s="42"/>
      <c r="K19" s="42" t="s">
        <v>52</v>
      </c>
      <c r="L19" s="42">
        <v>200</v>
      </c>
      <c r="M19" s="42">
        <v>30</v>
      </c>
      <c r="N19" s="42">
        <v>2000</v>
      </c>
      <c r="O19" s="42"/>
      <c r="P19" s="42"/>
      <c r="Q19" s="42"/>
      <c r="R19" s="42"/>
      <c r="S19" s="42"/>
      <c r="AK19">
        <f>SUM(Table354[[#This Row],[JAN]:[VYAJ2]])</f>
        <v>2230</v>
      </c>
      <c r="AN19">
        <f>Table354[[#This Row],[APR5]]-Table354[[#This Row],[MAY6]]</f>
        <v>0</v>
      </c>
      <c r="AO19" s="55"/>
      <c r="AP19" s="55"/>
      <c r="AQ19" s="55"/>
      <c r="AR19" s="55"/>
      <c r="AS19" s="55"/>
      <c r="AT19" s="55"/>
      <c r="AU19" s="55"/>
      <c r="AV19" s="55"/>
      <c r="AW19" s="55"/>
      <c r="AX19" s="42">
        <v>34</v>
      </c>
      <c r="AY19" s="42"/>
      <c r="AZ19" s="42" t="s">
        <v>66</v>
      </c>
      <c r="BA19" s="42">
        <v>200</v>
      </c>
      <c r="BB19" s="42"/>
      <c r="BC19" s="42"/>
      <c r="BD19" s="42"/>
      <c r="BE19" s="42"/>
      <c r="BF19" s="42"/>
      <c r="BG19" s="42"/>
      <c r="BH19" s="42"/>
      <c r="BZ19">
        <f>SUM(Table3546[[#This Row],[JAN]:[VYAJ2]])</f>
        <v>200</v>
      </c>
      <c r="CC19">
        <f>Table3546[[#This Row],[APR5]]-Table3546[[#This Row],[MAY6]]</f>
        <v>0</v>
      </c>
      <c r="DA19" s="110" t="s">
        <v>15</v>
      </c>
      <c r="DB19" s="110" t="s">
        <v>2</v>
      </c>
      <c r="DC19" s="110" t="s">
        <v>3</v>
      </c>
      <c r="DG19" t="s">
        <v>113</v>
      </c>
    </row>
    <row r="20" spans="9:111">
      <c r="I20" s="42">
        <v>30</v>
      </c>
      <c r="J20" s="42"/>
      <c r="K20" s="42" t="s">
        <v>59</v>
      </c>
      <c r="L20" s="42">
        <v>200</v>
      </c>
      <c r="M20" s="42"/>
      <c r="N20" s="42"/>
      <c r="O20" s="42"/>
      <c r="P20" s="42"/>
      <c r="Q20" s="42"/>
      <c r="R20" s="42"/>
      <c r="S20" s="42"/>
      <c r="AK20">
        <f>SUM(Table354[[#This Row],[JAN]:[VYAJ2]])</f>
        <v>200</v>
      </c>
      <c r="AN20">
        <f>Table354[[#This Row],[APR5]]-Table354[[#This Row],[MAY6]]</f>
        <v>0</v>
      </c>
      <c r="AO20" s="55"/>
      <c r="AP20" s="55"/>
      <c r="AQ20" s="55"/>
      <c r="AR20" s="55"/>
      <c r="AS20" s="55"/>
      <c r="AT20" s="55"/>
      <c r="AU20" s="55"/>
      <c r="AV20" s="55"/>
      <c r="AW20" s="55"/>
      <c r="AX20" s="42">
        <v>24</v>
      </c>
      <c r="AY20" s="42"/>
      <c r="AZ20" s="42" t="s">
        <v>48</v>
      </c>
      <c r="BA20" s="42">
        <v>400</v>
      </c>
      <c r="BB20" s="42"/>
      <c r="BC20" s="42"/>
      <c r="BD20" s="42"/>
      <c r="BE20" s="42"/>
      <c r="BF20" s="42"/>
      <c r="BG20" s="42"/>
      <c r="BH20" s="42"/>
      <c r="BZ20">
        <f>SUM(Table3546[[#This Row],[JAN]:[VYAJ2]])</f>
        <v>400</v>
      </c>
      <c r="CC20">
        <f>Table3546[[#This Row],[APR5]]-Table3546[[#This Row],[MAY6]]</f>
        <v>0</v>
      </c>
      <c r="DA20" s="42" t="s">
        <v>51</v>
      </c>
      <c r="DB20" s="42">
        <v>200</v>
      </c>
      <c r="DC20" s="42">
        <v>5000</v>
      </c>
      <c r="DG20" t="s">
        <v>114</v>
      </c>
    </row>
    <row r="21" spans="9:111">
      <c r="I21" s="42">
        <v>34</v>
      </c>
      <c r="J21" s="42"/>
      <c r="K21" s="42" t="s">
        <v>66</v>
      </c>
      <c r="L21" s="42">
        <v>200</v>
      </c>
      <c r="M21" s="42"/>
      <c r="N21" s="42"/>
      <c r="O21" s="42"/>
      <c r="P21" s="42"/>
      <c r="Q21" s="42"/>
      <c r="R21" s="42"/>
      <c r="S21" s="42"/>
      <c r="AK21">
        <f>SUM(Table354[[#This Row],[JAN]:[VYAJ2]])</f>
        <v>200</v>
      </c>
      <c r="AN21">
        <f>Table354[[#This Row],[APR5]]-Table354[[#This Row],[MAY6]]</f>
        <v>0</v>
      </c>
      <c r="AO21" s="55"/>
      <c r="AP21" s="55"/>
      <c r="AQ21" s="55"/>
      <c r="AR21" s="55"/>
      <c r="AS21" s="55"/>
      <c r="AT21" s="55"/>
      <c r="AU21" s="55"/>
      <c r="AV21" s="55"/>
      <c r="AW21" s="55"/>
      <c r="AX21" s="42">
        <v>25</v>
      </c>
      <c r="AY21" s="42"/>
      <c r="AZ21" s="42" t="s">
        <v>49</v>
      </c>
      <c r="BA21" s="42">
        <v>400</v>
      </c>
      <c r="BB21" s="42"/>
      <c r="BC21" s="42"/>
      <c r="BD21" s="42"/>
      <c r="BE21" s="42"/>
      <c r="BF21" s="42"/>
      <c r="BG21" s="42"/>
      <c r="BH21" s="42"/>
      <c r="BZ21">
        <f>SUM(Table3546[[#This Row],[JAN]:[VYAJ2]])</f>
        <v>400</v>
      </c>
      <c r="CC21">
        <f>Table3546[[#This Row],[APR5]]-Table3546[[#This Row],[MAY6]]</f>
        <v>0</v>
      </c>
      <c r="DA21" s="42" t="s">
        <v>52</v>
      </c>
      <c r="DB21" s="42">
        <v>200</v>
      </c>
      <c r="DC21" s="42">
        <v>30</v>
      </c>
      <c r="DG21" t="s">
        <v>115</v>
      </c>
    </row>
    <row r="22" spans="9:111">
      <c r="I22" s="42">
        <v>24</v>
      </c>
      <c r="J22" s="42"/>
      <c r="K22" s="42" t="s">
        <v>48</v>
      </c>
      <c r="L22" s="42">
        <v>400</v>
      </c>
      <c r="M22" s="42"/>
      <c r="N22" s="42"/>
      <c r="O22" s="42"/>
      <c r="P22" s="42"/>
      <c r="Q22" s="42"/>
      <c r="R22" s="42"/>
      <c r="S22" s="42"/>
      <c r="AK22">
        <f>SUM(Table354[[#This Row],[JAN]:[VYAJ2]])</f>
        <v>400</v>
      </c>
      <c r="AN22">
        <f>Table354[[#This Row],[APR5]]-Table354[[#This Row],[MAY6]]</f>
        <v>0</v>
      </c>
      <c r="AO22" s="55"/>
      <c r="AP22" s="55"/>
      <c r="AQ22" s="55"/>
      <c r="AR22" s="55"/>
      <c r="AS22" s="55"/>
      <c r="AT22" s="55"/>
      <c r="AU22" s="55"/>
      <c r="AV22" s="55"/>
      <c r="AW22" s="55"/>
      <c r="AX22" s="42">
        <v>26</v>
      </c>
      <c r="AY22" s="42"/>
      <c r="AZ22" s="42" t="s">
        <v>50</v>
      </c>
      <c r="BA22" s="42">
        <v>400</v>
      </c>
      <c r="BB22" s="42"/>
      <c r="BC22" s="42"/>
      <c r="BD22" s="42"/>
      <c r="BE22" s="42"/>
      <c r="BF22" s="42"/>
      <c r="BG22" s="42"/>
      <c r="BH22" s="42"/>
      <c r="BZ22">
        <f>SUM(Table3546[[#This Row],[JAN]:[VYAJ2]])</f>
        <v>400</v>
      </c>
      <c r="CA22">
        <v>6000</v>
      </c>
      <c r="CC22">
        <f>Table3546[[#This Row],[APR5]]-Table3546[[#This Row],[MAY6]]</f>
        <v>0</v>
      </c>
      <c r="DA22" s="42" t="s">
        <v>59</v>
      </c>
      <c r="DB22" s="42">
        <v>200</v>
      </c>
      <c r="DC22" s="42"/>
      <c r="DG22" t="s">
        <v>116</v>
      </c>
    </row>
    <row r="23" spans="9:111">
      <c r="I23" s="42">
        <v>25</v>
      </c>
      <c r="J23" s="42"/>
      <c r="K23" s="42" t="s">
        <v>49</v>
      </c>
      <c r="L23" s="42">
        <v>400</v>
      </c>
      <c r="M23" s="42"/>
      <c r="N23" s="42"/>
      <c r="O23" s="42"/>
      <c r="P23" s="42"/>
      <c r="Q23" s="42"/>
      <c r="R23" s="42"/>
      <c r="S23" s="42"/>
      <c r="AK23">
        <f>SUM(Table354[[#This Row],[JAN]:[VYAJ2]])</f>
        <v>400</v>
      </c>
      <c r="AN23">
        <f>Table354[[#This Row],[APR5]]-Table354[[#This Row],[MAY6]]</f>
        <v>0</v>
      </c>
      <c r="AO23" s="55"/>
      <c r="AP23" s="55"/>
      <c r="AQ23" s="55"/>
      <c r="AR23" s="55"/>
      <c r="AS23" s="55"/>
      <c r="AT23" s="55"/>
      <c r="AU23" s="55"/>
      <c r="AV23" s="55"/>
      <c r="AW23" s="55"/>
      <c r="AX23" s="42">
        <v>27</v>
      </c>
      <c r="AY23" s="42"/>
      <c r="AZ23" s="42" t="s">
        <v>58</v>
      </c>
      <c r="BA23" s="42">
        <v>400</v>
      </c>
      <c r="BB23" s="42"/>
      <c r="BC23" s="42"/>
      <c r="BD23" s="42"/>
      <c r="BE23" s="42"/>
      <c r="BF23" s="42"/>
      <c r="BG23" s="42"/>
      <c r="BH23" s="42"/>
      <c r="BZ23">
        <f>SUM(Table3546[[#This Row],[JAN]:[VYAJ2]])</f>
        <v>400</v>
      </c>
      <c r="CC23">
        <f>Table3546[[#This Row],[APR5]]-Table3546[[#This Row],[MAY6]]</f>
        <v>0</v>
      </c>
      <c r="DA23" s="42" t="s">
        <v>66</v>
      </c>
      <c r="DB23" s="42">
        <v>200</v>
      </c>
      <c r="DC23" s="42"/>
      <c r="DG23" t="s">
        <v>117</v>
      </c>
    </row>
    <row r="24" spans="9:111">
      <c r="I24" s="42">
        <v>26</v>
      </c>
      <c r="J24" s="42"/>
      <c r="K24" s="42" t="s">
        <v>50</v>
      </c>
      <c r="L24" s="42">
        <v>400</v>
      </c>
      <c r="M24" s="42"/>
      <c r="N24" s="42"/>
      <c r="O24" s="42"/>
      <c r="P24" s="42"/>
      <c r="Q24" s="42"/>
      <c r="R24" s="42"/>
      <c r="S24" s="42"/>
      <c r="AK24">
        <f>SUM(Table354[[#This Row],[JAN]:[VYAJ2]])</f>
        <v>400</v>
      </c>
      <c r="AL24">
        <v>6000</v>
      </c>
      <c r="AN24">
        <f>Table354[[#This Row],[APR5]]-Table354[[#This Row],[MAY6]]</f>
        <v>0</v>
      </c>
      <c r="AO24" s="55"/>
      <c r="AP24" s="55"/>
      <c r="AQ24" s="55"/>
      <c r="AR24" s="55"/>
      <c r="AS24" s="55"/>
      <c r="AT24" s="55"/>
      <c r="AU24" s="55"/>
      <c r="AV24" s="55"/>
      <c r="AW24" s="55"/>
      <c r="AX24" s="42">
        <v>15</v>
      </c>
      <c r="AY24" s="42"/>
      <c r="AZ24" s="42" t="s">
        <v>39</v>
      </c>
      <c r="BA24" s="42">
        <v>600</v>
      </c>
      <c r="BB24" s="42"/>
      <c r="BC24" s="42"/>
      <c r="BD24" s="42"/>
      <c r="BE24" s="42"/>
      <c r="BF24" s="42"/>
      <c r="BG24" s="42"/>
      <c r="BH24" s="42"/>
      <c r="BZ24">
        <f>SUM(Table3546[[#This Row],[JAN]:[VYAJ2]])</f>
        <v>600</v>
      </c>
      <c r="CC24">
        <f>Table3546[[#This Row],[APR5]]-Table3546[[#This Row],[MAY6]]</f>
        <v>0</v>
      </c>
      <c r="DA24" s="42" t="s">
        <v>48</v>
      </c>
      <c r="DB24" s="42">
        <v>400</v>
      </c>
      <c r="DC24" s="42"/>
      <c r="DG24" t="s">
        <v>118</v>
      </c>
    </row>
    <row r="25" spans="9:111">
      <c r="I25" s="42">
        <v>27</v>
      </c>
      <c r="J25" s="42"/>
      <c r="K25" s="42" t="s">
        <v>58</v>
      </c>
      <c r="L25" s="42">
        <v>400</v>
      </c>
      <c r="M25" s="42"/>
      <c r="N25" s="42"/>
      <c r="O25" s="42"/>
      <c r="P25" s="42"/>
      <c r="Q25" s="42"/>
      <c r="R25" s="42"/>
      <c r="S25" s="42"/>
      <c r="AK25">
        <f>SUM(Table354[[#This Row],[JAN]:[VYAJ2]])</f>
        <v>400</v>
      </c>
      <c r="AN25">
        <f>Table354[[#This Row],[APR5]]-Table354[[#This Row],[MAY6]]</f>
        <v>0</v>
      </c>
      <c r="AO25" s="55"/>
      <c r="AP25" s="55"/>
      <c r="AQ25" s="55"/>
      <c r="AX25" s="42">
        <v>16</v>
      </c>
      <c r="AY25" s="42"/>
      <c r="AZ25" s="42" t="s">
        <v>40</v>
      </c>
      <c r="BA25" s="42">
        <v>600</v>
      </c>
      <c r="BB25" s="42"/>
      <c r="BC25" s="42"/>
      <c r="BD25" s="42"/>
      <c r="BE25" s="42"/>
      <c r="BF25" s="42"/>
      <c r="BG25" s="42"/>
      <c r="BH25" s="42"/>
      <c r="BZ25">
        <f>SUM(Table3546[[#This Row],[JAN]:[VYAJ2]])</f>
        <v>600</v>
      </c>
      <c r="CC25">
        <f>Table3546[[#This Row],[APR5]]-Table3546[[#This Row],[MAY6]]</f>
        <v>0</v>
      </c>
      <c r="DA25" s="42" t="s">
        <v>49</v>
      </c>
      <c r="DB25" s="42">
        <v>400</v>
      </c>
      <c r="DC25" s="42"/>
      <c r="DG25" t="s">
        <v>119</v>
      </c>
    </row>
    <row r="26" spans="9:111">
      <c r="I26" s="42">
        <v>15</v>
      </c>
      <c r="J26" s="42"/>
      <c r="K26" s="42" t="s">
        <v>39</v>
      </c>
      <c r="L26" s="42">
        <v>600</v>
      </c>
      <c r="M26" s="42"/>
      <c r="N26" s="42"/>
      <c r="O26" s="42"/>
      <c r="P26" s="42"/>
      <c r="Q26" s="42"/>
      <c r="R26" s="42"/>
      <c r="S26" s="42"/>
      <c r="AK26">
        <f>SUM(Table354[[#This Row],[JAN]:[VYAJ2]])</f>
        <v>600</v>
      </c>
      <c r="AN26">
        <f>Table354[[#This Row],[APR5]]-Table354[[#This Row],[MAY6]]</f>
        <v>0</v>
      </c>
      <c r="AO26" s="55"/>
      <c r="AP26" s="55"/>
      <c r="AQ26" s="55"/>
      <c r="AX26" s="42">
        <v>17</v>
      </c>
      <c r="AY26" s="42"/>
      <c r="AZ26" s="42" t="s">
        <v>41</v>
      </c>
      <c r="BA26" s="42">
        <v>600</v>
      </c>
      <c r="BB26" s="42"/>
      <c r="BC26" s="42"/>
      <c r="BD26" s="42"/>
      <c r="BE26" s="42"/>
      <c r="BF26" s="42"/>
      <c r="BG26" s="42"/>
      <c r="BH26" s="42"/>
      <c r="BZ26">
        <f>SUM(Table3546[[#This Row],[JAN]:[VYAJ2]])</f>
        <v>600</v>
      </c>
      <c r="CC26">
        <f>Table3546[[#This Row],[APR5]]-Table3546[[#This Row],[MAY6]]</f>
        <v>0</v>
      </c>
      <c r="DA26" s="42" t="s">
        <v>50</v>
      </c>
      <c r="DB26" s="42">
        <v>400</v>
      </c>
      <c r="DC26" s="42"/>
      <c r="DG26" t="s">
        <v>120</v>
      </c>
    </row>
    <row r="27" spans="9:111">
      <c r="I27" s="42">
        <v>16</v>
      </c>
      <c r="J27" s="42"/>
      <c r="K27" s="42" t="s">
        <v>40</v>
      </c>
      <c r="L27" s="42">
        <v>600</v>
      </c>
      <c r="M27" s="42"/>
      <c r="N27" s="42"/>
      <c r="O27" s="42"/>
      <c r="P27" s="42"/>
      <c r="Q27" s="42"/>
      <c r="R27" s="42"/>
      <c r="S27" s="42"/>
      <c r="AK27">
        <f>SUM(Table354[[#This Row],[JAN]:[VYAJ2]])</f>
        <v>600</v>
      </c>
      <c r="AN27">
        <f>Table354[[#This Row],[APR5]]-Table354[[#This Row],[MAY6]]</f>
        <v>0</v>
      </c>
      <c r="AO27" s="55"/>
      <c r="AP27" s="55"/>
      <c r="AQ27" s="55"/>
      <c r="AX27" s="42">
        <v>18</v>
      </c>
      <c r="AY27" s="42"/>
      <c r="AZ27" s="42" t="s">
        <v>42</v>
      </c>
      <c r="BA27" s="42">
        <v>600</v>
      </c>
      <c r="BB27" s="42"/>
      <c r="BC27" s="42"/>
      <c r="BD27" s="42"/>
      <c r="BE27" s="42"/>
      <c r="BF27" s="42"/>
      <c r="BG27" s="42"/>
      <c r="BH27" s="42"/>
      <c r="BZ27">
        <f>SUM(Table3546[[#This Row],[JAN]:[VYAJ2]])</f>
        <v>600</v>
      </c>
      <c r="CA27">
        <v>2000</v>
      </c>
      <c r="CC27">
        <f>Table3546[[#This Row],[APR5]]-Table3546[[#This Row],[MAY6]]</f>
        <v>0</v>
      </c>
      <c r="DA27" s="42" t="s">
        <v>58</v>
      </c>
      <c r="DB27" s="42">
        <v>400</v>
      </c>
      <c r="DC27" s="42"/>
      <c r="DG27" t="s">
        <v>121</v>
      </c>
    </row>
    <row r="28" spans="9:111">
      <c r="I28" s="42">
        <v>17</v>
      </c>
      <c r="J28" s="42"/>
      <c r="K28" s="42" t="s">
        <v>41</v>
      </c>
      <c r="L28" s="42">
        <v>600</v>
      </c>
      <c r="M28" s="42"/>
      <c r="N28" s="42"/>
      <c r="O28" s="42"/>
      <c r="P28" s="42"/>
      <c r="Q28" s="42"/>
      <c r="R28" s="42"/>
      <c r="S28" s="42"/>
      <c r="AK28">
        <f>SUM(Table354[[#This Row],[JAN]:[VYAJ2]])</f>
        <v>600</v>
      </c>
      <c r="AN28">
        <f>Table354[[#This Row],[APR5]]-Table354[[#This Row],[MAY6]]</f>
        <v>0</v>
      </c>
      <c r="AO28" s="55"/>
      <c r="AP28" s="55"/>
      <c r="AQ28" s="55"/>
      <c r="AX28" s="42">
        <v>19</v>
      </c>
      <c r="AY28" s="42"/>
      <c r="AZ28" s="42" t="s">
        <v>43</v>
      </c>
      <c r="BA28" s="42">
        <v>600</v>
      </c>
      <c r="BB28" s="42"/>
      <c r="BC28" s="42"/>
      <c r="BD28" s="42"/>
      <c r="BE28" s="42"/>
      <c r="BF28" s="42"/>
      <c r="BG28" s="42"/>
      <c r="BH28" s="42"/>
      <c r="BZ28">
        <f>SUM(Table3546[[#This Row],[JAN]:[VYAJ2]])</f>
        <v>600</v>
      </c>
      <c r="CC28">
        <f>Table3546[[#This Row],[APR5]]-Table3546[[#This Row],[MAY6]]</f>
        <v>0</v>
      </c>
      <c r="DA28" s="42" t="s">
        <v>39</v>
      </c>
      <c r="DB28" s="42">
        <v>600</v>
      </c>
      <c r="DC28" s="42"/>
      <c r="DG28" t="s">
        <v>122</v>
      </c>
    </row>
    <row r="29" spans="9:111">
      <c r="I29" s="42">
        <v>18</v>
      </c>
      <c r="J29" s="42"/>
      <c r="K29" s="42" t="s">
        <v>42</v>
      </c>
      <c r="L29" s="42">
        <v>600</v>
      </c>
      <c r="M29" s="42"/>
      <c r="N29" s="42"/>
      <c r="O29" s="42"/>
      <c r="P29" s="42"/>
      <c r="Q29" s="42"/>
      <c r="R29" s="42"/>
      <c r="S29" s="42"/>
      <c r="AK29">
        <f>SUM(Table354[[#This Row],[JAN]:[VYAJ2]])</f>
        <v>600</v>
      </c>
      <c r="AL29">
        <v>2000</v>
      </c>
      <c r="AN29">
        <f>Table354[[#This Row],[APR5]]-Table354[[#This Row],[MAY6]]</f>
        <v>0</v>
      </c>
      <c r="AO29" s="55"/>
      <c r="AP29" s="55"/>
      <c r="AQ29" s="55"/>
      <c r="AX29" s="42">
        <v>20</v>
      </c>
      <c r="AY29" s="42"/>
      <c r="AZ29" s="42" t="s">
        <v>44</v>
      </c>
      <c r="BA29" s="42">
        <v>600</v>
      </c>
      <c r="BB29" s="42"/>
      <c r="BC29" s="42"/>
      <c r="BD29" s="42"/>
      <c r="BE29" s="42"/>
      <c r="BF29" s="42"/>
      <c r="BG29" s="42"/>
      <c r="BH29" s="42"/>
      <c r="BZ29">
        <f>SUM(Table3546[[#This Row],[JAN]:[VYAJ2]])</f>
        <v>600</v>
      </c>
      <c r="CA29">
        <v>6000</v>
      </c>
      <c r="CC29">
        <f>Table3546[[#This Row],[APR5]]-Table3546[[#This Row],[MAY6]]</f>
        <v>0</v>
      </c>
      <c r="DA29" s="42" t="s">
        <v>40</v>
      </c>
      <c r="DB29" s="42">
        <v>600</v>
      </c>
      <c r="DC29" s="42"/>
      <c r="DG29" t="s">
        <v>123</v>
      </c>
    </row>
    <row r="30" spans="9:111" ht="15.6">
      <c r="I30" s="42">
        <v>19</v>
      </c>
      <c r="J30" s="42"/>
      <c r="K30" s="42" t="s">
        <v>43</v>
      </c>
      <c r="L30" s="42">
        <v>600</v>
      </c>
      <c r="M30" s="42"/>
      <c r="N30" s="42"/>
      <c r="O30" s="42"/>
      <c r="P30" s="42"/>
      <c r="Q30" s="42"/>
      <c r="R30" s="42"/>
      <c r="S30" s="42"/>
      <c r="AK30">
        <f>SUM(Table354[[#This Row],[JAN]:[VYAJ2]])</f>
        <v>600</v>
      </c>
      <c r="AN30">
        <f>Table354[[#This Row],[APR5]]-Table354[[#This Row],[MAY6]]</f>
        <v>0</v>
      </c>
      <c r="AO30" s="55"/>
      <c r="AP30" s="55"/>
      <c r="AQ30" s="55"/>
      <c r="AX30" s="42">
        <v>21</v>
      </c>
      <c r="AY30" s="42"/>
      <c r="AZ30" s="42" t="s">
        <v>45</v>
      </c>
      <c r="BA30" s="42">
        <v>600</v>
      </c>
      <c r="BB30" s="42"/>
      <c r="BC30" s="42"/>
      <c r="BD30" s="42"/>
      <c r="BE30" s="42"/>
      <c r="BF30" s="42"/>
      <c r="BG30" s="42"/>
      <c r="BH30" s="42"/>
      <c r="BI30" s="52"/>
      <c r="BJ30" s="52"/>
      <c r="BK30" s="52"/>
      <c r="BL30" s="52"/>
      <c r="BM30" s="52"/>
      <c r="BN30" s="52"/>
      <c r="BO30" s="52"/>
      <c r="BP30" s="51"/>
      <c r="BQ30" s="51"/>
      <c r="BR30" s="51"/>
      <c r="BS30" s="51"/>
      <c r="BT30" s="51"/>
      <c r="BU30" s="51"/>
      <c r="BV30" s="51"/>
      <c r="BW30" s="51"/>
      <c r="BX30" s="51"/>
      <c r="BY30" s="60"/>
      <c r="BZ30" s="61">
        <f>SUM(Table3546[[#This Row],[JAN]:[VYAJ2]])</f>
        <v>600</v>
      </c>
      <c r="CA30" s="60"/>
      <c r="CB30" s="60"/>
      <c r="CC30" s="60">
        <f>Table3546[[#This Row],[APR5]]-Table3546[[#This Row],[MAY6]]</f>
        <v>0</v>
      </c>
      <c r="DA30" s="42" t="s">
        <v>41</v>
      </c>
      <c r="DB30" s="42">
        <v>600</v>
      </c>
      <c r="DC30" s="42"/>
      <c r="DG30" t="s">
        <v>124</v>
      </c>
    </row>
    <row r="31" spans="9:111" ht="15.6">
      <c r="I31" s="42">
        <v>20</v>
      </c>
      <c r="J31" s="42"/>
      <c r="K31" s="42" t="s">
        <v>44</v>
      </c>
      <c r="L31" s="42">
        <v>600</v>
      </c>
      <c r="M31" s="42"/>
      <c r="N31" s="42"/>
      <c r="O31" s="42"/>
      <c r="P31" s="42"/>
      <c r="Q31" s="42"/>
      <c r="R31" s="42"/>
      <c r="S31" s="42"/>
      <c r="AK31">
        <f>SUM(Table354[[#This Row],[JAN]:[VYAJ2]])</f>
        <v>600</v>
      </c>
      <c r="AL31">
        <v>6000</v>
      </c>
      <c r="AN31">
        <f>Table354[[#This Row],[APR5]]-Table354[[#This Row],[MAY6]]</f>
        <v>0</v>
      </c>
      <c r="AO31" s="55"/>
      <c r="AP31" s="55"/>
      <c r="AQ31" s="55"/>
      <c r="AX31" s="42">
        <v>22</v>
      </c>
      <c r="AY31" s="42"/>
      <c r="AZ31" s="42" t="s">
        <v>46</v>
      </c>
      <c r="BA31" s="42">
        <v>600</v>
      </c>
      <c r="BB31" s="42"/>
      <c r="BC31" s="42"/>
      <c r="BD31" s="42"/>
      <c r="BE31" s="42"/>
      <c r="BF31" s="42"/>
      <c r="BG31" s="42"/>
      <c r="BH31" s="42"/>
      <c r="BI31" s="53"/>
      <c r="BJ31" s="53"/>
      <c r="BK31" s="53"/>
      <c r="BL31" s="53"/>
      <c r="BM31" s="53"/>
      <c r="BN31" s="53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61"/>
      <c r="BZ31" s="61">
        <f>SUM(Table3546[[#This Row],[JAN]:[VYAJ2]])</f>
        <v>600</v>
      </c>
      <c r="CA31" s="61"/>
      <c r="CB31" s="61"/>
      <c r="CC31" s="61">
        <f>Table3546[[#This Row],[APR5]]-Table3546[[#This Row],[MAY6]]</f>
        <v>0</v>
      </c>
      <c r="DA31" s="42" t="s">
        <v>42</v>
      </c>
      <c r="DB31" s="42">
        <v>600</v>
      </c>
      <c r="DC31" s="42"/>
      <c r="DG31" t="s">
        <v>125</v>
      </c>
    </row>
    <row r="32" spans="9:111" ht="15.6">
      <c r="I32" s="42">
        <v>21</v>
      </c>
      <c r="J32" s="42"/>
      <c r="K32" s="42" t="s">
        <v>45</v>
      </c>
      <c r="L32" s="42">
        <v>600</v>
      </c>
      <c r="M32" s="42"/>
      <c r="N32" s="42"/>
      <c r="O32" s="42"/>
      <c r="P32" s="42"/>
      <c r="Q32" s="42"/>
      <c r="R32" s="42"/>
      <c r="S32" s="42"/>
      <c r="T32" s="52"/>
      <c r="U32" s="52"/>
      <c r="V32" s="52"/>
      <c r="W32" s="52"/>
      <c r="X32" s="52"/>
      <c r="Y32" s="52"/>
      <c r="Z32" s="52"/>
      <c r="AA32" s="51"/>
      <c r="AB32" s="51"/>
      <c r="AC32" s="51"/>
      <c r="AD32" s="51"/>
      <c r="AE32" s="51"/>
      <c r="AF32" s="51"/>
      <c r="AG32" s="51"/>
      <c r="AH32" s="51"/>
      <c r="AI32" s="51"/>
      <c r="AJ32" s="60"/>
      <c r="AK32" s="61">
        <f>SUM(Table354[[#This Row],[JAN]:[VYAJ2]])</f>
        <v>600</v>
      </c>
      <c r="AL32" s="60"/>
      <c r="AM32" s="60"/>
      <c r="AN32" s="60">
        <f>Table354[[#This Row],[APR5]]-Table354[[#This Row],[MAY6]]</f>
        <v>0</v>
      </c>
      <c r="AO32" s="55"/>
      <c r="AP32" s="55"/>
      <c r="AQ32" s="55"/>
      <c r="AX32" s="42">
        <v>23</v>
      </c>
      <c r="AY32" s="42"/>
      <c r="AZ32" s="42" t="s">
        <v>47</v>
      </c>
      <c r="BA32" s="42">
        <v>600</v>
      </c>
      <c r="BB32" s="42"/>
      <c r="BC32" s="42"/>
      <c r="BD32" s="42"/>
      <c r="BE32" s="42"/>
      <c r="BF32" s="42"/>
      <c r="BG32" s="42"/>
      <c r="BH32" s="42"/>
      <c r="BI32" s="51"/>
      <c r="BJ32" s="51"/>
      <c r="BK32" s="51"/>
      <c r="BL32" s="51"/>
      <c r="BM32" s="51"/>
      <c r="BN32" s="51"/>
      <c r="BO32" s="52"/>
      <c r="BP32" s="51"/>
      <c r="BQ32" s="51"/>
      <c r="BR32" s="51"/>
      <c r="BS32" s="51"/>
      <c r="BT32" s="51"/>
      <c r="BU32" s="51"/>
      <c r="BV32" s="51"/>
      <c r="BW32" s="51"/>
      <c r="BX32" s="51"/>
      <c r="BY32" s="60"/>
      <c r="BZ32" s="61">
        <f>SUM(Table3546[[#This Row],[JAN]:[VYAJ2]])</f>
        <v>600</v>
      </c>
      <c r="CA32" s="60"/>
      <c r="CB32" s="60"/>
      <c r="CC32" s="60">
        <f>Table3546[[#This Row],[APR5]]-Table3546[[#This Row],[MAY6]]</f>
        <v>0</v>
      </c>
      <c r="DA32" s="42" t="s">
        <v>43</v>
      </c>
      <c r="DB32" s="42">
        <v>600</v>
      </c>
      <c r="DC32" s="42"/>
      <c r="DG32" t="s">
        <v>126</v>
      </c>
    </row>
    <row r="33" spans="9:111" ht="15.6">
      <c r="I33" s="42">
        <v>22</v>
      </c>
      <c r="J33" s="42"/>
      <c r="K33" s="42" t="s">
        <v>46</v>
      </c>
      <c r="L33" s="42">
        <v>600</v>
      </c>
      <c r="M33" s="42"/>
      <c r="N33" s="42"/>
      <c r="O33" s="42"/>
      <c r="P33" s="42"/>
      <c r="Q33" s="42"/>
      <c r="R33" s="42"/>
      <c r="S33" s="42"/>
      <c r="T33" s="53"/>
      <c r="U33" s="53"/>
      <c r="V33" s="53"/>
      <c r="W33" s="53"/>
      <c r="X33" s="53"/>
      <c r="Y33" s="53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61"/>
      <c r="AK33" s="61">
        <f>SUM(Table354[[#This Row],[JAN]:[VYAJ2]])</f>
        <v>600</v>
      </c>
      <c r="AL33" s="61"/>
      <c r="AM33" s="61"/>
      <c r="AN33" s="61">
        <f>Table354[[#This Row],[APR5]]-Table354[[#This Row],[MAY6]]</f>
        <v>0</v>
      </c>
      <c r="AO33" s="55"/>
      <c r="AP33" s="55"/>
      <c r="AQ33" s="55"/>
      <c r="AX33" s="42">
        <v>32</v>
      </c>
      <c r="AY33" s="42"/>
      <c r="AZ33" s="42" t="s">
        <v>64</v>
      </c>
      <c r="BA33" s="42">
        <v>600</v>
      </c>
      <c r="BB33" s="42"/>
      <c r="BC33" s="42"/>
      <c r="BD33" s="42"/>
      <c r="BE33" s="42"/>
      <c r="BF33" s="42"/>
      <c r="BG33" s="42"/>
      <c r="BH33" s="4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61"/>
      <c r="BZ33" s="61">
        <f>SUM(Table3546[[#This Row],[JAN]:[VYAJ2]])</f>
        <v>600</v>
      </c>
      <c r="CA33" s="61"/>
      <c r="CB33" s="61"/>
      <c r="CC33" s="61">
        <f>Table3546[[#This Row],[APR5]]-Table3546[[#This Row],[MAY6]]</f>
        <v>0</v>
      </c>
      <c r="DA33" s="42" t="s">
        <v>44</v>
      </c>
      <c r="DB33" s="42">
        <v>600</v>
      </c>
      <c r="DC33" s="42"/>
      <c r="DG33" t="s">
        <v>127</v>
      </c>
    </row>
    <row r="34" spans="9:111" ht="15.6">
      <c r="I34" s="42">
        <v>23</v>
      </c>
      <c r="J34" s="42"/>
      <c r="K34" s="42" t="s">
        <v>47</v>
      </c>
      <c r="L34" s="42">
        <v>600</v>
      </c>
      <c r="M34" s="42"/>
      <c r="N34" s="42"/>
      <c r="O34" s="42"/>
      <c r="P34" s="42"/>
      <c r="Q34" s="42"/>
      <c r="R34" s="42"/>
      <c r="S34" s="42"/>
      <c r="T34" s="51"/>
      <c r="U34" s="51"/>
      <c r="V34" s="51"/>
      <c r="W34" s="51"/>
      <c r="X34" s="51"/>
      <c r="Y34" s="51"/>
      <c r="Z34" s="52"/>
      <c r="AA34" s="51"/>
      <c r="AB34" s="51"/>
      <c r="AC34" s="51"/>
      <c r="AD34" s="51"/>
      <c r="AE34" s="51"/>
      <c r="AF34" s="51"/>
      <c r="AG34" s="51"/>
      <c r="AH34" s="51"/>
      <c r="AI34" s="51"/>
      <c r="AJ34" s="60"/>
      <c r="AK34" s="61">
        <f>SUM(Table354[[#This Row],[JAN]:[VYAJ2]])</f>
        <v>600</v>
      </c>
      <c r="AL34" s="60"/>
      <c r="AM34" s="60"/>
      <c r="AN34" s="60">
        <f>Table354[[#This Row],[APR5]]-Table354[[#This Row],[MAY6]]</f>
        <v>0</v>
      </c>
      <c r="AO34" s="55"/>
      <c r="AP34" s="55"/>
      <c r="AQ34" s="55"/>
      <c r="AX34" s="42">
        <v>5</v>
      </c>
      <c r="AY34" s="42"/>
      <c r="AZ34" s="42" t="s">
        <v>61</v>
      </c>
      <c r="BA34" s="42">
        <v>1000</v>
      </c>
      <c r="BB34" s="42"/>
      <c r="BC34" s="42"/>
      <c r="BD34" s="42"/>
      <c r="BE34" s="42"/>
      <c r="BF34" s="42"/>
      <c r="BG34" s="42"/>
      <c r="BH34" s="42"/>
      <c r="BI34" s="51"/>
      <c r="BJ34" s="51"/>
      <c r="BK34" s="51"/>
      <c r="BL34" s="51"/>
      <c r="BM34" s="51"/>
      <c r="BN34" s="51"/>
      <c r="BO34" s="52"/>
      <c r="BP34" s="51"/>
      <c r="BQ34" s="51"/>
      <c r="BR34" s="51"/>
      <c r="BS34" s="51"/>
      <c r="BT34" s="51"/>
      <c r="BU34" s="51"/>
      <c r="BV34" s="51"/>
      <c r="BW34" s="51"/>
      <c r="BX34" s="51"/>
      <c r="BY34" s="60"/>
      <c r="BZ34" s="61">
        <f>SUM(Table3546[[#This Row],[JAN]:[VYAJ2]])</f>
        <v>1000</v>
      </c>
      <c r="CA34" s="60"/>
      <c r="CB34" s="60"/>
      <c r="CC34" s="60">
        <f>Table3546[[#This Row],[APR5]]-Table3546[[#This Row],[MAY6]]</f>
        <v>0</v>
      </c>
      <c r="DA34" s="42" t="s">
        <v>45</v>
      </c>
      <c r="DB34" s="42">
        <v>600</v>
      </c>
      <c r="DC34" s="42"/>
      <c r="DG34" t="s">
        <v>128</v>
      </c>
    </row>
    <row r="35" spans="9:111" ht="15.6">
      <c r="I35" s="42">
        <v>32</v>
      </c>
      <c r="J35" s="42"/>
      <c r="K35" s="42" t="s">
        <v>64</v>
      </c>
      <c r="L35" s="42">
        <v>600</v>
      </c>
      <c r="M35" s="42"/>
      <c r="N35" s="42"/>
      <c r="O35" s="42"/>
      <c r="P35" s="42"/>
      <c r="Q35" s="42"/>
      <c r="R35" s="42"/>
      <c r="S35" s="4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61"/>
      <c r="AK35" s="61">
        <f>SUM(Table354[[#This Row],[JAN]:[VYAJ2]])</f>
        <v>600</v>
      </c>
      <c r="AL35" s="61"/>
      <c r="AM35" s="61"/>
      <c r="AN35" s="61">
        <f>Table354[[#This Row],[APR5]]-Table354[[#This Row],[MAY6]]</f>
        <v>0</v>
      </c>
      <c r="AO35" s="55"/>
      <c r="AP35" s="55"/>
      <c r="AQ35" s="55"/>
      <c r="AX35" s="42">
        <v>6</v>
      </c>
      <c r="AY35" s="42"/>
      <c r="AZ35" s="42" t="s">
        <v>33</v>
      </c>
      <c r="BA35" s="42">
        <v>1000</v>
      </c>
      <c r="BB35" s="42"/>
      <c r="BC35" s="42"/>
      <c r="BD35" s="42"/>
      <c r="BE35" s="42"/>
      <c r="BF35" s="42"/>
      <c r="BG35" s="42"/>
      <c r="BH35" s="4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61"/>
      <c r="BZ35" s="61">
        <f>SUM(Table3546[[#This Row],[JAN]:[VYAJ2]])</f>
        <v>1000</v>
      </c>
      <c r="CA35" s="61">
        <v>10000</v>
      </c>
      <c r="CB35" s="61"/>
      <c r="CC35" s="61">
        <f>Table3546[[#This Row],[APR5]]-Table3546[[#This Row],[MAY6]]</f>
        <v>0</v>
      </c>
      <c r="DA35" s="42" t="s">
        <v>46</v>
      </c>
      <c r="DB35" s="42">
        <v>600</v>
      </c>
      <c r="DC35" s="42"/>
      <c r="DG35" t="s">
        <v>129</v>
      </c>
    </row>
    <row r="36" spans="9:111" ht="15.6">
      <c r="I36" s="42">
        <v>5</v>
      </c>
      <c r="J36" s="42"/>
      <c r="K36" s="42" t="s">
        <v>61</v>
      </c>
      <c r="L36" s="42">
        <v>1000</v>
      </c>
      <c r="M36" s="42"/>
      <c r="N36" s="42"/>
      <c r="O36" s="42"/>
      <c r="P36" s="42"/>
      <c r="Q36" s="42"/>
      <c r="R36" s="42"/>
      <c r="S36" s="42"/>
      <c r="T36" s="51"/>
      <c r="U36" s="51"/>
      <c r="V36" s="51"/>
      <c r="W36" s="51"/>
      <c r="X36" s="51"/>
      <c r="Y36" s="51"/>
      <c r="Z36" s="52"/>
      <c r="AA36" s="51"/>
      <c r="AB36" s="51"/>
      <c r="AC36" s="51"/>
      <c r="AD36" s="51"/>
      <c r="AE36" s="51"/>
      <c r="AF36" s="51"/>
      <c r="AG36" s="51"/>
      <c r="AH36" s="51"/>
      <c r="AI36" s="51"/>
      <c r="AJ36" s="60"/>
      <c r="AK36" s="61">
        <f>SUM(Table354[[#This Row],[JAN]:[VYAJ2]])</f>
        <v>1000</v>
      </c>
      <c r="AL36" s="60"/>
      <c r="AM36" s="60"/>
      <c r="AN36" s="60">
        <f>Table354[[#This Row],[APR5]]-Table354[[#This Row],[MAY6]]</f>
        <v>0</v>
      </c>
      <c r="AO36" s="55"/>
      <c r="AP36" s="55"/>
      <c r="AQ36" s="55"/>
      <c r="AX36" s="42">
        <v>7</v>
      </c>
      <c r="AY36" s="42"/>
      <c r="AZ36" s="42" t="s">
        <v>34</v>
      </c>
      <c r="BA36" s="42">
        <v>1000</v>
      </c>
      <c r="BB36" s="42"/>
      <c r="BC36" s="42"/>
      <c r="BD36" s="42"/>
      <c r="BE36" s="42"/>
      <c r="BF36" s="42"/>
      <c r="BG36" s="42"/>
      <c r="BH36" s="42"/>
      <c r="BI36" s="100"/>
      <c r="BJ36" s="100"/>
      <c r="BK36" s="100"/>
      <c r="BL36" s="100"/>
      <c r="BM36" s="100"/>
      <c r="BN36" s="100"/>
      <c r="BO36" s="52"/>
      <c r="BP36" s="51"/>
      <c r="BQ36" s="51"/>
      <c r="BR36" s="51"/>
      <c r="BS36" s="51"/>
      <c r="BT36" s="51"/>
      <c r="BU36" s="51"/>
      <c r="BV36" s="51"/>
      <c r="BW36" s="51"/>
      <c r="BX36" s="51"/>
      <c r="BY36" s="60"/>
      <c r="BZ36" s="61">
        <f>SUM(Table3546[[#This Row],[JAN]:[VYAJ2]])</f>
        <v>1000</v>
      </c>
      <c r="CA36" s="60"/>
      <c r="CB36" s="60"/>
      <c r="CC36" s="60">
        <f>Table3546[[#This Row],[APR5]]-Table3546[[#This Row],[MAY6]]</f>
        <v>0</v>
      </c>
      <c r="DA36" s="42" t="s">
        <v>47</v>
      </c>
      <c r="DB36" s="42">
        <v>600</v>
      </c>
      <c r="DC36" s="42"/>
      <c r="DG36" t="s">
        <v>130</v>
      </c>
    </row>
    <row r="37" spans="9:111" ht="15.6">
      <c r="I37" s="42">
        <v>6</v>
      </c>
      <c r="J37" s="42"/>
      <c r="K37" s="42" t="s">
        <v>33</v>
      </c>
      <c r="L37" s="42">
        <v>1000</v>
      </c>
      <c r="M37" s="42"/>
      <c r="N37" s="42"/>
      <c r="O37" s="42"/>
      <c r="P37" s="42"/>
      <c r="Q37" s="42"/>
      <c r="R37" s="42"/>
      <c r="S37" s="4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61"/>
      <c r="AK37" s="61">
        <f>SUM(Table354[[#This Row],[JAN]:[VYAJ2]])</f>
        <v>1000</v>
      </c>
      <c r="AL37" s="61">
        <v>10000</v>
      </c>
      <c r="AM37" s="61"/>
      <c r="AN37" s="61">
        <f>Table354[[#This Row],[APR5]]-Table354[[#This Row],[MAY6]]</f>
        <v>0</v>
      </c>
      <c r="AO37" s="55"/>
      <c r="AP37" s="55"/>
      <c r="AQ37" s="55"/>
      <c r="AX37" s="42">
        <v>8</v>
      </c>
      <c r="AY37" s="42"/>
      <c r="AZ37" s="42" t="s">
        <v>35</v>
      </c>
      <c r="BA37" s="42">
        <v>1000</v>
      </c>
      <c r="BB37" s="42"/>
      <c r="BC37" s="42"/>
      <c r="BD37" s="42"/>
      <c r="BE37" s="42"/>
      <c r="BF37" s="42"/>
      <c r="BG37" s="42"/>
      <c r="BH37" s="4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61"/>
      <c r="BZ37" s="61">
        <f>SUM(Table3546[[#This Row],[JAN]:[VYAJ2]])</f>
        <v>1000</v>
      </c>
      <c r="CA37" s="61"/>
      <c r="CB37" s="61"/>
      <c r="CC37" s="61">
        <f>Table3546[[#This Row],[APR5]]-Table3546[[#This Row],[MAY6]]</f>
        <v>0</v>
      </c>
      <c r="DA37" s="42" t="s">
        <v>64</v>
      </c>
      <c r="DB37" s="42">
        <v>600</v>
      </c>
      <c r="DC37" s="42"/>
      <c r="DG37" t="s">
        <v>131</v>
      </c>
    </row>
    <row r="38" spans="9:111" ht="15.6">
      <c r="I38" s="42">
        <v>7</v>
      </c>
      <c r="J38" s="42"/>
      <c r="K38" s="42" t="s">
        <v>34</v>
      </c>
      <c r="L38" s="42">
        <v>1000</v>
      </c>
      <c r="M38" s="42"/>
      <c r="N38" s="42"/>
      <c r="O38" s="42"/>
      <c r="P38" s="42"/>
      <c r="Q38" s="42"/>
      <c r="R38" s="42"/>
      <c r="S38" s="42"/>
      <c r="T38" s="100"/>
      <c r="U38" s="100"/>
      <c r="V38" s="100"/>
      <c r="W38" s="100"/>
      <c r="X38" s="100"/>
      <c r="Y38" s="100"/>
      <c r="Z38" s="52"/>
      <c r="AA38" s="51"/>
      <c r="AB38" s="51"/>
      <c r="AC38" s="51"/>
      <c r="AD38" s="51"/>
      <c r="AE38" s="51"/>
      <c r="AF38" s="51"/>
      <c r="AG38" s="51"/>
      <c r="AH38" s="51"/>
      <c r="AI38" s="51"/>
      <c r="AJ38" s="60"/>
      <c r="AK38" s="61">
        <f>SUM(Table354[[#This Row],[JAN]:[VYAJ2]])</f>
        <v>1000</v>
      </c>
      <c r="AL38" s="60"/>
      <c r="AM38" s="60"/>
      <c r="AN38" s="60">
        <f>Table354[[#This Row],[APR5]]-Table354[[#This Row],[MAY6]]</f>
        <v>0</v>
      </c>
      <c r="AO38" s="55"/>
      <c r="AP38" s="55"/>
      <c r="AQ38" s="55"/>
      <c r="AX38" s="42">
        <v>9</v>
      </c>
      <c r="AY38" s="42"/>
      <c r="AZ38" s="42" t="s">
        <v>36</v>
      </c>
      <c r="BA38" s="42">
        <v>1000</v>
      </c>
      <c r="BB38" s="42"/>
      <c r="BC38" s="42"/>
      <c r="BD38" s="42"/>
      <c r="BE38" s="42"/>
      <c r="BF38" s="42"/>
      <c r="BG38" s="42"/>
      <c r="BH38" s="42"/>
      <c r="BI38" s="51"/>
      <c r="BJ38" s="51"/>
      <c r="BK38" s="51"/>
      <c r="BL38" s="51"/>
      <c r="BM38" s="51"/>
      <c r="BN38" s="51"/>
      <c r="BO38" s="52"/>
      <c r="BP38" s="51"/>
      <c r="BQ38" s="51"/>
      <c r="BR38" s="51"/>
      <c r="BS38" s="51"/>
      <c r="BT38" s="51"/>
      <c r="BU38" s="51"/>
      <c r="BV38" s="51"/>
      <c r="BW38" s="51"/>
      <c r="BX38" s="51"/>
      <c r="BY38" s="60"/>
      <c r="BZ38" s="61">
        <f>SUM(Table3546[[#This Row],[JAN]:[VYAJ2]])</f>
        <v>1000</v>
      </c>
      <c r="CA38" s="60"/>
      <c r="CB38" s="60"/>
      <c r="CC38" s="60">
        <f>Table3546[[#This Row],[APR5]]-Table3546[[#This Row],[MAY6]]</f>
        <v>0</v>
      </c>
      <c r="DA38" s="42" t="s">
        <v>61</v>
      </c>
      <c r="DB38" s="42">
        <v>1000</v>
      </c>
      <c r="DC38" s="42"/>
      <c r="DG38" t="s">
        <v>132</v>
      </c>
    </row>
    <row r="39" spans="9:111" ht="15.6">
      <c r="I39" s="42">
        <v>8</v>
      </c>
      <c r="J39" s="42"/>
      <c r="K39" s="42" t="s">
        <v>35</v>
      </c>
      <c r="L39" s="42">
        <v>1000</v>
      </c>
      <c r="M39" s="42"/>
      <c r="N39" s="42"/>
      <c r="O39" s="42"/>
      <c r="P39" s="42"/>
      <c r="Q39" s="42"/>
      <c r="R39" s="42"/>
      <c r="S39" s="4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61"/>
      <c r="AK39" s="61">
        <f>SUM(Table354[[#This Row],[JAN]:[VYAJ2]])</f>
        <v>1000</v>
      </c>
      <c r="AL39" s="61"/>
      <c r="AM39" s="61"/>
      <c r="AN39" s="61">
        <f>Table354[[#This Row],[APR5]]-Table354[[#This Row],[MAY6]]</f>
        <v>0</v>
      </c>
      <c r="AO39" s="55"/>
      <c r="AP39" s="55"/>
      <c r="AQ39" s="55"/>
      <c r="AX39" s="42">
        <v>10</v>
      </c>
      <c r="AY39" s="42"/>
      <c r="AZ39" s="42" t="s">
        <v>37</v>
      </c>
      <c r="BA39" s="42">
        <v>1000</v>
      </c>
      <c r="BB39" s="42"/>
      <c r="BC39" s="42"/>
      <c r="BD39" s="42"/>
      <c r="BE39" s="42"/>
      <c r="BF39" s="42"/>
      <c r="BG39" s="42"/>
      <c r="BH39" s="4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61"/>
      <c r="BZ39" s="61">
        <f>SUM(Table3546[[#This Row],[JAN]:[VYAJ2]])</f>
        <v>1000</v>
      </c>
      <c r="CA39" s="61"/>
      <c r="CB39" s="61"/>
      <c r="CC39" s="61">
        <f>Table3546[[#This Row],[APR5]]-Table3546[[#This Row],[MAY6]]</f>
        <v>0</v>
      </c>
      <c r="DA39" s="42" t="s">
        <v>33</v>
      </c>
      <c r="DB39" s="42">
        <v>1000</v>
      </c>
      <c r="DC39" s="42"/>
      <c r="DG39" t="s">
        <v>133</v>
      </c>
    </row>
    <row r="40" spans="9:111" ht="15.6">
      <c r="I40" s="42">
        <v>9</v>
      </c>
      <c r="J40" s="42"/>
      <c r="K40" s="42" t="s">
        <v>36</v>
      </c>
      <c r="L40" s="42">
        <v>1000</v>
      </c>
      <c r="M40" s="42"/>
      <c r="N40" s="42"/>
      <c r="O40" s="42"/>
      <c r="P40" s="42"/>
      <c r="Q40" s="42"/>
      <c r="R40" s="42"/>
      <c r="S40" s="42"/>
      <c r="T40" s="51"/>
      <c r="U40" s="51"/>
      <c r="V40" s="51"/>
      <c r="W40" s="51"/>
      <c r="X40" s="51"/>
      <c r="Y40" s="51"/>
      <c r="Z40" s="52"/>
      <c r="AA40" s="51"/>
      <c r="AB40" s="51"/>
      <c r="AC40" s="51"/>
      <c r="AD40" s="51"/>
      <c r="AE40" s="51"/>
      <c r="AF40" s="51"/>
      <c r="AG40" s="51"/>
      <c r="AH40" s="51"/>
      <c r="AI40" s="51"/>
      <c r="AJ40" s="60"/>
      <c r="AK40" s="61">
        <f>SUM(Table354[[#This Row],[JAN]:[VYAJ2]])</f>
        <v>1000</v>
      </c>
      <c r="AL40" s="60"/>
      <c r="AM40" s="60"/>
      <c r="AN40" s="60">
        <f>Table354[[#This Row],[APR5]]-Table354[[#This Row],[MAY6]]</f>
        <v>0</v>
      </c>
      <c r="AO40" s="55"/>
      <c r="AP40" s="55"/>
      <c r="AQ40" s="55"/>
      <c r="AX40" s="42">
        <v>11</v>
      </c>
      <c r="AY40" s="42"/>
      <c r="AZ40" s="42" t="s">
        <v>22</v>
      </c>
      <c r="BA40" s="42">
        <v>1000</v>
      </c>
      <c r="BB40" s="42"/>
      <c r="BC40" s="42"/>
      <c r="BD40" s="42"/>
      <c r="BE40" s="42"/>
      <c r="BF40" s="42"/>
      <c r="BG40" s="42"/>
      <c r="BH40" s="42"/>
      <c r="BI40" s="52"/>
      <c r="BJ40" s="52"/>
      <c r="BK40" s="52"/>
      <c r="BL40" s="52"/>
      <c r="BM40" s="52"/>
      <c r="BN40" s="52"/>
      <c r="BO40" s="52"/>
      <c r="BP40" s="51"/>
      <c r="BQ40" s="51"/>
      <c r="BR40" s="51"/>
      <c r="BS40" s="51"/>
      <c r="BT40" s="51"/>
      <c r="BU40" s="51"/>
      <c r="BV40" s="51"/>
      <c r="BW40" s="51"/>
      <c r="BX40" s="51"/>
      <c r="BY40" s="60"/>
      <c r="BZ40" s="61">
        <f>SUM(Table3546[[#This Row],[JAN]:[VYAJ2]])</f>
        <v>1000</v>
      </c>
      <c r="CA40" s="60"/>
      <c r="CB40" s="60"/>
      <c r="CC40" s="60">
        <f>Table3546[[#This Row],[APR5]]-Table3546[[#This Row],[MAY6]]</f>
        <v>0</v>
      </c>
      <c r="DA40" s="42" t="s">
        <v>34</v>
      </c>
      <c r="DB40" s="42">
        <v>1000</v>
      </c>
      <c r="DC40" s="42"/>
      <c r="DG40" t="s">
        <v>134</v>
      </c>
    </row>
    <row r="41" spans="9:111" ht="15.6">
      <c r="I41" s="42">
        <v>10</v>
      </c>
      <c r="J41" s="42"/>
      <c r="K41" s="42" t="s">
        <v>37</v>
      </c>
      <c r="L41" s="42">
        <v>1000</v>
      </c>
      <c r="M41" s="42"/>
      <c r="N41" s="42"/>
      <c r="O41" s="42"/>
      <c r="P41" s="42"/>
      <c r="Q41" s="42"/>
      <c r="R41" s="42"/>
      <c r="S41" s="4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61"/>
      <c r="AK41" s="61">
        <f>SUM(Table354[[#This Row],[JAN]:[VYAJ2]])</f>
        <v>1000</v>
      </c>
      <c r="AL41" s="61"/>
      <c r="AM41" s="61"/>
      <c r="AN41" s="61">
        <f>Table354[[#This Row],[APR5]]-Table354[[#This Row],[MAY6]]</f>
        <v>0</v>
      </c>
      <c r="AO41" s="55"/>
      <c r="AP41" s="55"/>
      <c r="AQ41" s="55"/>
      <c r="AX41" s="42">
        <v>12</v>
      </c>
      <c r="AY41" s="42"/>
      <c r="AZ41" s="42" t="s">
        <v>55</v>
      </c>
      <c r="BA41" s="42">
        <v>1000</v>
      </c>
      <c r="BB41" s="42"/>
      <c r="BC41" s="42"/>
      <c r="BD41" s="42"/>
      <c r="BE41" s="42"/>
      <c r="BF41" s="42"/>
      <c r="BG41" s="42"/>
      <c r="BH41" s="42"/>
      <c r="BI41" s="52"/>
      <c r="BJ41" s="52"/>
      <c r="BK41" s="52"/>
      <c r="BL41" s="52"/>
      <c r="BM41" s="52"/>
      <c r="BN41" s="52"/>
      <c r="BO41" s="52"/>
      <c r="BP41" s="52"/>
      <c r="BQ41" s="52"/>
      <c r="BR41" s="63"/>
      <c r="BS41" s="64"/>
      <c r="BT41" s="52"/>
      <c r="BU41" s="52"/>
      <c r="BV41" s="52"/>
      <c r="BW41" s="52"/>
      <c r="BX41" s="52"/>
      <c r="BY41" s="61"/>
      <c r="BZ41" s="61">
        <f>SUM(Table3546[[#This Row],[JAN]:[VYAJ2]])</f>
        <v>1000</v>
      </c>
      <c r="CA41" s="61"/>
      <c r="CB41" s="61"/>
      <c r="CC41" s="65">
        <f>Table3546[[#This Row],[APR5]]-Table3546[[#This Row],[MAY6]]</f>
        <v>0</v>
      </c>
      <c r="DA41" s="42" t="s">
        <v>35</v>
      </c>
      <c r="DB41" s="42">
        <v>1000</v>
      </c>
      <c r="DC41" s="42"/>
      <c r="DG41" t="s">
        <v>135</v>
      </c>
    </row>
    <row r="42" spans="9:111" ht="15.6">
      <c r="I42" s="42">
        <v>11</v>
      </c>
      <c r="J42" s="42"/>
      <c r="K42" s="42" t="s">
        <v>22</v>
      </c>
      <c r="L42" s="42">
        <v>1000</v>
      </c>
      <c r="M42" s="42"/>
      <c r="N42" s="42"/>
      <c r="O42" s="42"/>
      <c r="P42" s="42"/>
      <c r="Q42" s="42"/>
      <c r="R42" s="42"/>
      <c r="S42" s="42"/>
      <c r="T42" s="52"/>
      <c r="U42" s="52"/>
      <c r="V42" s="52"/>
      <c r="W42" s="52"/>
      <c r="X42" s="52"/>
      <c r="Y42" s="52"/>
      <c r="Z42" s="52"/>
      <c r="AA42" s="51"/>
      <c r="AB42" s="51"/>
      <c r="AC42" s="51"/>
      <c r="AD42" s="51"/>
      <c r="AE42" s="51"/>
      <c r="AF42" s="51"/>
      <c r="AG42" s="51"/>
      <c r="AH42" s="51"/>
      <c r="AI42" s="51"/>
      <c r="AJ42" s="60"/>
      <c r="AK42" s="61">
        <f>SUM(Table354[[#This Row],[JAN]:[VYAJ2]])</f>
        <v>1000</v>
      </c>
      <c r="AL42" s="60"/>
      <c r="AM42" s="60"/>
      <c r="AN42" s="60">
        <f>Table354[[#This Row],[APR5]]-Table354[[#This Row],[MAY6]]</f>
        <v>0</v>
      </c>
      <c r="AX42">
        <v>13</v>
      </c>
      <c r="AZ42" t="s">
        <v>56</v>
      </c>
      <c r="BA42">
        <v>1000</v>
      </c>
      <c r="BI42" s="52"/>
      <c r="BJ42" s="52"/>
      <c r="BK42" s="52"/>
      <c r="BL42" s="52"/>
      <c r="BM42" s="52"/>
      <c r="BN42" s="52"/>
      <c r="BO42" s="52"/>
      <c r="BP42" s="51"/>
      <c r="BQ42" s="51"/>
      <c r="BR42" s="66"/>
      <c r="BS42" s="67"/>
      <c r="BT42" s="51"/>
      <c r="BU42" s="51"/>
      <c r="BV42" s="51"/>
      <c r="BW42" s="51"/>
      <c r="BX42" s="51"/>
      <c r="BY42" s="60"/>
      <c r="BZ42" s="61">
        <f>SUM(Table3546[[#This Row],[JAN]:[VYAJ2]])</f>
        <v>1000</v>
      </c>
      <c r="CA42" s="60"/>
      <c r="CB42" s="60"/>
      <c r="CC42" s="68">
        <f>Table3546[[#This Row],[APR5]]-Table3546[[#This Row],[MAY6]]</f>
        <v>0</v>
      </c>
      <c r="DA42" s="42" t="s">
        <v>36</v>
      </c>
      <c r="DB42" s="42">
        <v>1000</v>
      </c>
      <c r="DC42" s="42"/>
      <c r="DG42" t="s">
        <v>136</v>
      </c>
    </row>
    <row r="43" spans="9:111" ht="15.6">
      <c r="I43" s="42">
        <v>12</v>
      </c>
      <c r="J43" s="42"/>
      <c r="K43" s="42" t="s">
        <v>55</v>
      </c>
      <c r="L43" s="42">
        <v>1000</v>
      </c>
      <c r="M43" s="42"/>
      <c r="N43" s="42"/>
      <c r="O43" s="42"/>
      <c r="P43" s="42"/>
      <c r="Q43" s="42"/>
      <c r="R43" s="42"/>
      <c r="S43" s="42"/>
      <c r="T43" s="52"/>
      <c r="U43" s="52"/>
      <c r="V43" s="52"/>
      <c r="W43" s="52"/>
      <c r="X43" s="52"/>
      <c r="Y43" s="52"/>
      <c r="Z43" s="52"/>
      <c r="AA43" s="52"/>
      <c r="AB43" s="52"/>
      <c r="AC43" s="63"/>
      <c r="AD43" s="64"/>
      <c r="AE43" s="52"/>
      <c r="AF43" s="52"/>
      <c r="AG43" s="52"/>
      <c r="AH43" s="52"/>
      <c r="AI43" s="52"/>
      <c r="AJ43" s="61"/>
      <c r="AK43" s="61">
        <f>SUM(Table354[[#This Row],[JAN]:[VYAJ2]])</f>
        <v>1000</v>
      </c>
      <c r="AL43" s="61"/>
      <c r="AM43" s="61"/>
      <c r="AN43" s="65">
        <f>Table354[[#This Row],[APR5]]-Table354[[#This Row],[MAY6]]</f>
        <v>0</v>
      </c>
      <c r="AX43">
        <v>14</v>
      </c>
      <c r="AZ43" t="s">
        <v>57</v>
      </c>
      <c r="BA43">
        <v>1000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63"/>
      <c r="BS43" s="64"/>
      <c r="BT43" s="52"/>
      <c r="BU43" s="52"/>
      <c r="BV43" s="52"/>
      <c r="BW43" s="52"/>
      <c r="BX43" s="52"/>
      <c r="BY43" s="61"/>
      <c r="BZ43" s="61">
        <f>SUM(Table3546[[#This Row],[JAN]:[VYAJ2]])</f>
        <v>1000</v>
      </c>
      <c r="CA43" s="61"/>
      <c r="CB43" s="61"/>
      <c r="CC43" s="65">
        <f>Table3546[[#This Row],[APR5]]-Table3546[[#This Row],[MAY6]]</f>
        <v>0</v>
      </c>
      <c r="DA43" s="42" t="s">
        <v>37</v>
      </c>
      <c r="DB43" s="42">
        <v>1000</v>
      </c>
      <c r="DC43" s="42"/>
      <c r="DG43" t="s">
        <v>137</v>
      </c>
    </row>
    <row r="44" spans="9:111" ht="15.6">
      <c r="I44">
        <v>13</v>
      </c>
      <c r="K44" s="42" t="s">
        <v>56</v>
      </c>
      <c r="L44">
        <v>1000</v>
      </c>
      <c r="T44" s="52"/>
      <c r="U44" s="52"/>
      <c r="V44" s="52"/>
      <c r="W44" s="52"/>
      <c r="X44" s="52"/>
      <c r="Y44" s="52"/>
      <c r="Z44" s="52"/>
      <c r="AA44" s="51"/>
      <c r="AB44" s="51"/>
      <c r="AC44" s="66"/>
      <c r="AD44" s="67"/>
      <c r="AE44" s="51"/>
      <c r="AF44" s="51"/>
      <c r="AG44" s="51"/>
      <c r="AH44" s="51"/>
      <c r="AI44" s="51"/>
      <c r="AJ44" s="60"/>
      <c r="AK44" s="61">
        <f>SUM(Table354[[#This Row],[JAN]:[VYAJ2]])</f>
        <v>1000</v>
      </c>
      <c r="AL44" s="60"/>
      <c r="AM44" s="60"/>
      <c r="AN44" s="68">
        <f>Table354[[#This Row],[APR5]]-Table354[[#This Row],[MAY6]]</f>
        <v>0</v>
      </c>
      <c r="AX44">
        <v>33</v>
      </c>
      <c r="AZ44" t="s">
        <v>65</v>
      </c>
      <c r="BA44">
        <v>1000</v>
      </c>
      <c r="BI44" s="52"/>
      <c r="BJ44" s="52"/>
      <c r="BK44" s="52"/>
      <c r="BL44" s="52"/>
      <c r="BM44" s="52"/>
      <c r="BN44" s="52"/>
      <c r="BO44" s="52"/>
      <c r="BP44" s="52"/>
      <c r="BQ44" s="52"/>
      <c r="BR44" s="63"/>
      <c r="BS44" s="64"/>
      <c r="BT44" s="52"/>
      <c r="BU44" s="52"/>
      <c r="BV44" s="52"/>
      <c r="BW44" s="52"/>
      <c r="BX44" s="52"/>
      <c r="BY44" s="61"/>
      <c r="BZ44" s="61">
        <f>SUM(Table3546[[#This Row],[JAN]:[VYAJ2]])</f>
        <v>1000</v>
      </c>
      <c r="CA44" s="61"/>
      <c r="CB44" s="61"/>
      <c r="CC44" s="65">
        <f>Table3546[[#This Row],[APR5]]-Table3546[[#This Row],[MAY6]]</f>
        <v>0</v>
      </c>
      <c r="DA44" s="42" t="s">
        <v>22</v>
      </c>
      <c r="DB44" s="42">
        <v>1000</v>
      </c>
      <c r="DC44" s="42"/>
      <c r="DG44" t="s">
        <v>138</v>
      </c>
    </row>
    <row r="45" spans="9:111" ht="15.6">
      <c r="I45">
        <v>14</v>
      </c>
      <c r="K45" s="42" t="s">
        <v>57</v>
      </c>
      <c r="L45">
        <v>1000</v>
      </c>
      <c r="T45" s="52"/>
      <c r="U45" s="52"/>
      <c r="V45" s="52"/>
      <c r="W45" s="52"/>
      <c r="X45" s="52"/>
      <c r="Y45" s="52"/>
      <c r="Z45" s="52"/>
      <c r="AA45" s="52"/>
      <c r="AB45" s="52"/>
      <c r="AC45" s="63"/>
      <c r="AD45" s="64"/>
      <c r="AE45" s="52"/>
      <c r="AF45" s="52"/>
      <c r="AG45" s="52"/>
      <c r="AH45" s="52"/>
      <c r="AI45" s="52"/>
      <c r="AJ45" s="61"/>
      <c r="AK45" s="61">
        <f>SUM(Table354[[#This Row],[JAN]:[VYAJ2]])</f>
        <v>1000</v>
      </c>
      <c r="AL45" s="61"/>
      <c r="AM45" s="61"/>
      <c r="AN45" s="65">
        <f>Table354[[#This Row],[APR5]]-Table354[[#This Row],[MAY6]]</f>
        <v>0</v>
      </c>
      <c r="AX45">
        <v>35</v>
      </c>
      <c r="AZ45" t="s">
        <v>68</v>
      </c>
      <c r="BA45">
        <v>1000</v>
      </c>
      <c r="BI45" s="53"/>
      <c r="BJ45" s="53"/>
      <c r="BK45" s="53"/>
      <c r="BL45" s="53"/>
      <c r="BM45" s="53"/>
      <c r="BN45" s="53"/>
      <c r="BO45" s="52"/>
      <c r="BP45" s="53"/>
      <c r="BQ45" s="53"/>
      <c r="BR45" s="70"/>
      <c r="BS45" s="71"/>
      <c r="BT45" s="53"/>
      <c r="BU45" s="53"/>
      <c r="BV45" s="53"/>
      <c r="BW45" s="53"/>
      <c r="BX45" s="53"/>
      <c r="BY45" s="72"/>
      <c r="BZ45" s="61">
        <f>SUM(Table3546[[#This Row],[JAN]:[VYAJ2]])</f>
        <v>1000</v>
      </c>
      <c r="CA45" s="72"/>
      <c r="CB45" s="72"/>
      <c r="CC45" s="105">
        <f>Table3546[[#This Row],[APR5]]-Table3546[[#This Row],[MAY6]]</f>
        <v>0</v>
      </c>
      <c r="DA45" s="42" t="s">
        <v>55</v>
      </c>
      <c r="DB45" s="42">
        <v>1000</v>
      </c>
      <c r="DC45" s="42"/>
      <c r="DG45" t="s">
        <v>139</v>
      </c>
    </row>
    <row r="46" spans="9:111" ht="15.6">
      <c r="I46">
        <v>33</v>
      </c>
      <c r="K46" s="42" t="s">
        <v>65</v>
      </c>
      <c r="L46">
        <v>1000</v>
      </c>
      <c r="T46" s="52"/>
      <c r="U46" s="52"/>
      <c r="V46" s="52"/>
      <c r="W46" s="52"/>
      <c r="X46" s="52"/>
      <c r="Y46" s="52"/>
      <c r="Z46" s="52"/>
      <c r="AA46" s="52"/>
      <c r="AB46" s="52"/>
      <c r="AC46" s="63"/>
      <c r="AD46" s="64"/>
      <c r="AE46" s="52"/>
      <c r="AF46" s="52"/>
      <c r="AG46" s="52"/>
      <c r="AH46" s="52"/>
      <c r="AI46" s="52"/>
      <c r="AJ46" s="61"/>
      <c r="AK46" s="61">
        <f>SUM(Table354[[#This Row],[JAN]:[VYAJ2]])</f>
        <v>1000</v>
      </c>
      <c r="AL46" s="61"/>
      <c r="AM46" s="61"/>
      <c r="AN46" s="65">
        <f>Table354[[#This Row],[APR5]]-Table354[[#This Row],[MAY6]]</f>
        <v>0</v>
      </c>
      <c r="AX46" s="59">
        <v>36</v>
      </c>
      <c r="AY46" s="52"/>
      <c r="AZ46" s="52" t="s">
        <v>71</v>
      </c>
      <c r="BA46" s="52">
        <v>1000</v>
      </c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73"/>
      <c r="BS46" s="64"/>
      <c r="BT46" s="52"/>
      <c r="BU46" s="52"/>
      <c r="BV46" s="52"/>
      <c r="BW46" s="52"/>
      <c r="BX46" s="52"/>
      <c r="BY46" s="61"/>
      <c r="BZ46" s="61">
        <f>SUM(Table3546[[#This Row],[JAN]:[VYAJ2]])</f>
        <v>1000</v>
      </c>
      <c r="CA46" s="61"/>
      <c r="CB46" s="61"/>
      <c r="CC46" s="107">
        <f>Table3546[[#This Row],[APR5]]-Table3546[[#This Row],[MAY6]]</f>
        <v>0</v>
      </c>
      <c r="DA46" s="42" t="s">
        <v>56</v>
      </c>
      <c r="DB46">
        <v>1000</v>
      </c>
      <c r="DG46" t="s">
        <v>140</v>
      </c>
    </row>
    <row r="47" spans="9:111" ht="15.6">
      <c r="I47">
        <v>35</v>
      </c>
      <c r="K47" s="42" t="s">
        <v>68</v>
      </c>
      <c r="L47">
        <v>1000</v>
      </c>
      <c r="T47" s="53"/>
      <c r="U47" s="53"/>
      <c r="V47" s="53"/>
      <c r="W47" s="53"/>
      <c r="X47" s="53"/>
      <c r="Y47" s="53"/>
      <c r="Z47" s="52"/>
      <c r="AA47" s="53"/>
      <c r="AB47" s="53"/>
      <c r="AC47" s="70"/>
      <c r="AD47" s="71"/>
      <c r="AE47" s="53"/>
      <c r="AF47" s="53"/>
      <c r="AG47" s="53"/>
      <c r="AH47" s="53"/>
      <c r="AI47" s="53"/>
      <c r="AJ47" s="72"/>
      <c r="AK47" s="61">
        <f>SUM(Table354[[#This Row],[JAN]:[VYAJ2]])</f>
        <v>1000</v>
      </c>
      <c r="AL47" s="72"/>
      <c r="AM47" s="72"/>
      <c r="AN47" s="105">
        <f>Table354[[#This Row],[APR5]]-Table354[[#This Row],[MAY6]]</f>
        <v>0</v>
      </c>
      <c r="AX47" s="98">
        <v>37</v>
      </c>
      <c r="AY47" s="87"/>
      <c r="AZ47" s="87" t="s">
        <v>106</v>
      </c>
      <c r="BA47" s="87">
        <v>1000</v>
      </c>
      <c r="BB47" s="89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89"/>
      <c r="BS47" s="102"/>
      <c r="BT47" s="90"/>
      <c r="BU47" s="90"/>
      <c r="BV47" s="90"/>
      <c r="BW47" s="90"/>
      <c r="BX47" s="90"/>
      <c r="BY47" s="93"/>
      <c r="BZ47" s="95">
        <f>SUM(Table3546[[#This Row],[JAN]:[VYAJ2]])</f>
        <v>1000</v>
      </c>
      <c r="CA47" s="93"/>
      <c r="CB47" s="93"/>
      <c r="CC47" s="106">
        <f>Table3546[[#This Row],[APR5]]-Table3546[[#This Row],[MAY6]]</f>
        <v>0</v>
      </c>
      <c r="DA47" s="42" t="s">
        <v>57</v>
      </c>
      <c r="DB47">
        <v>1000</v>
      </c>
      <c r="DG47" t="s">
        <v>141</v>
      </c>
    </row>
    <row r="48" spans="9:111" ht="15.6">
      <c r="I48" s="59">
        <v>36</v>
      </c>
      <c r="J48" s="52"/>
      <c r="K48" s="42" t="s">
        <v>71</v>
      </c>
      <c r="L48" s="52">
        <v>1000</v>
      </c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73"/>
      <c r="AD48" s="64"/>
      <c r="AE48" s="52"/>
      <c r="AF48" s="52"/>
      <c r="AG48" s="52"/>
      <c r="AH48" s="52"/>
      <c r="AI48" s="52"/>
      <c r="AJ48" s="61"/>
      <c r="AK48" s="61">
        <f>SUM(Table354[[#This Row],[JAN]:[VYAJ2]])</f>
        <v>1000</v>
      </c>
      <c r="AL48" s="61"/>
      <c r="AM48" s="61"/>
      <c r="AN48" s="107">
        <f>Table354[[#This Row],[APR5]]-Table354[[#This Row],[MAY6]]</f>
        <v>0</v>
      </c>
      <c r="AX48" s="62">
        <v>4</v>
      </c>
      <c r="AY48" s="56"/>
      <c r="AZ48" s="52" t="s">
        <v>38</v>
      </c>
      <c r="BA48" s="52">
        <v>1200</v>
      </c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64"/>
      <c r="BT48" s="52"/>
      <c r="BU48" s="52"/>
      <c r="BV48" s="52"/>
      <c r="BW48" s="52"/>
      <c r="BX48" s="52"/>
      <c r="BY48" s="61"/>
      <c r="BZ48" s="61">
        <f>SUM(Table3546[[#This Row],[JAN]:[VYAJ2]])</f>
        <v>1200</v>
      </c>
      <c r="CA48" s="61"/>
      <c r="CB48" s="61"/>
      <c r="CC48" s="65">
        <f>Table3546[[#This Row],[APR5]]-Table3546[[#This Row],[MAY6]]</f>
        <v>0</v>
      </c>
      <c r="DA48" s="42" t="s">
        <v>65</v>
      </c>
      <c r="DB48">
        <v>1000</v>
      </c>
      <c r="DG48" t="s">
        <v>142</v>
      </c>
    </row>
    <row r="49" spans="9:111" ht="15.6">
      <c r="I49" s="98">
        <v>37</v>
      </c>
      <c r="J49" s="87"/>
      <c r="K49" s="42" t="s">
        <v>106</v>
      </c>
      <c r="L49" s="87">
        <v>1000</v>
      </c>
      <c r="M49" s="89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89"/>
      <c r="AD49" s="102"/>
      <c r="AE49" s="90"/>
      <c r="AF49" s="90"/>
      <c r="AG49" s="90"/>
      <c r="AH49" s="90"/>
      <c r="AI49" s="90"/>
      <c r="AJ49" s="93"/>
      <c r="AK49" s="95">
        <f>SUM(Table354[[#This Row],[JAN]:[VYAJ2]])</f>
        <v>1000</v>
      </c>
      <c r="AL49" s="93"/>
      <c r="AM49" s="93"/>
      <c r="AN49" s="106">
        <f>Table354[[#This Row],[APR5]]-Table354[[#This Row],[MAY6]]</f>
        <v>0</v>
      </c>
      <c r="AX49" s="81">
        <v>1</v>
      </c>
      <c r="AY49" s="99">
        <v>44577</v>
      </c>
      <c r="AZ49" s="100" t="s">
        <v>31</v>
      </c>
      <c r="BA49" s="100">
        <v>2000</v>
      </c>
      <c r="BB49" s="100">
        <v>2000</v>
      </c>
      <c r="BC49" s="100"/>
      <c r="BD49" s="100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2"/>
      <c r="BP49" s="51"/>
      <c r="BQ49" s="51"/>
      <c r="BR49" s="51"/>
      <c r="BS49" s="101"/>
      <c r="BT49" s="100"/>
      <c r="BU49" s="100"/>
      <c r="BV49" s="100"/>
      <c r="BW49" s="100"/>
      <c r="BX49" s="100"/>
      <c r="BY49" s="103"/>
      <c r="BZ49" s="61">
        <f>SUM(Table3546[[#This Row],[JAN]:[VYAJ2]])</f>
        <v>4000</v>
      </c>
      <c r="CA49" s="103"/>
      <c r="CB49" s="103"/>
      <c r="CC49" s="104">
        <f>Table3546[[#This Row],[APR5]]-Table3546[[#This Row],[MAY6]]</f>
        <v>0</v>
      </c>
      <c r="DA49" s="42" t="s">
        <v>68</v>
      </c>
      <c r="DB49">
        <v>1000</v>
      </c>
      <c r="DG49" t="s">
        <v>143</v>
      </c>
    </row>
    <row r="50" spans="9:111" ht="15.6">
      <c r="I50" s="62">
        <v>4</v>
      </c>
      <c r="J50" s="56"/>
      <c r="K50" s="42" t="s">
        <v>38</v>
      </c>
      <c r="L50" s="52">
        <v>1200</v>
      </c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64"/>
      <c r="AE50" s="52"/>
      <c r="AF50" s="52"/>
      <c r="AG50" s="52"/>
      <c r="AH50" s="52"/>
      <c r="AI50" s="52"/>
      <c r="AJ50" s="61"/>
      <c r="AK50" s="61">
        <f>SUM(Table354[[#This Row],[JAN]:[VYAJ2]])</f>
        <v>1200</v>
      </c>
      <c r="AL50" s="61"/>
      <c r="AM50" s="61"/>
      <c r="AN50" s="65">
        <f>Table354[[#This Row],[APR5]]-Table354[[#This Row],[MAY6]]</f>
        <v>0</v>
      </c>
      <c r="AX50" s="69">
        <v>2</v>
      </c>
      <c r="AY50" s="56"/>
      <c r="AZ50" s="52" t="s">
        <v>60</v>
      </c>
      <c r="BA50" s="52">
        <v>2000</v>
      </c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61"/>
      <c r="BZ50" s="61">
        <f>SUM(Table3546[[#This Row],[JAN]:[VYAJ2]])</f>
        <v>2000</v>
      </c>
      <c r="CA50" s="61"/>
      <c r="CB50" s="61"/>
      <c r="CC50" s="61">
        <f>Table3546[[#This Row],[APR5]]-Table3546[[#This Row],[MAY6]]</f>
        <v>0</v>
      </c>
      <c r="DA50" s="42" t="s">
        <v>71</v>
      </c>
      <c r="DB50" s="52">
        <v>1000</v>
      </c>
      <c r="DC50" s="52"/>
      <c r="DG50" t="s">
        <v>144</v>
      </c>
    </row>
    <row r="51" spans="9:111" ht="15.6">
      <c r="I51" s="81">
        <v>1</v>
      </c>
      <c r="J51" s="99">
        <v>44577</v>
      </c>
      <c r="K51" s="42" t="s">
        <v>31</v>
      </c>
      <c r="L51" s="100">
        <v>2000</v>
      </c>
      <c r="M51" s="100">
        <v>2000</v>
      </c>
      <c r="N51" s="100"/>
      <c r="O51" s="100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2"/>
      <c r="AA51" s="51"/>
      <c r="AB51" s="51"/>
      <c r="AC51" s="51"/>
      <c r="AD51" s="101"/>
      <c r="AE51" s="100"/>
      <c r="AF51" s="100"/>
      <c r="AG51" s="100"/>
      <c r="AH51" s="100"/>
      <c r="AI51" s="100"/>
      <c r="AJ51" s="103"/>
      <c r="AK51" s="61">
        <f>SUM(Table354[[#This Row],[JAN]:[VYAJ2]])</f>
        <v>4000</v>
      </c>
      <c r="AL51" s="103"/>
      <c r="AM51" s="103"/>
      <c r="AN51" s="104">
        <f>Table354[[#This Row],[APR5]]-Table354[[#This Row],[MAY6]]</f>
        <v>0</v>
      </c>
      <c r="AX51" s="59">
        <v>3</v>
      </c>
      <c r="AY51" s="57"/>
      <c r="AZ51" s="51" t="s">
        <v>32</v>
      </c>
      <c r="BA51" s="51">
        <v>2000</v>
      </c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2"/>
      <c r="BP51" s="51"/>
      <c r="BQ51" s="51"/>
      <c r="BR51" s="51"/>
      <c r="BS51" s="51"/>
      <c r="BT51" s="51"/>
      <c r="BU51" s="51"/>
      <c r="BV51" s="51"/>
      <c r="BW51" s="51"/>
      <c r="BX51" s="51"/>
      <c r="BY51" s="60"/>
      <c r="BZ51" s="61">
        <f>SUM(Table3546[[#This Row],[JAN]:[VYAJ2]])</f>
        <v>2000</v>
      </c>
      <c r="CA51" s="60"/>
      <c r="CB51" s="60"/>
      <c r="CC51" s="60">
        <f>Table3546[[#This Row],[APR5]]-Table3546[[#This Row],[MAY6]]</f>
        <v>0</v>
      </c>
      <c r="DA51" s="42" t="s">
        <v>106</v>
      </c>
      <c r="DB51" s="87">
        <v>1000</v>
      </c>
      <c r="DC51" s="89"/>
      <c r="DG51" t="s">
        <v>145</v>
      </c>
    </row>
    <row r="52" spans="9:111" ht="15.6">
      <c r="I52" s="69">
        <v>2</v>
      </c>
      <c r="J52" s="56"/>
      <c r="K52" s="42" t="s">
        <v>60</v>
      </c>
      <c r="L52" s="52">
        <v>2000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61"/>
      <c r="AK52" s="61">
        <f>SUM(Table354[[#This Row],[JAN]:[VYAJ2]])</f>
        <v>2000</v>
      </c>
      <c r="AL52" s="61"/>
      <c r="AM52" s="61"/>
      <c r="AN52" s="61">
        <f>Table354[[#This Row],[APR5]]-Table354[[#This Row],[MAY6]]</f>
        <v>0</v>
      </c>
      <c r="AX52" s="97">
        <v>31</v>
      </c>
      <c r="AY52" s="88"/>
      <c r="AZ52" s="86" t="s">
        <v>63</v>
      </c>
      <c r="BA52" s="86">
        <v>2000</v>
      </c>
      <c r="BB52" s="70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86"/>
      <c r="BO52" s="86"/>
      <c r="BP52" s="86"/>
      <c r="BQ52" s="86"/>
      <c r="BR52" s="91"/>
      <c r="BS52" s="86"/>
      <c r="BT52" s="86"/>
      <c r="BU52" s="86"/>
      <c r="BV52" s="86"/>
      <c r="BW52" s="86"/>
      <c r="BX52" s="92"/>
      <c r="BY52" s="94"/>
      <c r="BZ52" s="94">
        <f>SUM(Table3546[[#This Row],[JAN]:[VYAJ2]])</f>
        <v>2000</v>
      </c>
      <c r="CA52" s="94"/>
      <c r="CB52" s="94"/>
      <c r="CC52" s="96">
        <f>Table3546[[#This Row],[APR5]]-Table3546[[#This Row],[MAY6]]</f>
        <v>0</v>
      </c>
      <c r="DA52" s="42" t="s">
        <v>38</v>
      </c>
      <c r="DB52" s="52">
        <v>1200</v>
      </c>
      <c r="DC52" s="52"/>
      <c r="DG52" t="s">
        <v>146</v>
      </c>
    </row>
    <row r="53" spans="9:111" ht="15.6">
      <c r="I53" s="59">
        <v>3</v>
      </c>
      <c r="J53" s="57"/>
      <c r="K53" s="42" t="s">
        <v>32</v>
      </c>
      <c r="L53" s="51">
        <v>2000</v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2"/>
      <c r="AA53" s="51"/>
      <c r="AB53" s="51"/>
      <c r="AC53" s="51"/>
      <c r="AD53" s="51"/>
      <c r="AE53" s="51"/>
      <c r="AF53" s="51"/>
      <c r="AG53" s="51"/>
      <c r="AH53" s="51"/>
      <c r="AI53" s="51"/>
      <c r="AJ53" s="60"/>
      <c r="AK53" s="61">
        <f>SUM(Table354[[#This Row],[JAN]:[VYAJ2]])</f>
        <v>2000</v>
      </c>
      <c r="AL53" s="60"/>
      <c r="AM53" s="60"/>
      <c r="AN53" s="60">
        <f>Table354[[#This Row],[APR5]]-Table354[[#This Row],[MAY6]]</f>
        <v>0</v>
      </c>
      <c r="AX53" s="82"/>
      <c r="AY53" s="83"/>
      <c r="AZ53" s="83" t="s">
        <v>27</v>
      </c>
      <c r="BA53" s="83">
        <f>SUBTOTAL(109,Table3546[JAN])</f>
        <v>31600</v>
      </c>
      <c r="BB53" s="84">
        <f>SUBTOTAL(109,Table3546[FEB])</f>
        <v>2000</v>
      </c>
      <c r="BC53" s="84">
        <f>SUBTOTAL(109,Table3546[MAR])</f>
        <v>0</v>
      </c>
      <c r="BD53" s="84">
        <f>SUBTOTAL(109,Table3546[APR])</f>
        <v>0</v>
      </c>
      <c r="BE53" s="84">
        <f>SUBTOTAL(109,Table3546[MAY])</f>
        <v>0</v>
      </c>
      <c r="BF53" s="84">
        <f>SUBTOTAL(109,Table3546[JUN])</f>
        <v>0</v>
      </c>
      <c r="BG53" s="84">
        <f>SUBTOTAL(109,Table3546[JUL])</f>
        <v>0</v>
      </c>
      <c r="BH53" s="84">
        <f>SUBTOTAL(109,Table3546[AUG])</f>
        <v>0</v>
      </c>
      <c r="BI53" s="84">
        <f>SUBTOTAL(109,Table3546[SEP])</f>
        <v>0</v>
      </c>
      <c r="BJ53" s="84">
        <f>SUBTOTAL(109,Table3546[OCT])</f>
        <v>0</v>
      </c>
      <c r="BK53" s="84">
        <f>SUBTOTAL(109,Table3546[NOV])</f>
        <v>0</v>
      </c>
      <c r="BL53" s="84">
        <f>SUBTOTAL(109,Table3546[DEC])</f>
        <v>0</v>
      </c>
      <c r="BM53" s="84">
        <f>SUBTOTAL(109,Table3546[JAN2])</f>
        <v>0</v>
      </c>
      <c r="BN53" s="84">
        <f>SUBTOTAL(109,Table3546[FEB3])</f>
        <v>0</v>
      </c>
      <c r="BO53" s="84">
        <f>SUBTOTAL(109,Table3546[MAR4])</f>
        <v>0</v>
      </c>
      <c r="BP53" s="84">
        <f>SUBTOTAL(109,Table3546[APR5])</f>
        <v>0</v>
      </c>
      <c r="BQ53" s="84">
        <f>SUBTOTAL(109,Table3546[MAY6])</f>
        <v>0</v>
      </c>
      <c r="BR53" s="84">
        <f>SUBTOTAL(109,Table3546[JUN7])</f>
        <v>0</v>
      </c>
      <c r="BS53" s="84">
        <f>SUBTOTAL(109,Table3546[JUL8])</f>
        <v>0</v>
      </c>
      <c r="BT53" s="84">
        <f>SUBTOTAL(109,Table3546[AUG9])</f>
        <v>0</v>
      </c>
      <c r="BU53" s="84">
        <f>SUBTOTAL(109,Table3546[SEP10])</f>
        <v>0</v>
      </c>
      <c r="BV53" s="84">
        <f>SUBTOTAL(109,Table3546[OCT11])</f>
        <v>0</v>
      </c>
      <c r="BW53" s="84">
        <f>SUBTOTAL(109,Table3546[NOV12])</f>
        <v>0</v>
      </c>
      <c r="BX53" s="84">
        <f>SUBTOTAL(109,Table3546[DEC13])</f>
        <v>0</v>
      </c>
      <c r="BY53" s="85"/>
      <c r="BZ53" s="85">
        <f>SUBTOTAL(109,Table3546[TOTAL(V^2)3])</f>
        <v>33600</v>
      </c>
      <c r="CA53" s="85">
        <f>SUBTOTAL(109,Table3546[KARJ4])</f>
        <v>24000</v>
      </c>
      <c r="CB53" s="85">
        <f>SUBTOTAL(109,Table3546[PARAT PHED5])</f>
        <v>0</v>
      </c>
      <c r="CC53" s="85">
        <f>SUBTOTAL(109,Table3546[TOTAL KARJ6])</f>
        <v>0</v>
      </c>
      <c r="DA53" s="42" t="s">
        <v>31</v>
      </c>
      <c r="DB53" s="100">
        <v>2000</v>
      </c>
      <c r="DC53" s="100">
        <v>2000</v>
      </c>
      <c r="DG53" t="s">
        <v>147</v>
      </c>
    </row>
    <row r="54" spans="9:111" ht="15.6">
      <c r="I54" s="97">
        <v>31</v>
      </c>
      <c r="J54" s="88"/>
      <c r="K54" s="42" t="s">
        <v>63</v>
      </c>
      <c r="L54" s="86">
        <v>2000</v>
      </c>
      <c r="M54" s="70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86"/>
      <c r="Z54" s="86"/>
      <c r="AA54" s="86"/>
      <c r="AB54" s="86"/>
      <c r="AC54" s="91"/>
      <c r="AD54" s="86"/>
      <c r="AE54" s="86"/>
      <c r="AF54" s="86"/>
      <c r="AG54" s="86"/>
      <c r="AH54" s="86"/>
      <c r="AI54" s="92"/>
      <c r="AJ54" s="94"/>
      <c r="AK54" s="94">
        <f>SUM(Table354[[#This Row],[JAN]:[VYAJ2]])</f>
        <v>2000</v>
      </c>
      <c r="AL54" s="94"/>
      <c r="AM54" s="94"/>
      <c r="AN54" s="96">
        <f>Table354[[#This Row],[APR5]]-Table354[[#This Row],[MAY6]]</f>
        <v>0</v>
      </c>
      <c r="DA54" s="42" t="s">
        <v>60</v>
      </c>
      <c r="DB54" s="52">
        <v>2000</v>
      </c>
      <c r="DC54" s="52"/>
      <c r="DG54" t="s">
        <v>148</v>
      </c>
    </row>
    <row r="55" spans="9:111" ht="15.6">
      <c r="I55" s="82"/>
      <c r="J55" s="83"/>
      <c r="K55" s="83" t="s">
        <v>27</v>
      </c>
      <c r="L55" s="83">
        <f>SUBTOTAL(109,Table354[JAN])</f>
        <v>31600</v>
      </c>
      <c r="M55" s="84">
        <f>SUBTOTAL(109,Table354[FEB])</f>
        <v>7030</v>
      </c>
      <c r="N55" s="84">
        <f>SUBTOTAL(109,Table354[MAR])</f>
        <v>124220</v>
      </c>
      <c r="O55" s="84">
        <f>SUBTOTAL(109,Table354[APR])</f>
        <v>0</v>
      </c>
      <c r="P55" s="84">
        <f>SUBTOTAL(109,Table354[MAY])</f>
        <v>0</v>
      </c>
      <c r="Q55" s="84">
        <f>SUBTOTAL(109,Table354[JUN])</f>
        <v>0</v>
      </c>
      <c r="R55" s="84">
        <f>SUBTOTAL(109,Table354[JUL])</f>
        <v>0</v>
      </c>
      <c r="S55" s="84">
        <f>SUBTOTAL(109,Table354[AUG])</f>
        <v>0</v>
      </c>
      <c r="T55" s="84">
        <f>SUBTOTAL(109,Table354[SEP])</f>
        <v>0</v>
      </c>
      <c r="U55" s="84">
        <f>SUBTOTAL(109,Table354[OCT])</f>
        <v>0</v>
      </c>
      <c r="V55" s="84">
        <f>SUBTOTAL(109,Table354[NOV])</f>
        <v>0</v>
      </c>
      <c r="W55" s="84">
        <f>SUBTOTAL(109,Table354[DEC])</f>
        <v>0</v>
      </c>
      <c r="X55" s="84">
        <f>SUBTOTAL(109,Table354[JAN2])</f>
        <v>0</v>
      </c>
      <c r="Y55" s="84">
        <f>SUBTOTAL(109,Table354[FEB3])</f>
        <v>0</v>
      </c>
      <c r="Z55" s="84">
        <f>SUBTOTAL(109,Table354[MAR4])</f>
        <v>0</v>
      </c>
      <c r="AA55" s="84">
        <f>SUBTOTAL(109,Table354[APR5])</f>
        <v>0</v>
      </c>
      <c r="AB55" s="84">
        <f>SUBTOTAL(109,Table354[MAY6])</f>
        <v>0</v>
      </c>
      <c r="AC55" s="84">
        <f>SUBTOTAL(109,Table354[JUN7])</f>
        <v>0</v>
      </c>
      <c r="AD55" s="84">
        <f>SUBTOTAL(109,Table354[JUL8])</f>
        <v>0</v>
      </c>
      <c r="AE55" s="84">
        <f>SUBTOTAL(109,Table354[AUG9])</f>
        <v>0</v>
      </c>
      <c r="AF55" s="84">
        <f>SUBTOTAL(109,Table354[SEP10])</f>
        <v>0</v>
      </c>
      <c r="AG55" s="84">
        <f>SUBTOTAL(109,Table354[OCT11])</f>
        <v>0</v>
      </c>
      <c r="AH55" s="84">
        <f>SUBTOTAL(109,Table354[NOV12])</f>
        <v>0</v>
      </c>
      <c r="AI55" s="84">
        <f>SUBTOTAL(109,Table354[DEC13])</f>
        <v>0</v>
      </c>
      <c r="AJ55" s="85"/>
      <c r="AK55" s="85">
        <f>SUBTOTAL(109,Table354[TOTAL(V^2)3])</f>
        <v>162850</v>
      </c>
      <c r="AL55" s="85">
        <f>SUBTOTAL(109,Table354[KARJ4])</f>
        <v>24000</v>
      </c>
      <c r="AM55" s="85">
        <f>SUBTOTAL(109,Table354[PARAT PHED5])</f>
        <v>0</v>
      </c>
      <c r="AN55" s="85">
        <f>SUBTOTAL(109,Table354[TOTAL KARJ6])</f>
        <v>0</v>
      </c>
      <c r="AO55" s="55"/>
      <c r="AP55" s="55"/>
      <c r="AQ55" s="55"/>
      <c r="AR55" s="55"/>
      <c r="AS55" s="55"/>
      <c r="AT55" s="55"/>
      <c r="AU55" s="55"/>
      <c r="AV55" s="55"/>
      <c r="DA55" s="42" t="s">
        <v>32</v>
      </c>
      <c r="DB55" s="51">
        <v>2000</v>
      </c>
      <c r="DC55" s="51"/>
      <c r="DG55" t="s">
        <v>149</v>
      </c>
    </row>
    <row r="56" spans="9:111" ht="15.6"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DA56" s="42" t="s">
        <v>63</v>
      </c>
      <c r="DB56" s="86">
        <v>2000</v>
      </c>
      <c r="DC56" s="70"/>
      <c r="DG56" t="s">
        <v>150</v>
      </c>
    </row>
    <row r="57" spans="9:111"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DG57" t="s">
        <v>151</v>
      </c>
    </row>
    <row r="58" spans="9:111"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DG58" t="s">
        <v>152</v>
      </c>
    </row>
    <row r="59" spans="9:111"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DG59" t="s">
        <v>153</v>
      </c>
    </row>
    <row r="60" spans="9:111"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DG60" t="s">
        <v>154</v>
      </c>
    </row>
    <row r="61" spans="9:111"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DG61" t="s">
        <v>155</v>
      </c>
    </row>
    <row r="62" spans="9:111" ht="28.8">
      <c r="L62" s="169" t="str">
        <f ca="1">CELL("filename")</f>
        <v>C:\Users\Ankita\Documents\CommandGit\Lets-Learn-Git\Sheet\[Shree jyotirling fund Sheet.xlsx]Sheet5</v>
      </c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DG62" t="s">
        <v>156</v>
      </c>
    </row>
    <row r="63" spans="9:111"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DG63" t="s">
        <v>157</v>
      </c>
    </row>
    <row r="64" spans="9:111"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DG64" t="s">
        <v>158</v>
      </c>
    </row>
    <row r="65" spans="9:111"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DG65" t="s">
        <v>159</v>
      </c>
    </row>
    <row r="66" spans="9:111"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DG66" t="s">
        <v>160</v>
      </c>
    </row>
    <row r="67" spans="9:111"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DG67" t="s">
        <v>161</v>
      </c>
    </row>
    <row r="68" spans="9:111"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DG68" t="s">
        <v>162</v>
      </c>
    </row>
    <row r="69" spans="9:111"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DG69" t="s">
        <v>163</v>
      </c>
    </row>
    <row r="70" spans="9:111">
      <c r="DG70" t="s">
        <v>164</v>
      </c>
    </row>
    <row r="71" spans="9:111">
      <c r="DG71" t="s">
        <v>165</v>
      </c>
    </row>
    <row r="72" spans="9:111">
      <c r="DG72" t="s">
        <v>166</v>
      </c>
    </row>
    <row r="73" spans="9:111">
      <c r="DG73" t="s">
        <v>167</v>
      </c>
    </row>
    <row r="74" spans="9:111">
      <c r="I74" s="42" t="s">
        <v>43</v>
      </c>
      <c r="DG74" t="s">
        <v>168</v>
      </c>
    </row>
    <row r="75" spans="9:111">
      <c r="I75" s="42" t="s">
        <v>44</v>
      </c>
      <c r="DG75" t="s">
        <v>169</v>
      </c>
    </row>
    <row r="76" spans="9:111">
      <c r="I76" s="42" t="s">
        <v>45</v>
      </c>
      <c r="DG76" t="s">
        <v>170</v>
      </c>
    </row>
    <row r="77" spans="9:111">
      <c r="I77" s="42" t="s">
        <v>46</v>
      </c>
      <c r="DG77" t="s">
        <v>171</v>
      </c>
    </row>
    <row r="78" spans="9:111">
      <c r="I78" s="42" t="s">
        <v>47</v>
      </c>
      <c r="K78" t="s">
        <v>108</v>
      </c>
      <c r="DG78" t="s">
        <v>172</v>
      </c>
    </row>
    <row r="79" spans="9:111">
      <c r="I79" s="42" t="s">
        <v>64</v>
      </c>
      <c r="DG79" t="s">
        <v>173</v>
      </c>
    </row>
    <row r="80" spans="9:111">
      <c r="I80" s="42" t="s">
        <v>61</v>
      </c>
      <c r="DG80" t="s">
        <v>174</v>
      </c>
    </row>
    <row r="81" spans="9:111">
      <c r="I81" s="42" t="s">
        <v>33</v>
      </c>
      <c r="DG81" t="s">
        <v>175</v>
      </c>
    </row>
    <row r="82" spans="9:111">
      <c r="I82" s="42" t="s">
        <v>34</v>
      </c>
      <c r="DG82" t="s">
        <v>176</v>
      </c>
    </row>
    <row r="83" spans="9:111">
      <c r="I83" s="42" t="s">
        <v>35</v>
      </c>
      <c r="DG83" t="s">
        <v>177</v>
      </c>
    </row>
    <row r="84" spans="9:111">
      <c r="I84" s="42" t="s">
        <v>36</v>
      </c>
    </row>
    <row r="85" spans="9:111">
      <c r="I85" s="42" t="s">
        <v>37</v>
      </c>
    </row>
    <row r="86" spans="9:111">
      <c r="I86" s="42" t="s">
        <v>22</v>
      </c>
    </row>
    <row r="87" spans="9:111">
      <c r="I87" s="42" t="s">
        <v>55</v>
      </c>
    </row>
    <row r="88" spans="9:111">
      <c r="I88" t="s">
        <v>56</v>
      </c>
    </row>
    <row r="89" spans="9:111">
      <c r="I89" t="s">
        <v>57</v>
      </c>
    </row>
    <row r="90" spans="9:111">
      <c r="I90" t="s">
        <v>65</v>
      </c>
    </row>
    <row r="91" spans="9:111">
      <c r="I91" t="s">
        <v>68</v>
      </c>
    </row>
    <row r="92" spans="9:111" ht="15.6">
      <c r="I92" s="52" t="s">
        <v>71</v>
      </c>
    </row>
    <row r="93" spans="9:111" ht="15.6">
      <c r="I93" s="87" t="s">
        <v>106</v>
      </c>
    </row>
  </sheetData>
  <mergeCells count="2">
    <mergeCell ref="I10:R13"/>
    <mergeCell ref="L62:AA62"/>
  </mergeCells>
  <conditionalFormatting sqref="CA24">
    <cfRule type="expression" dxfId="176" priority="7">
      <formula>"if($AL$18:$AL$53&gt;0)"</formula>
    </cfRule>
  </conditionalFormatting>
  <conditionalFormatting sqref="AX16:CC52">
    <cfRule type="expression" dxfId="175" priority="6">
      <formula>$AL16&gt;0</formula>
    </cfRule>
  </conditionalFormatting>
  <conditionalFormatting sqref="I74:I93">
    <cfRule type="expression" dxfId="174" priority="5">
      <formula>$AL74&gt;0</formula>
    </cfRule>
  </conditionalFormatting>
  <dataValidations count="1">
    <dataValidation type="list" allowBlank="1" showInputMessage="1" showErrorMessage="1" sqref="F74">
      <formula1>$I$74:$I$93</formula1>
    </dataValidation>
  </dataValidations>
  <pageMargins left="0.7" right="0.7" top="0.75" bottom="0.75" header="0.3" footer="0.3"/>
  <pageSetup paperSize="9" orientation="portrait" horizontalDpi="4294967293" verticalDpi="120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A Y 7 V J b Q 4 f u n A A A A + A A A A B I A H A B D b 2 5 m a W c v U G F j a 2 F n Z S 5 4 b W w g o h g A K K A U A A A A A A A A A A A A A A A A A A A A A A A A A A A A h Y / B C o I w H I d f R X Z 3 m 0 5 I 5 O 8 8 d A o y g i C 6 j r V 0 p D P c b L 5 b h x 6 p V 0 g o q 1 v H 3 8 d 3 + H 6 P 2 x 2 K s W 2 C q + q t 7 k y O I k x R o I z s j t p U O R r c K U x R w W E r 5 F l U K p h k Y 7 P R H n N U O 3 f J C P H e Y 8 9 w 1 1 c k p j Q i h 3 K 9 k 7 V q B f r I + r 8 c a m O d M F I h D v t X D I 8 x Y z h h b I G T N A I y Y y i 1 + S r x V I w p k B 8 I y 6 F x Q 6 + 4 M u F q A 2 S e Q N 4 v + B N Q S w M E F A A C A A g A W A Y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G O 1 Q o i k e 4 D g A A A B E A A A A T A B w A R m 9 y b X V s Y X M v U 2 V j d G l v b j E u b S C i G A A o o B Q A A A A A A A A A A A A A A A A A A A A A A A A A A A A r T k 0 u y c z P U w i G 0 I b W A F B L A Q I t A B Q A A g A I A F g G O 1 S W 0 O H 7 p w A A A P g A A A A S A A A A A A A A A A A A A A A A A A A A A A B D b 2 5 m a W c v U G F j a 2 F n Z S 5 4 b W x Q S w E C L Q A U A A I A C A B Y B j t U D 8 r p q 6 Q A A A D p A A A A E w A A A A A A A A A A A A A A A A D z A A A A W 0 N v b n R l b n R f V H l w Z X N d L n h t b F B L A Q I t A B Q A A g A I A F g G O 1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+ 5 H C p d j s 0 R b 8 I 9 W m u a 5 U Z A A A A A A I A A A A A A B B m A A A A A Q A A I A A A A N / y + O z k p u M c z Y L 6 W q z m C u n o d w B z E k 1 F 4 I s 2 o e U y R o b 7 A A A A A A 6 A A A A A A g A A I A A A A M T I F b K f P 1 i T u D D O u b b x B M U F + L 3 z R X M 7 U 9 z A z N y 1 W J Q U U A A A A N m e 7 p 6 3 X Y / b T r K p 2 E v v x n e Q + W v s Q U N N x 8 K F n d b 7 S o I O j B R y i L V s A 2 E 4 h z R K 5 v g f c D A S U m + L N 9 L x 9 F C N b 7 p l E p a Q Z A x Z 0 y c M y m k 6 1 P X 6 o R V 1 Q A A A A D C / 6 I t k f l 9 O G L B r t S S I e T 9 O x g B O v J T b i j z Y F U k L b 1 Z F F K 6 w T I v G Z s / X p L F n a z b w j X / l E h c L 2 / o q U / D 4 h C U N t D E = < / D a t a M a s h u p > 
</file>

<file path=customXml/itemProps1.xml><?xml version="1.0" encoding="utf-8"?>
<ds:datastoreItem xmlns:ds="http://schemas.openxmlformats.org/officeDocument/2006/customXml" ds:itemID="{CC643A90-C77C-4C61-9419-2710924EFE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Sheet2</vt:lpstr>
      <vt:lpstr>Sheet1</vt:lpstr>
      <vt:lpstr>Sheet3</vt:lpstr>
      <vt:lpstr>Sheet5</vt:lpstr>
      <vt:lpstr>Sheet8</vt:lpstr>
      <vt:lpstr>Sheet6</vt:lpstr>
      <vt:lpstr>Sheet4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</dc:creator>
  <cp:lastModifiedBy>admin</cp:lastModifiedBy>
  <cp:lastPrinted>2023-10-08T09:15:19Z</cp:lastPrinted>
  <dcterms:created xsi:type="dcterms:W3CDTF">2022-01-18T05:11:48Z</dcterms:created>
  <dcterms:modified xsi:type="dcterms:W3CDTF">2023-12-23T14:42:33Z</dcterms:modified>
</cp:coreProperties>
</file>