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Work\Macro Report\backup\"/>
    </mc:Choice>
  </mc:AlternateContent>
  <bookViews>
    <workbookView xWindow="0" yWindow="0" windowWidth="20490" windowHeight="7755" tabRatio="757"/>
  </bookViews>
  <sheets>
    <sheet name="EHI" sheetId="1" r:id="rId1"/>
    <sheet name="Question-Assumptions" sheetId="3" r:id="rId2"/>
    <sheet name="Sheet1"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0">#REF!</definedName>
    <definedName name="\A">#REF!</definedName>
    <definedName name="\b">#REF!</definedName>
    <definedName name="\C">#REF!</definedName>
    <definedName name="\D">#REF!</definedName>
    <definedName name="\I">#REF!</definedName>
    <definedName name="\m">#REF!</definedName>
    <definedName name="\p">[1]EXCOMP!#REF!</definedName>
    <definedName name="\R">#REF!</definedName>
    <definedName name="\U">#REF!</definedName>
    <definedName name="_1">#REF!</definedName>
    <definedName name="_1_0Print_R">[2]FINAL!#REF!</definedName>
    <definedName name="_10">#N/A</definedName>
    <definedName name="_1P">#REF!</definedName>
    <definedName name="_1T">#REF!</definedName>
    <definedName name="_2">#REF!</definedName>
    <definedName name="_2_0t">[2]FINAL!#REF!</definedName>
    <definedName name="_2P">#REF!</definedName>
    <definedName name="_2T">#REF!</definedName>
    <definedName name="_3">#REF!</definedName>
    <definedName name="_3_0Prin">[2]FINAL!#REF!</definedName>
    <definedName name="_3T">#REF!</definedName>
    <definedName name="_4">#REF!</definedName>
    <definedName name="_4_0Print_C">[2]FINAL!#REF!</definedName>
    <definedName name="_5">'[3]Cash Flow'!#REF!</definedName>
    <definedName name="_6">'[3]Cash Flow'!#REF!</definedName>
    <definedName name="_7">'[3]Cash Flow'!#REF!</definedName>
    <definedName name="_92264A">#REF!</definedName>
    <definedName name="_ALL1">#REF!</definedName>
    <definedName name="_ALL2">#REF!</definedName>
    <definedName name="_ALL3">#REF!</definedName>
    <definedName name="_ALL4">#REF!</definedName>
    <definedName name="_C1ADJI1">#REF!</definedName>
    <definedName name="_C1ADJP1">#REF!</definedName>
    <definedName name="_C1ADJU1">#REF!</definedName>
    <definedName name="_C1ADJU2">#REF!</definedName>
    <definedName name="_C2ADJI1">#REF!</definedName>
    <definedName name="_C2ADJP1">#REF!</definedName>
    <definedName name="_C2ADJU1">#REF!</definedName>
    <definedName name="_C2ADJU2">#REF!</definedName>
    <definedName name="_C3ADJI1">#REF!</definedName>
    <definedName name="_C3ADJP1">#REF!</definedName>
    <definedName name="_C3ADJU1">#REF!</definedName>
    <definedName name="_C3ADJU2">#REF!</definedName>
    <definedName name="_C4ADJI1">#REF!</definedName>
    <definedName name="_C4ADJP1">#REF!</definedName>
    <definedName name="_C4ADJU1">#REF!</definedName>
    <definedName name="_C4ADJU2">#REF!</definedName>
    <definedName name="_EXP1">#REF!</definedName>
    <definedName name="_EXP2">#REF!</definedName>
    <definedName name="_EXP3">#REF!</definedName>
    <definedName name="_Fill" hidden="1">#REF!</definedName>
    <definedName name="_new1">'[4]sale comps'!#REF!</definedName>
    <definedName name="_new2">[5]SALE!#REF!</definedName>
    <definedName name="_new3">[5]SALE!#REF!</definedName>
    <definedName name="_new4">'[4]sale comps'!#REF!</definedName>
    <definedName name="_new5">'[4]sale comps'!#REF!</definedName>
    <definedName name="_new6">[6]Sub!$C$17</definedName>
    <definedName name="_new7">'[4]sale comps'!#REF!</definedName>
    <definedName name="_new8">#REF!</definedName>
    <definedName name="_new9">#REF!</definedName>
    <definedName name="_PRO1">#REF!</definedName>
    <definedName name="_PRO2">#REF!</definedName>
    <definedName name="_PRO3">#REF!</definedName>
    <definedName name="_PRO4">#REF!</definedName>
    <definedName name="_PRO5">#REF!</definedName>
    <definedName name="_PRO6">#REF!</definedName>
    <definedName name="_PRO7">#REF!</definedName>
    <definedName name="_PRO8">#REF!</definedName>
    <definedName name="_PRO9">#REF!</definedName>
    <definedName name="_Regression_Int">1</definedName>
    <definedName name="_RR2">#REF!</definedName>
    <definedName name="_TAX1">#REF!</definedName>
    <definedName name="_TAX2">#REF!</definedName>
    <definedName name="_TAX3">#REF!</definedName>
    <definedName name="_TAX4">#REF!</definedName>
    <definedName name="_UT1">#REF!</definedName>
    <definedName name="_UT2">#REF!</definedName>
    <definedName name="A">[7]Survey!#REF!</definedName>
    <definedName name="A_E">#REF!</definedName>
    <definedName name="ABSOR">#REF!</definedName>
    <definedName name="ACQUIS">#REF!</definedName>
    <definedName name="ACQUISIT">#REF!</definedName>
    <definedName name="ADDENDA">#REF!</definedName>
    <definedName name="ADDIN">#REF!</definedName>
    <definedName name="ADDINS">#REF!</definedName>
    <definedName name="ADIO">#REF!</definedName>
    <definedName name="ADJUST">#REF!</definedName>
    <definedName name="ADJUST1">#REF!</definedName>
    <definedName name="ADJUST2">#REF!</definedName>
    <definedName name="ADVERTISING">#REF!</definedName>
    <definedName name="AICOMPS">#REF!</definedName>
    <definedName name="ALL">#REF!</definedName>
    <definedName name="ALL3A">#REF!</definedName>
    <definedName name="ALLCOMPA">#REF!</definedName>
    <definedName name="ALLCOMPB">#REF!</definedName>
    <definedName name="ALLCOMPC">#REF!</definedName>
    <definedName name="AllocEnd">#REF!</definedName>
    <definedName name="AllocNumMoEnd">#REF!</definedName>
    <definedName name="AllocStart">#REF!</definedName>
    <definedName name="AllocYTDEnding">#REF!</definedName>
    <definedName name="AMPO">#REF!</definedName>
    <definedName name="AnnuAdjCashFlow">#REF!</definedName>
    <definedName name="AnnualizedYr">#REF!</definedName>
    <definedName name="AnnuBrwrRev">#REF!</definedName>
    <definedName name="AnnuBrwrTotExp">#REF!</definedName>
    <definedName name="AnnuConcessions">#REF!</definedName>
    <definedName name="AnnuContractSvc">#REF!</definedName>
    <definedName name="AnnuCreditLoss">#REF!</definedName>
    <definedName name="AnnuEGI">#REF!</definedName>
    <definedName name="AnnuEmpUnits">#REF!</definedName>
    <definedName name="AnnuExclInc">#REF!</definedName>
    <definedName name="AnnuExcludedExp">#REF!</definedName>
    <definedName name="AnnuGenAdmin">#REF!</definedName>
    <definedName name="AnnuIns">#REF!</definedName>
    <definedName name="AnnuLaundryInc">#REF!</definedName>
    <definedName name="AnnuLossToLease">#REF!</definedName>
    <definedName name="AnnuMgtFee">#REF!</definedName>
    <definedName name="AnnuMktgExp">#REF!</definedName>
    <definedName name="AnnuModelUnits">#REF!</definedName>
    <definedName name="AnnuNOI">#REF!</definedName>
    <definedName name="AnnuOccRate">#REF!</definedName>
    <definedName name="AnnuOtrExp">#REF!</definedName>
    <definedName name="AnnuOtrInc">#REF!</definedName>
    <definedName name="AnnuParkingInc">#REF!</definedName>
    <definedName name="AnnuProfFees">#REF!</definedName>
    <definedName name="AnnuPropTax">#REF!</definedName>
    <definedName name="AnnuPyrllBene">#REF!</definedName>
    <definedName name="AnnuRentLosses">#REF!</definedName>
    <definedName name="AnnuResGrssRent">#REF!</definedName>
    <definedName name="AnnuResReplRsrv">#REF!</definedName>
    <definedName name="AnnuRprsMntnce">#REF!</definedName>
    <definedName name="AnnuStmtUsed">#REF!</definedName>
    <definedName name="AnnuUtil">#REF!</definedName>
    <definedName name="AnnuVacancy">#REF!</definedName>
    <definedName name="AppDeposit">#REF!</definedName>
    <definedName name="ApprAdjCashFlow">#REF!</definedName>
    <definedName name="ApprBrwrRev">#REF!</definedName>
    <definedName name="ApprBrwrTotExp">#REF!</definedName>
    <definedName name="ApprConcessions">#REF!</definedName>
    <definedName name="ApprContractSvc">#REF!</definedName>
    <definedName name="ApprCreditLoss">#REF!</definedName>
    <definedName name="ApprEGI">#REF!</definedName>
    <definedName name="ApprEmpUnits">#REF!</definedName>
    <definedName name="ApprExclInc">#REF!</definedName>
    <definedName name="ApprExcludedExp">#REF!</definedName>
    <definedName name="ApprGenAdmin">#REF!</definedName>
    <definedName name="ApprIns">#REF!</definedName>
    <definedName name="ApprLaundryInc">#REF!</definedName>
    <definedName name="ApprLossToLease">#REF!</definedName>
    <definedName name="ApprMgtFee">#REF!</definedName>
    <definedName name="ApprMktgExp">#REF!</definedName>
    <definedName name="ApprModelUnits">#REF!</definedName>
    <definedName name="ApprNOI">#REF!</definedName>
    <definedName name="ApprOccRate">#REF!</definedName>
    <definedName name="ApprOtrExp">#REF!</definedName>
    <definedName name="ApprOtrInc">#REF!</definedName>
    <definedName name="ApprParkingInc">#REF!</definedName>
    <definedName name="ApprProfFees">#REF!</definedName>
    <definedName name="ApprPropTax">#REF!</definedName>
    <definedName name="ApprPyrllBene">#REF!</definedName>
    <definedName name="ApprRentLosses">#REF!</definedName>
    <definedName name="ApprResGrssRent">#REF!</definedName>
    <definedName name="ApprResReplRsrv">#REF!</definedName>
    <definedName name="ApprRprsMntnce">#REF!</definedName>
    <definedName name="ApprStmtUsed">#REF!</definedName>
    <definedName name="ApprUtil">#REF!</definedName>
    <definedName name="ApprVacancy">#REF!</definedName>
    <definedName name="APPSIZE">#REF!</definedName>
    <definedName name="APPUNITS">#REF!</definedName>
    <definedName name="APPYEAR">#REF!</definedName>
    <definedName name="ASIS">#REF!</definedName>
    <definedName name="ASISCOMP">#REF!</definedName>
    <definedName name="ASISVAL">#REF!</definedName>
    <definedName name="ATTACH">#REF!</definedName>
    <definedName name="AUPAdjCashFlow">#REF!</definedName>
    <definedName name="AUPBrwrRev">#REF!</definedName>
    <definedName name="AUPBrwrTotExp">#REF!</definedName>
    <definedName name="AUPConcessions">#REF!</definedName>
    <definedName name="AUPContractSvc">#REF!</definedName>
    <definedName name="AUPCreditLoss">#REF!</definedName>
    <definedName name="AUPEGI">#REF!</definedName>
    <definedName name="AUPEmpUnits">#REF!</definedName>
    <definedName name="AUPExclInc">#REF!</definedName>
    <definedName name="AUPExcludedExp">#REF!</definedName>
    <definedName name="AUPGenAdmin">#REF!</definedName>
    <definedName name="AUPIns">#REF!</definedName>
    <definedName name="AUPLaundryInc">#REF!</definedName>
    <definedName name="AUPLossToLease">#REF!</definedName>
    <definedName name="AUPMgtFee">#REF!</definedName>
    <definedName name="AUPMktgExp">#REF!</definedName>
    <definedName name="AUPModelUnits">#REF!</definedName>
    <definedName name="AUPNOI">#REF!</definedName>
    <definedName name="AUPOccRate">#REF!</definedName>
    <definedName name="AUPOtrExp">#REF!</definedName>
    <definedName name="AUPOtrInc">#REF!</definedName>
    <definedName name="AUPParkingInc">#REF!</definedName>
    <definedName name="AUPProfFees">#REF!</definedName>
    <definedName name="AUPPropTax">#REF!</definedName>
    <definedName name="AUPPyrllBene">#REF!</definedName>
    <definedName name="AUPRentLosses">#REF!</definedName>
    <definedName name="AUPResGrssRent">#REF!</definedName>
    <definedName name="AUPResReplRsrv">#REF!</definedName>
    <definedName name="AUPRprsMntnce">#REF!</definedName>
    <definedName name="AUPStmtUsed">#REF!</definedName>
    <definedName name="AUPUtil">#REF!</definedName>
    <definedName name="AUPVacancy">#REF!</definedName>
    <definedName name="Best_Western_Tumwater">#REF!</definedName>
    <definedName name="blah">#REF!</definedName>
    <definedName name="blah2">#REF!</definedName>
    <definedName name="BOTTOM">#REF!</definedName>
    <definedName name="BOTTOMLINE">#REF!</definedName>
    <definedName name="BOTTOMLINE2">#REF!</definedName>
    <definedName name="br">#REF!</definedName>
    <definedName name="BrokerFirm">[8]Main!$O$12</definedName>
    <definedName name="BrokerName">[8]Main!$O$13</definedName>
    <definedName name="BSPRA">#REF!</definedName>
    <definedName name="c_CAM_expns1">'[9]Opertng Statmnts'!#REF!</definedName>
    <definedName name="c_CAM_expns2">#REF!</definedName>
    <definedName name="c_CAM_expns3">#REF!</definedName>
    <definedName name="c_CAM_expns4">#REF!</definedName>
    <definedName name="c_CAM_expns5">#REF!</definedName>
    <definedName name="c_CAM_expnsApp">'[9]Opertng Statmnts'!#REF!</definedName>
    <definedName name="c_CAM_expnsUW">'[9]Opertng Statmnts'!#REF!</definedName>
    <definedName name="c_concess_adj1">'[9]Opertng Statmnts'!#REF!</definedName>
    <definedName name="c_concess_adj2">'[9]Opertng Statmnts'!#REF!</definedName>
    <definedName name="c_concess_adj3">'[9]Opertng Statmnts'!#REF!</definedName>
    <definedName name="c_concess_adj4">'[9]Opertng Statmnts'!#REF!</definedName>
    <definedName name="c_concess_adj5">'[9]Opertng Statmnts'!#REF!</definedName>
    <definedName name="c_concess_adjApp">'[9]Opertng Statmnts'!#REF!</definedName>
    <definedName name="c_concess_adjUW">'[9]Opertng Statmnts'!#REF!</definedName>
    <definedName name="c_credit_loss_adj1">'[9]Opertng Statmnts'!#REF!</definedName>
    <definedName name="c_credit_loss_adj2">'[9]Opertng Statmnts'!#REF!</definedName>
    <definedName name="c_credit_loss_adj3">'[9]Opertng Statmnts'!#REF!</definedName>
    <definedName name="c_credit_loss_adj4">'[9]Opertng Statmnts'!#REF!</definedName>
    <definedName name="c_credit_loss_adj5">'[9]Opertng Statmnts'!#REF!</definedName>
    <definedName name="c_credit_loss_adjApp">'[9]Opertng Statmnts'!#REF!</definedName>
    <definedName name="c_credit_loss_adjUW">'[9]Opertng Statmnts'!#REF!</definedName>
    <definedName name="c_EGI1">'[9]Opertng Statmnts'!#REF!</definedName>
    <definedName name="c_EGI2">#REF!</definedName>
    <definedName name="c_EGI3">#REF!</definedName>
    <definedName name="c_EGI4">#REF!</definedName>
    <definedName name="c_EGI5">#REF!</definedName>
    <definedName name="c_EGIApp">'[9]Opertng Statmnts'!#REF!</definedName>
    <definedName name="c_EGIUW">'[9]Opertng Statmnts'!#REF!</definedName>
    <definedName name="c_expenses_total1">'[9]Opertng Statmnts'!#REF!</definedName>
    <definedName name="c_expenses_total2">'[9]Opertng Statmnts'!#REF!</definedName>
    <definedName name="c_expenses_total3">'[9]Opertng Statmnts'!#REF!</definedName>
    <definedName name="c_expenses_total4">'[9]Opertng Statmnts'!#REF!</definedName>
    <definedName name="c_expenses_total5">'[9]Opertng Statmnts'!#REF!</definedName>
    <definedName name="c_expenses_totalApp">'[9]Opertng Statmnts'!#REF!</definedName>
    <definedName name="c_expenses_totalUW">'[9]Opertng Statmnts'!#REF!</definedName>
    <definedName name="c_G_Admin_expns1">'[9]Opertng Statmnts'!#REF!</definedName>
    <definedName name="c_G_Admin_expns2">#REF!</definedName>
    <definedName name="c_G_Admin_expns3">#REF!</definedName>
    <definedName name="c_G_Admin_expns4">#REF!</definedName>
    <definedName name="c_G_Admin_expns5">#REF!</definedName>
    <definedName name="c_G_Admin_expnsApp">'[9]Opertng Statmnts'!#REF!</definedName>
    <definedName name="c_G_Admin_expnsUW">'[9]Opertng Statmnts'!#REF!</definedName>
    <definedName name="c_GPR_inc1">'[9]Opertng Statmnts'!#REF!</definedName>
    <definedName name="c_GPR_inc2">'[9]Opertng Statmnts'!#REF!</definedName>
    <definedName name="c_GPR_inc3">'[9]Opertng Statmnts'!#REF!</definedName>
    <definedName name="c_GPR_inc4">'[9]Opertng Statmnts'!#REF!</definedName>
    <definedName name="c_GPR_inc5">'[9]Opertng Statmnts'!#REF!</definedName>
    <definedName name="c_GPR_incApp">'[9]Opertng Statmnts'!#REF!</definedName>
    <definedName name="c_GPR_incUW">'[9]Opertng Statmnts'!#REF!</definedName>
    <definedName name="c_ground_lease_expns1">'[9]Opertng Statmnts'!#REF!</definedName>
    <definedName name="c_ground_lease_expns2">'[9]Opertng Statmnts'!#REF!</definedName>
    <definedName name="c_ground_lease_expns3">'[9]Opertng Statmnts'!#REF!</definedName>
    <definedName name="c_ground_lease_expns4">'[9]Opertng Statmnts'!#REF!</definedName>
    <definedName name="c_ground_lease_expns5">'[9]Opertng Statmnts'!#REF!</definedName>
    <definedName name="c_ground_lease_expnsApp">'[9]Opertng Statmnts'!#REF!</definedName>
    <definedName name="c_ground_lease_expnsUW">'[9]Opertng Statmnts'!#REF!</definedName>
    <definedName name="c_ground_snow_trash_expns1">'[9]Opertng Statmnts'!#REF!</definedName>
    <definedName name="c_ground_snow_trash_expns2">'[9]Opertng Statmnts'!#REF!</definedName>
    <definedName name="c_ground_snow_trash_expns3">'[9]Opertng Statmnts'!#REF!</definedName>
    <definedName name="c_ground_snow_trash_expns4">'[9]Opertng Statmnts'!#REF!</definedName>
    <definedName name="c_ground_snow_trash_expns5">'[9]Opertng Statmnts'!#REF!</definedName>
    <definedName name="c_ground_snow_trash_expnsApp">'[9]Opertng Statmnts'!#REF!</definedName>
    <definedName name="c_ground_snow_trash_expnsUW">'[9]Opertng Statmnts'!#REF!</definedName>
    <definedName name="c_insurance_expns1">'[9]Opertng Statmnts'!#REF!</definedName>
    <definedName name="c_insurance_expns2">#REF!</definedName>
    <definedName name="c_insurance_expns3">#REF!</definedName>
    <definedName name="c_insurance_expns4">#REF!</definedName>
    <definedName name="c_insurance_expns5">#REF!</definedName>
    <definedName name="c_insurance_expnsApp">'[9]Opertng Statmnts'!#REF!</definedName>
    <definedName name="c_insurance_expnsUW">'[9]Opertng Statmnts'!#REF!</definedName>
    <definedName name="c_insurance_recov1">'[9]Opertng Statmnts'!#REF!</definedName>
    <definedName name="c_insurance_recov2">'[9]Opertng Statmnts'!#REF!</definedName>
    <definedName name="c_insurance_recov3">'[9]Opertng Statmnts'!#REF!</definedName>
    <definedName name="c_insurance_recov4">'[9]Opertng Statmnts'!#REF!</definedName>
    <definedName name="c_insurance_recov5">'[9]Opertng Statmnts'!#REF!</definedName>
    <definedName name="c_insurance_recovApp">'[9]Opertng Statmnts'!#REF!</definedName>
    <definedName name="c_insurance_recovUW">'[9]Opertng Statmnts'!#REF!</definedName>
    <definedName name="c_L_Comm1">'[9]Opertng Statmnts'!#REF!</definedName>
    <definedName name="c_L_Comm2">#REF!</definedName>
    <definedName name="c_L_Comm3">#REF!</definedName>
    <definedName name="c_L_Comm4">#REF!</definedName>
    <definedName name="c_L_Comm5">#REF!</definedName>
    <definedName name="c_L_CommApp">'[9]Opertng Statmnts'!#REF!</definedName>
    <definedName name="c_L_CommUW">'[9]Opertng Statmnts'!#REF!</definedName>
    <definedName name="c_management_fee1">'[9]Opertng Statmnts'!#REF!</definedName>
    <definedName name="c_management_fee2">#REF!</definedName>
    <definedName name="c_management_fee3">#REF!</definedName>
    <definedName name="c_management_fee4">#REF!</definedName>
    <definedName name="c_management_fee5">#REF!</definedName>
    <definedName name="c_management_feeApp">'[9]Opertng Statmnts'!#REF!</definedName>
    <definedName name="c_management_feeUW">'[9]Opertng Statmnts'!#REF!</definedName>
    <definedName name="c_n_CAM_expns1">'[9]Opertng Statmnts'!#REF!</definedName>
    <definedName name="c_n_CAM_expns2">'[9]Opertng Statmnts'!#REF!</definedName>
    <definedName name="c_n_CAM_expns3">'[9]Opertng Statmnts'!#REF!</definedName>
    <definedName name="c_n_CAM_expns4">'[9]Opertng Statmnts'!#REF!</definedName>
    <definedName name="c_n_CAM_expns5">'[9]Opertng Statmnts'!#REF!</definedName>
    <definedName name="c_n_CAM_expnsApp">'[9]Opertng Statmnts'!#REF!</definedName>
    <definedName name="c_n_CAM_expnsUW">'[9]Opertng Statmnts'!#REF!</definedName>
    <definedName name="c_n_CAM_recov1">'[9]Opertng Statmnts'!#REF!</definedName>
    <definedName name="c_n_CAM_recov2">'[9]Opertng Statmnts'!#REF!</definedName>
    <definedName name="c_n_CAM_recov3">'[9]Opertng Statmnts'!#REF!</definedName>
    <definedName name="c_n_CAM_recov4">'[9]Opertng Statmnts'!#REF!</definedName>
    <definedName name="c_n_CAM_recov5">'[9]Opertng Statmnts'!#REF!</definedName>
    <definedName name="c_n_CAM_recovApp">'[9]Opertng Statmnts'!#REF!</definedName>
    <definedName name="c_n_CAM_recovUW">'[9]Opertng Statmnts'!#REF!</definedName>
    <definedName name="c_n_concess_adj1">'[9]Opertng Statmnts'!#REF!</definedName>
    <definedName name="c_n_concess_adj2">'[9]Opertng Statmnts'!#REF!</definedName>
    <definedName name="c_n_concess_adj3">'[9]Opertng Statmnts'!#REF!</definedName>
    <definedName name="c_n_concess_adj4">'[9]Opertng Statmnts'!#REF!</definedName>
    <definedName name="c_n_concess_adj5">'[9]Opertng Statmnts'!#REF!</definedName>
    <definedName name="c_n_concess_adjApp">'[9]Opertng Statmnts'!#REF!</definedName>
    <definedName name="c_n_concess_adjUW">'[9]Opertng Statmnts'!#REF!</definedName>
    <definedName name="c_n_credit_loss_adj1">'[9]Opertng Statmnts'!#REF!</definedName>
    <definedName name="c_n_credit_loss_adj2">'[9]Opertng Statmnts'!#REF!</definedName>
    <definedName name="c_n_credit_loss_adj3">'[9]Opertng Statmnts'!#REF!</definedName>
    <definedName name="c_n_credit_loss_adj4">'[9]Opertng Statmnts'!#REF!</definedName>
    <definedName name="c_n_credit_loss_adj5">'[9]Opertng Statmnts'!#REF!</definedName>
    <definedName name="c_n_credit_loss_adjApp">'[9]Opertng Statmnts'!#REF!</definedName>
    <definedName name="c_n_credit_loss_adjUW">'[9]Opertng Statmnts'!#REF!</definedName>
    <definedName name="c_n_EGI1">'[9]Opertng Statmnts'!#REF!</definedName>
    <definedName name="c_n_EGI2">'[9]Opertng Statmnts'!#REF!</definedName>
    <definedName name="c_n_EGI3">'[9]Opertng Statmnts'!#REF!</definedName>
    <definedName name="c_n_EGI4">'[9]Opertng Statmnts'!#REF!</definedName>
    <definedName name="c_n_EGI5">'[9]Opertng Statmnts'!#REF!</definedName>
    <definedName name="c_n_EGIApp">'[9]Opertng Statmnts'!#REF!</definedName>
    <definedName name="c_n_EGIUW">'[9]Opertng Statmnts'!#REF!</definedName>
    <definedName name="c_n_expenses_total1">'[9]Opertng Statmnts'!#REF!</definedName>
    <definedName name="c_n_expenses_total2">'[9]Opertng Statmnts'!#REF!</definedName>
    <definedName name="c_n_expenses_total3">'[9]Opertng Statmnts'!#REF!</definedName>
    <definedName name="c_n_expenses_total4">'[9]Opertng Statmnts'!#REF!</definedName>
    <definedName name="c_n_expenses_total5">'[9]Opertng Statmnts'!#REF!</definedName>
    <definedName name="c_n_expenses_totalApp">'[9]Opertng Statmnts'!#REF!</definedName>
    <definedName name="c_n_expenses_totalUW">'[9]Opertng Statmnts'!#REF!</definedName>
    <definedName name="c_n_G_Admin_expns1">'[9]Opertng Statmnts'!#REF!</definedName>
    <definedName name="c_n_G_Admin_expns2">'[9]Opertng Statmnts'!#REF!</definedName>
    <definedName name="c_n_G_Admin_expns3">'[9]Opertng Statmnts'!#REF!</definedName>
    <definedName name="c_n_G_Admin_expns4">'[9]Opertng Statmnts'!#REF!</definedName>
    <definedName name="c_n_G_Admin_expns5">'[9]Opertng Statmnts'!#REF!</definedName>
    <definedName name="c_n_G_Admin_expnsApp">'[9]Opertng Statmnts'!#REF!</definedName>
    <definedName name="c_n_G_Admin_expnsUW">'[9]Opertng Statmnts'!#REF!</definedName>
    <definedName name="c_n_GPR_inc1">'[9]Opertng Statmnts'!#REF!</definedName>
    <definedName name="c_n_GPR_inc2">'[9]Opertng Statmnts'!#REF!</definedName>
    <definedName name="c_n_GPR_inc3">'[9]Opertng Statmnts'!#REF!</definedName>
    <definedName name="c_n_GPR_inc4">'[9]Opertng Statmnts'!#REF!</definedName>
    <definedName name="c_n_GPR_inc5">'[9]Opertng Statmnts'!#REF!</definedName>
    <definedName name="c_n_GPR_incApp">'[9]Opertng Statmnts'!#REF!</definedName>
    <definedName name="c_n_GPR_incUW">'[9]Opertng Statmnts'!#REF!</definedName>
    <definedName name="c_n_ground_lease_expns1">'[9]Opertng Statmnts'!#REF!</definedName>
    <definedName name="c_n_ground_lease_expns2">'[9]Opertng Statmnts'!#REF!</definedName>
    <definedName name="c_n_ground_lease_expns3">'[9]Opertng Statmnts'!#REF!</definedName>
    <definedName name="c_n_ground_lease_expns4">'[9]Opertng Statmnts'!#REF!</definedName>
    <definedName name="c_n_ground_lease_expns5">'[9]Opertng Statmnts'!#REF!</definedName>
    <definedName name="c_n_ground_lease_expnsApp">'[9]Opertng Statmnts'!#REF!</definedName>
    <definedName name="c_n_ground_lease_expnsUW">'[9]Opertng Statmnts'!#REF!</definedName>
    <definedName name="c_n_ground_rent_inc1">'[9]Opertng Statmnts'!#REF!</definedName>
    <definedName name="c_n_ground_rent_inc2">'[9]Opertng Statmnts'!#REF!</definedName>
    <definedName name="c_n_ground_rent_inc3">'[9]Opertng Statmnts'!#REF!</definedName>
    <definedName name="c_n_ground_rent_inc4">'[9]Opertng Statmnts'!#REF!</definedName>
    <definedName name="c_n_ground_rent_inc5">'[9]Opertng Statmnts'!#REF!</definedName>
    <definedName name="c_n_ground_rent_incApp">'[9]Opertng Statmnts'!#REF!</definedName>
    <definedName name="c_n_ground_rent_incUW">'[9]Opertng Statmnts'!#REF!</definedName>
    <definedName name="c_n_ground_snow_trash_expns1">'[9]Opertng Statmnts'!#REF!</definedName>
    <definedName name="c_n_ground_snow_trash_expns2">'[9]Opertng Statmnts'!#REF!</definedName>
    <definedName name="c_n_ground_snow_trash_expns3">'[9]Opertng Statmnts'!#REF!</definedName>
    <definedName name="c_n_ground_snow_trash_expns4">'[9]Opertng Statmnts'!#REF!</definedName>
    <definedName name="c_n_ground_snow_trash_expns5">'[9]Opertng Statmnts'!#REF!</definedName>
    <definedName name="c_n_ground_snow_trash_expnsApp">'[9]Opertng Statmnts'!#REF!</definedName>
    <definedName name="c_n_ground_snow_trash_expnsUW">'[9]Opertng Statmnts'!#REF!</definedName>
    <definedName name="c_n_insurance_expns1">'[9]Opertng Statmnts'!#REF!</definedName>
    <definedName name="c_n_insurance_expns2">'[9]Opertng Statmnts'!#REF!</definedName>
    <definedName name="c_n_insurance_expns3">'[9]Opertng Statmnts'!#REF!</definedName>
    <definedName name="c_n_insurance_expns4">'[9]Opertng Statmnts'!#REF!</definedName>
    <definedName name="c_n_insurance_expns5">'[9]Opertng Statmnts'!#REF!</definedName>
    <definedName name="c_n_insurance_expnsApp">'[9]Opertng Statmnts'!#REF!</definedName>
    <definedName name="c_n_insurance_expnsUW">'[9]Opertng Statmnts'!#REF!</definedName>
    <definedName name="c_n_insurance_recov1">'[9]Opertng Statmnts'!#REF!</definedName>
    <definedName name="c_n_insurance_recov2">'[9]Opertng Statmnts'!#REF!</definedName>
    <definedName name="c_n_insurance_recov3">'[9]Opertng Statmnts'!#REF!</definedName>
    <definedName name="c_n_insurance_recov4">'[9]Opertng Statmnts'!#REF!</definedName>
    <definedName name="c_n_insurance_recov5">'[9]Opertng Statmnts'!#REF!</definedName>
    <definedName name="c_n_insurance_recovApp">'[9]Opertng Statmnts'!#REF!</definedName>
    <definedName name="c_n_insurance_recovUW">'[9]Opertng Statmnts'!#REF!</definedName>
    <definedName name="c_n_L_Comm1">'[9]Opertng Statmnts'!#REF!</definedName>
    <definedName name="c_n_L_Comm2">'[9]Opertng Statmnts'!#REF!</definedName>
    <definedName name="c_n_L_Comm3">'[9]Opertng Statmnts'!#REF!</definedName>
    <definedName name="c_n_L_Comm4">'[9]Opertng Statmnts'!#REF!</definedName>
    <definedName name="c_n_L_Comm5">'[9]Opertng Statmnts'!#REF!</definedName>
    <definedName name="c_n_L_CommApp">'[9]Opertng Statmnts'!#REF!</definedName>
    <definedName name="c_n_L_CommUW">'[9]Opertng Statmnts'!#REF!</definedName>
    <definedName name="c_n_management_fee1">'[9]Opertng Statmnts'!#REF!</definedName>
    <definedName name="c_n_management_fee2">'[9]Opertng Statmnts'!#REF!</definedName>
    <definedName name="c_n_management_fee3">'[9]Opertng Statmnts'!#REF!</definedName>
    <definedName name="c_n_management_fee4">'[9]Opertng Statmnts'!#REF!</definedName>
    <definedName name="c_n_management_fee5">'[9]Opertng Statmnts'!#REF!</definedName>
    <definedName name="c_n_management_feeApp">'[9]Opertng Statmnts'!#REF!</definedName>
    <definedName name="c_n_management_feeUW">'[9]Opertng Statmnts'!#REF!</definedName>
    <definedName name="c_n_NCF1">'[9]Opertng Statmnts'!#REF!</definedName>
    <definedName name="c_n_NCF2">'[9]Opertng Statmnts'!#REF!</definedName>
    <definedName name="c_n_NCF3">'[9]Opertng Statmnts'!#REF!</definedName>
    <definedName name="c_n_NCF4">'[9]Opertng Statmnts'!#REF!</definedName>
    <definedName name="c_n_NCF5">'[9]Opertng Statmnts'!#REF!</definedName>
    <definedName name="c_n_NCFApp">'[9]Opertng Statmnts'!#REF!</definedName>
    <definedName name="c_n_NCFUW">'[9]Opertng Statmnts'!#REF!</definedName>
    <definedName name="c_n_NOI1">'[9]Opertng Statmnts'!#REF!</definedName>
    <definedName name="c_n_NOI2">'[9]Opertng Statmnts'!#REF!</definedName>
    <definedName name="c_n_NOI3">'[9]Opertng Statmnts'!#REF!</definedName>
    <definedName name="c_n_NOI4">'[9]Opertng Statmnts'!#REF!</definedName>
    <definedName name="c_n_NOI5">'[9]Opertng Statmnts'!#REF!</definedName>
    <definedName name="c_n_NOIApp">'[9]Opertng Statmnts'!#REF!</definedName>
    <definedName name="c_n_NOIUW">'[9]Opertng Statmnts'!#REF!</definedName>
    <definedName name="c_n_other_reserve1">'[9]Opertng Statmnts'!#REF!</definedName>
    <definedName name="c_n_other_reserve2">'[9]Opertng Statmnts'!#REF!</definedName>
    <definedName name="c_n_other_reserve3">'[9]Opertng Statmnts'!#REF!</definedName>
    <definedName name="c_n_other_reserve4">'[9]Opertng Statmnts'!#REF!</definedName>
    <definedName name="c_n_other_reserve5">'[9]Opertng Statmnts'!#REF!</definedName>
    <definedName name="c_n_other_reserveApp">'[9]Opertng Statmnts'!#REF!</definedName>
    <definedName name="c_n_other_reserveUW">'[9]Opertng Statmnts'!#REF!</definedName>
    <definedName name="c_n_parking_inc1">'[9]Opertng Statmnts'!#REF!</definedName>
    <definedName name="c_n_parking_inc2">'[9]Opertng Statmnts'!#REF!</definedName>
    <definedName name="c_n_parking_inc3">'[9]Opertng Statmnts'!#REF!</definedName>
    <definedName name="c_n_parking_inc4">'[9]Opertng Statmnts'!#REF!</definedName>
    <definedName name="c_n_parking_inc5">'[9]Opertng Statmnts'!#REF!</definedName>
    <definedName name="c_n_parking_incApp">'[9]Opertng Statmnts'!#REF!</definedName>
    <definedName name="c_n_parking_incUW">'[9]Opertng Statmnts'!#REF!</definedName>
    <definedName name="c_n_payroll_expns1">'[9]Opertng Statmnts'!#REF!</definedName>
    <definedName name="c_n_payroll_expns2">'[9]Opertng Statmnts'!#REF!</definedName>
    <definedName name="c_n_payroll_expns3">'[9]Opertng Statmnts'!#REF!</definedName>
    <definedName name="c_n_payroll_expns4">'[9]Opertng Statmnts'!#REF!</definedName>
    <definedName name="c_n_payroll_expns5">'[9]Opertng Statmnts'!#REF!</definedName>
    <definedName name="c_n_payroll_expnsApp">'[9]Opertng Statmnts'!#REF!</definedName>
    <definedName name="c_n_payroll_expnsUW">'[9]Opertng Statmnts'!#REF!</definedName>
    <definedName name="c_n_pcnt_rent_inc1">'[9]Opertng Statmnts'!#REF!</definedName>
    <definedName name="c_n_pcnt_rent_inc2">'[9]Opertng Statmnts'!#REF!</definedName>
    <definedName name="c_n_pcnt_rent_inc3">'[9]Opertng Statmnts'!#REF!</definedName>
    <definedName name="c_n_pcnt_rent_inc4">'[9]Opertng Statmnts'!#REF!</definedName>
    <definedName name="c_n_pcnt_rent_inc5">'[9]Opertng Statmnts'!#REF!</definedName>
    <definedName name="c_n_pcnt_rent_incApp">'[9]Opertng Statmnts'!#REF!</definedName>
    <definedName name="c_n_pcnt_rent_incUW">'[9]Opertng Statmnts'!#REF!</definedName>
    <definedName name="c_n_professional_expns1">'[9]Opertng Statmnts'!#REF!</definedName>
    <definedName name="c_n_professional_expns2">'[9]Opertng Statmnts'!#REF!</definedName>
    <definedName name="c_n_professional_expns3">'[9]Opertng Statmnts'!#REF!</definedName>
    <definedName name="c_n_professional_expns4">'[9]Opertng Statmnts'!#REF!</definedName>
    <definedName name="c_n_professional_expns5">'[9]Opertng Statmnts'!#REF!</definedName>
    <definedName name="c_n_professional_expnsApp">'[9]Opertng Statmnts'!#REF!</definedName>
    <definedName name="c_n_professional_expnsUW">'[9]Opertng Statmnts'!#REF!</definedName>
    <definedName name="c_n_RE_taxes_recov1">'[9]Opertng Statmnts'!#REF!</definedName>
    <definedName name="c_n_RE_taxes_recov2">'[9]Opertng Statmnts'!#REF!</definedName>
    <definedName name="c_n_RE_taxes_recov3">'[9]Opertng Statmnts'!#REF!</definedName>
    <definedName name="c_n_RE_taxes_recov4">'[9]Opertng Statmnts'!#REF!</definedName>
    <definedName name="c_n_RE_taxes_recov5">'[9]Opertng Statmnts'!#REF!</definedName>
    <definedName name="c_n_RE_taxes_recovApp">'[9]Opertng Statmnts'!#REF!</definedName>
    <definedName name="c_n_RE_taxes_recovUW">'[9]Opertng Statmnts'!#REF!</definedName>
    <definedName name="c_n_RE_taxes1">'[9]Opertng Statmnts'!#REF!</definedName>
    <definedName name="c_n_RE_taxes2">'[9]Opertng Statmnts'!#REF!</definedName>
    <definedName name="c_n_RE_taxes3">'[9]Opertng Statmnts'!#REF!</definedName>
    <definedName name="c_n_RE_taxes4">'[9]Opertng Statmnts'!#REF!</definedName>
    <definedName name="c_n_RE_taxes5">'[9]Opertng Statmnts'!#REF!</definedName>
    <definedName name="c_n_RE_taxesApp">'[9]Opertng Statmnts'!#REF!</definedName>
    <definedName name="c_n_RE_taxesUW">'[9]Opertng Statmnts'!#REF!</definedName>
    <definedName name="c_n_repair_mainten_expns1">'[9]Opertng Statmnts'!#REF!</definedName>
    <definedName name="c_n_repair_mainten_expns2">'[9]Opertng Statmnts'!#REF!</definedName>
    <definedName name="c_n_repair_mainten_expns3">'[9]Opertng Statmnts'!#REF!</definedName>
    <definedName name="c_n_repair_mainten_expns4">'[9]Opertng Statmnts'!#REF!</definedName>
    <definedName name="c_n_repair_mainten_expns5">'[9]Opertng Statmnts'!#REF!</definedName>
    <definedName name="c_n_repair_mainten_expnsApp">'[9]Opertng Statmnts'!#REF!</definedName>
    <definedName name="c_n_repair_mainten_expnsUW">'[9]Opertng Statmnts'!#REF!</definedName>
    <definedName name="c_n_replace_reserve1">'[9]Opertng Statmnts'!#REF!</definedName>
    <definedName name="c_n_replace_reserve2">'[9]Opertng Statmnts'!#REF!</definedName>
    <definedName name="c_n_replace_reserve3">'[9]Opertng Statmnts'!#REF!</definedName>
    <definedName name="c_n_replace_reserve4">'[9]Opertng Statmnts'!#REF!</definedName>
    <definedName name="c_n_replace_reserve5">'[9]Opertng Statmnts'!#REF!</definedName>
    <definedName name="c_n_replace_reserveApp">'[9]Opertng Statmnts'!#REF!</definedName>
    <definedName name="c_n_replace_reserveUW">'[9]Opertng Statmnts'!#REF!</definedName>
    <definedName name="c_n_sales_marketing_expns1">'[9]Opertng Statmnts'!#REF!</definedName>
    <definedName name="c_n_sales_marketing_expns2">'[9]Opertng Statmnts'!#REF!</definedName>
    <definedName name="c_n_sales_marketing_expns3">'[9]Opertng Statmnts'!#REF!</definedName>
    <definedName name="c_n_sales_marketing_expns4">'[9]Opertng Statmnts'!#REF!</definedName>
    <definedName name="c_n_sales_marketing_expns5">'[9]Opertng Statmnts'!#REF!</definedName>
    <definedName name="c_n_sales_marketing_expnsApp">'[9]Opertng Statmnts'!#REF!</definedName>
    <definedName name="c_n_sales_marketing_expnsUW">'[9]Opertng Statmnts'!#REF!</definedName>
    <definedName name="c_n_security_expns1">'[9]Opertng Statmnts'!#REF!</definedName>
    <definedName name="c_n_security_expns2">'[9]Opertng Statmnts'!#REF!</definedName>
    <definedName name="c_n_security_expns3">'[9]Opertng Statmnts'!#REF!</definedName>
    <definedName name="c_n_security_expns4">'[9]Opertng Statmnts'!#REF!</definedName>
    <definedName name="c_n_security_expns5">'[9]Opertng Statmnts'!#REF!</definedName>
    <definedName name="c_n_security_expnsApp">'[9]Opertng Statmnts'!#REF!</definedName>
    <definedName name="c_n_security_expnsUW">'[9]Opertng Statmnts'!#REF!</definedName>
    <definedName name="c_n_T_Improve1">'[9]Opertng Statmnts'!#REF!</definedName>
    <definedName name="c_n_T_Improve2">'[9]Opertng Statmnts'!#REF!</definedName>
    <definedName name="c_n_T_Improve3">'[9]Opertng Statmnts'!#REF!</definedName>
    <definedName name="c_n_T_Improve4">'[9]Opertng Statmnts'!#REF!</definedName>
    <definedName name="c_n_T_Improve5">'[9]Opertng Statmnts'!#REF!</definedName>
    <definedName name="c_n_T_ImproveApp">'[9]Opertng Statmnts'!#REF!</definedName>
    <definedName name="c_n_T_ImproveUW">'[9]Opertng Statmnts'!#REF!</definedName>
    <definedName name="c_n_tenant_inc_anchor1">'[9]Opertng Statmnts'!#REF!</definedName>
    <definedName name="c_n_tenant_inc_anchor2">'[9]Opertng Statmnts'!#REF!</definedName>
    <definedName name="c_n_tenant_inc_anchor3">'[9]Opertng Statmnts'!#REF!</definedName>
    <definedName name="c_n_tenant_inc_anchor4">'[9]Opertng Statmnts'!#REF!</definedName>
    <definedName name="c_n_tenant_inc_anchor5">'[9]Opertng Statmnts'!#REF!</definedName>
    <definedName name="c_n_tenant_inc_anchorApp">'[9]Opertng Statmnts'!#REF!</definedName>
    <definedName name="c_n_tenant_inc_anchorUW">'[9]Opertng Statmnts'!#REF!</definedName>
    <definedName name="c_n_tenant_inc_local1">'[9]Opertng Statmnts'!#REF!</definedName>
    <definedName name="c_n_tenant_inc_local2">'[9]Opertng Statmnts'!#REF!</definedName>
    <definedName name="c_n_tenant_inc_local3">'[9]Opertng Statmnts'!#REF!</definedName>
    <definedName name="c_n_tenant_inc_local4">'[9]Opertng Statmnts'!#REF!</definedName>
    <definedName name="c_n_tenant_inc_local5">'[9]Opertng Statmnts'!#REF!</definedName>
    <definedName name="c_n_tenant_inc_localApp">'[9]Opertng Statmnts'!#REF!</definedName>
    <definedName name="c_n_tenant_inc_localUW">'[9]Opertng Statmnts'!#REF!</definedName>
    <definedName name="c_n_tenant_inc_major1">'[9]Opertng Statmnts'!#REF!</definedName>
    <definedName name="c_n_tenant_inc_major2">'[9]Opertng Statmnts'!#REF!</definedName>
    <definedName name="c_n_tenant_inc_major3">'[9]Opertng Statmnts'!#REF!</definedName>
    <definedName name="c_n_tenant_inc_major4">'[9]Opertng Statmnts'!#REF!</definedName>
    <definedName name="c_n_tenant_inc_major5">'[9]Opertng Statmnts'!#REF!</definedName>
    <definedName name="c_n_tenant_inc_majorApp">'[9]Opertng Statmnts'!#REF!</definedName>
    <definedName name="c_n_tenant_inc_majorUW">'[9]Opertng Statmnts'!#REF!</definedName>
    <definedName name="c_n_utilities_expns1">'[9]Opertng Statmnts'!#REF!</definedName>
    <definedName name="c_n_utilities_expns2">'[9]Opertng Statmnts'!#REF!</definedName>
    <definedName name="c_n_utilities_expns3">'[9]Opertng Statmnts'!#REF!</definedName>
    <definedName name="c_n_utilities_expns4">'[9]Opertng Statmnts'!#REF!</definedName>
    <definedName name="c_n_utilities_expns5">'[9]Opertng Statmnts'!#REF!</definedName>
    <definedName name="c_n_utilities_expnsApp">'[9]Opertng Statmnts'!#REF!</definedName>
    <definedName name="c_n_utilities_expnsUW">'[9]Opertng Statmnts'!#REF!</definedName>
    <definedName name="c_n_utilities_recov1">'[9]Opertng Statmnts'!#REF!</definedName>
    <definedName name="c_n_utilities_recov2">'[9]Opertng Statmnts'!#REF!</definedName>
    <definedName name="c_n_utilities_recov3">'[9]Opertng Statmnts'!#REF!</definedName>
    <definedName name="c_n_utilities_recov4">'[9]Opertng Statmnts'!#REF!</definedName>
    <definedName name="c_n_utilities_recov5">'[9]Opertng Statmnts'!#REF!</definedName>
    <definedName name="c_n_utilities_recovApp">'[9]Opertng Statmnts'!#REF!</definedName>
    <definedName name="c_n_utilities_recovUW">'[9]Opertng Statmnts'!#REF!</definedName>
    <definedName name="c_n_uw_adj1">'[9]Opertng Statmnts'!#REF!</definedName>
    <definedName name="c_n_uw_adj2">'[9]Opertng Statmnts'!#REF!</definedName>
    <definedName name="c_n_uw_adj3">'[9]Opertng Statmnts'!#REF!</definedName>
    <definedName name="c_n_uw_adj4">'[9]Opertng Statmnts'!#REF!</definedName>
    <definedName name="c_n_uw_adj5">'[9]Opertng Statmnts'!#REF!</definedName>
    <definedName name="c_n_uw_adjApp">'[9]Opertng Statmnts'!#REF!</definedName>
    <definedName name="c_n_uw_adjUW">'[9]Opertng Statmnts'!#REF!</definedName>
    <definedName name="c_n_vacancy_adj_anchor1">'[9]Opertng Statmnts'!#REF!</definedName>
    <definedName name="c_n_vacancy_adj_anchor2">'[9]Opertng Statmnts'!#REF!</definedName>
    <definedName name="c_n_vacancy_adj_anchor3">'[9]Opertng Statmnts'!#REF!</definedName>
    <definedName name="c_n_vacancy_adj_anchor4">'[9]Opertng Statmnts'!#REF!</definedName>
    <definedName name="c_n_vacancy_adj_anchor5">'[9]Opertng Statmnts'!#REF!</definedName>
    <definedName name="c_n_vacancy_adj_anchorApp">'[9]Opertng Statmnts'!#REF!</definedName>
    <definedName name="c_n_vacancy_adj_anchorUW">'[9]Opertng Statmnts'!#REF!</definedName>
    <definedName name="c_n_vacancy_adj_local1">'[9]Opertng Statmnts'!#REF!</definedName>
    <definedName name="c_n_vacancy_adj_local2">'[9]Opertng Statmnts'!#REF!</definedName>
    <definedName name="c_n_vacancy_adj_local3">'[9]Opertng Statmnts'!#REF!</definedName>
    <definedName name="c_n_vacancy_adj_local4">'[9]Opertng Statmnts'!#REF!</definedName>
    <definedName name="c_n_vacancy_adj_local5">'[9]Opertng Statmnts'!#REF!</definedName>
    <definedName name="c_n_vacancy_adj_localApp">'[9]Opertng Statmnts'!#REF!</definedName>
    <definedName name="c_n_vacancy_adj_localUW">'[9]Opertng Statmnts'!#REF!</definedName>
    <definedName name="c_n_vacancy_adj_major1">'[9]Opertng Statmnts'!#REF!</definedName>
    <definedName name="c_n_vacancy_adj_major2">'[9]Opertng Statmnts'!#REF!</definedName>
    <definedName name="c_n_vacancy_adj_major3">'[9]Opertng Statmnts'!#REF!</definedName>
    <definedName name="c_n_vacancy_adj_major4">'[9]Opertng Statmnts'!#REF!</definedName>
    <definedName name="c_n_vacancy_adj_major5">'[9]Opertng Statmnts'!#REF!</definedName>
    <definedName name="c_n_vacancy_adj_majorApp">'[9]Opertng Statmnts'!#REF!</definedName>
    <definedName name="c_n_vacancy_adj_majorUW">'[9]Opertng Statmnts'!#REF!</definedName>
    <definedName name="c_n_vacancy_adj1">'[9]Opertng Statmnts'!#REF!</definedName>
    <definedName name="c_n_vacancy_adj2">'[9]Opertng Statmnts'!#REF!</definedName>
    <definedName name="c_n_vacancy_adj3">'[9]Opertng Statmnts'!#REF!</definedName>
    <definedName name="c_n_vacancy_adj4">'[9]Opertng Statmnts'!#REF!</definedName>
    <definedName name="c_n_vacancy_adj5">'[9]Opertng Statmnts'!#REF!</definedName>
    <definedName name="c_n_vacancy_adjApp">'[9]Opertng Statmnts'!#REF!</definedName>
    <definedName name="c_n_vacancy_adjUW">'[9]Opertng Statmnts'!#REF!</definedName>
    <definedName name="c_NCF1">'[9]Opertng Statmnts'!#REF!</definedName>
    <definedName name="c_NCF2">#REF!</definedName>
    <definedName name="c_NCF3">#REF!</definedName>
    <definedName name="c_NCF4">#REF!</definedName>
    <definedName name="c_NCF5">#REF!</definedName>
    <definedName name="c_NCFApp">'[9]Opertng Statmnts'!#REF!</definedName>
    <definedName name="c_NCFUW">'[9]Opertng Statmnts'!#REF!</definedName>
    <definedName name="c_NOI1">'[9]Opertng Statmnts'!#REF!</definedName>
    <definedName name="c_NOI2">'[9]Opertng Statmnts'!#REF!</definedName>
    <definedName name="c_NOI3">'[9]Opertng Statmnts'!#REF!</definedName>
    <definedName name="c_NOI4">'[9]Opertng Statmnts'!#REF!</definedName>
    <definedName name="c_NOI5">'[9]Opertng Statmnts'!#REF!</definedName>
    <definedName name="c_NOIApp">'[9]Opertng Statmnts'!#REF!</definedName>
    <definedName name="c_NOIUW">'[9]Opertng Statmnts'!#REF!</definedName>
    <definedName name="c_other_expns_fix_amt1">'[9]Opertng Statmnts'!#REF!</definedName>
    <definedName name="c_other_expns_fix_amt2">'[9]Opertng Statmnts'!#REF!</definedName>
    <definedName name="c_other_expns_fix_amt3">'[9]Opertng Statmnts'!#REF!</definedName>
    <definedName name="c_other_expns_fix_amt4">'[9]Opertng Statmnts'!#REF!</definedName>
    <definedName name="c_other_expns_fix_amt5">'[9]Opertng Statmnts'!#REF!</definedName>
    <definedName name="c_other_expns_fix_amtApp">'[9]Opertng Statmnts'!#REF!</definedName>
    <definedName name="c_other_expns_fix_amtUW">'[9]Opertng Statmnts'!#REF!</definedName>
    <definedName name="c_other_expns_fixed1">'[9]Opertng Statmnts'!#REF!</definedName>
    <definedName name="c_other_expns_fixed2">'[9]Opertng Statmnts'!#REF!</definedName>
    <definedName name="c_other_expns_fixed3">'[9]Opertng Statmnts'!#REF!</definedName>
    <definedName name="c_other_expns_fixed4">'[9]Opertng Statmnts'!#REF!</definedName>
    <definedName name="c_other_expns_fixed5">'[9]Opertng Statmnts'!#REF!</definedName>
    <definedName name="c_other_expns_fixedApp">'[9]Opertng Statmnts'!#REF!</definedName>
    <definedName name="c_other_expns_fixedUW">'[9]Opertng Statmnts'!#REF!</definedName>
    <definedName name="c_other_expns_var_amt1">'[9]Opertng Statmnts'!#REF!</definedName>
    <definedName name="c_other_expns_var_amt2">#REF!</definedName>
    <definedName name="c_other_expns_var_amt3">#REF!</definedName>
    <definedName name="c_other_expns_var_amt4">#REF!</definedName>
    <definedName name="c_other_expns_var_amt5">#REF!</definedName>
    <definedName name="c_other_expns_var_amtApp">'[9]Opertng Statmnts'!#REF!</definedName>
    <definedName name="c_other_expns_var_amtUW">'[9]Opertng Statmnts'!#REF!</definedName>
    <definedName name="c_other_expns_variable1">'[9]Opertng Statmnts'!#REF!</definedName>
    <definedName name="c_other_expns_variable2">'[9]Opertng Statmnts'!#REF!</definedName>
    <definedName name="c_other_expns_variable3">'[9]Opertng Statmnts'!#REF!</definedName>
    <definedName name="c_other_expns_variable4">'[9]Opertng Statmnts'!#REF!</definedName>
    <definedName name="c_other_expns_variable5">'[9]Opertng Statmnts'!#REF!</definedName>
    <definedName name="c_other_expns_variableApp">'[9]Opertng Statmnts'!#REF!</definedName>
    <definedName name="c_other_expns_variableUW">'[9]Opertng Statmnts'!#REF!</definedName>
    <definedName name="c_other_inc_amount1">'[9]Opertng Statmnts'!#REF!</definedName>
    <definedName name="c_other_inc_amount2">#REF!</definedName>
    <definedName name="c_other_inc_amount3">#REF!</definedName>
    <definedName name="c_other_inc_amount4">#REF!</definedName>
    <definedName name="c_other_inc_amount5">#REF!</definedName>
    <definedName name="c_other_inc_amountApp">'[9]Opertng Statmnts'!#REF!</definedName>
    <definedName name="c_other_inc_amountUW">'[9]Opertng Statmnts'!#REF!</definedName>
    <definedName name="c_other_income1">'[9]Opertng Statmnts'!#REF!</definedName>
    <definedName name="c_other_income2">#REF!</definedName>
    <definedName name="c_other_income3">#REF!</definedName>
    <definedName name="c_other_income4">#REF!</definedName>
    <definedName name="c_other_income5">#REF!</definedName>
    <definedName name="c_other_incomeApp">'[9]Opertng Statmnts'!#REF!</definedName>
    <definedName name="c_other_incomeUW">'[9]Opertng Statmnts'!#REF!</definedName>
    <definedName name="c_other_recov_amt1">'[9]Opertng Statmnts'!#REF!</definedName>
    <definedName name="c_other_recov_amt2">'[9]Opertng Statmnts'!#REF!</definedName>
    <definedName name="c_other_recov_amt3">'[9]Opertng Statmnts'!#REF!</definedName>
    <definedName name="c_other_recov_amt4">'[9]Opertng Statmnts'!#REF!</definedName>
    <definedName name="c_other_recov_amt5">'[9]Opertng Statmnts'!#REF!</definedName>
    <definedName name="c_other_recov_amtApp">'[9]Opertng Statmnts'!#REF!</definedName>
    <definedName name="c_other_recov_amtUW">'[9]Opertng Statmnts'!#REF!</definedName>
    <definedName name="c_other_recoveries1">'[9]Opertng Statmnts'!#REF!</definedName>
    <definedName name="c_other_recoveries2">'[9]Opertng Statmnts'!#REF!</definedName>
    <definedName name="c_other_recoveries3">'[9]Opertng Statmnts'!#REF!</definedName>
    <definedName name="c_other_recoveries4">'[9]Opertng Statmnts'!#REF!</definedName>
    <definedName name="c_other_recoveries5">'[9]Opertng Statmnts'!#REF!</definedName>
    <definedName name="c_other_recoveriesApp">'[9]Opertng Statmnts'!#REF!</definedName>
    <definedName name="c_other_recoveriesUW">'[9]Opertng Statmnts'!#REF!</definedName>
    <definedName name="c_other_reserve_amt1">'[9]Opertng Statmnts'!#REF!</definedName>
    <definedName name="c_other_reserve_amt2">'[9]Opertng Statmnts'!#REF!</definedName>
    <definedName name="c_other_reserve_amt3">'[9]Opertng Statmnts'!#REF!</definedName>
    <definedName name="c_other_reserve_amt4">'[9]Opertng Statmnts'!#REF!</definedName>
    <definedName name="c_other_reserve_amt5">'[9]Opertng Statmnts'!#REF!</definedName>
    <definedName name="c_other_reserve_amtApp">'[9]Opertng Statmnts'!#REF!</definedName>
    <definedName name="c_other_reserve_amtUW">'[9]Opertng Statmnts'!#REF!</definedName>
    <definedName name="c_other_reserve1">'[9]Opertng Statmnts'!#REF!</definedName>
    <definedName name="c_other_reserve2">'[9]Opertng Statmnts'!#REF!</definedName>
    <definedName name="c_other_reserve3">'[9]Opertng Statmnts'!#REF!</definedName>
    <definedName name="c_other_reserve4">'[9]Opertng Statmnts'!#REF!</definedName>
    <definedName name="c_other_reserve5">'[9]Opertng Statmnts'!#REF!</definedName>
    <definedName name="c_other_reserveApp">'[9]Opertng Statmnts'!#REF!</definedName>
    <definedName name="c_other_reserveUW">'[9]Opertng Statmnts'!#REF!</definedName>
    <definedName name="c_parking_inc1">'[9]Opertng Statmnts'!#REF!</definedName>
    <definedName name="c_parking_inc2">'[9]Opertng Statmnts'!#REF!</definedName>
    <definedName name="c_parking_inc3">'[9]Opertng Statmnts'!#REF!</definedName>
    <definedName name="c_parking_inc4">'[9]Opertng Statmnts'!#REF!</definedName>
    <definedName name="c_parking_inc5">'[9]Opertng Statmnts'!#REF!</definedName>
    <definedName name="c_parking_incApp">'[9]Opertng Statmnts'!#REF!</definedName>
    <definedName name="c_parking_incUW">'[9]Opertng Statmnts'!#REF!</definedName>
    <definedName name="c_payroll_expns1">'[9]Opertng Statmnts'!#REF!</definedName>
    <definedName name="c_payroll_expns2">'[9]Opertng Statmnts'!#REF!</definedName>
    <definedName name="c_payroll_expns3">'[9]Opertng Statmnts'!#REF!</definedName>
    <definedName name="c_payroll_expns4">'[9]Opertng Statmnts'!#REF!</definedName>
    <definedName name="c_payroll_expns5">'[9]Opertng Statmnts'!#REF!</definedName>
    <definedName name="c_payroll_expnsApp">'[9]Opertng Statmnts'!#REF!</definedName>
    <definedName name="c_payroll_expnsUW">'[9]Opertng Statmnts'!#REF!</definedName>
    <definedName name="c_pcnt_rent_inc1">'[9]Opertng Statmnts'!#REF!</definedName>
    <definedName name="c_pcnt_rent_inc2">'[9]Opertng Statmnts'!#REF!</definedName>
    <definedName name="c_pcnt_rent_inc3">'[9]Opertng Statmnts'!#REF!</definedName>
    <definedName name="c_pcnt_rent_inc4">'[9]Opertng Statmnts'!#REF!</definedName>
    <definedName name="c_pcnt_rent_inc5">'[9]Opertng Statmnts'!#REF!</definedName>
    <definedName name="c_pcnt_rent_incApp">'[9]Opertng Statmnts'!#REF!</definedName>
    <definedName name="c_pcnt_rent_incUW">'[9]Opertng Statmnts'!#REF!</definedName>
    <definedName name="c_professional_expns1">'[9]Opertng Statmnts'!#REF!</definedName>
    <definedName name="c_professional_expns2">'[9]Opertng Statmnts'!#REF!</definedName>
    <definedName name="c_professional_expns3">'[9]Opertng Statmnts'!#REF!</definedName>
    <definedName name="c_professional_expns4">'[9]Opertng Statmnts'!#REF!</definedName>
    <definedName name="c_professional_expns5">'[9]Opertng Statmnts'!#REF!</definedName>
    <definedName name="c_professional_expnsApp">'[9]Opertng Statmnts'!#REF!</definedName>
    <definedName name="c_professional_expnsUW">'[9]Opertng Statmnts'!#REF!</definedName>
    <definedName name="c_RE_taxes_recov1">'[9]Opertng Statmnts'!#REF!</definedName>
    <definedName name="c_RE_taxes_recov2">'[9]Opertng Statmnts'!#REF!</definedName>
    <definedName name="c_RE_taxes_recov3">'[9]Opertng Statmnts'!#REF!</definedName>
    <definedName name="c_RE_taxes_recov4">'[9]Opertng Statmnts'!#REF!</definedName>
    <definedName name="c_RE_taxes_recov5">'[9]Opertng Statmnts'!#REF!</definedName>
    <definedName name="c_RE_taxes_recovApp">'[9]Opertng Statmnts'!#REF!</definedName>
    <definedName name="c_RE_taxes_recovUW">'[9]Opertng Statmnts'!#REF!</definedName>
    <definedName name="c_RE_taxes1">'[9]Opertng Statmnts'!#REF!</definedName>
    <definedName name="c_RE_taxes2">#REF!</definedName>
    <definedName name="c_RE_taxes3">#REF!</definedName>
    <definedName name="c_RE_taxes4">#REF!</definedName>
    <definedName name="c_RE_taxes5">#REF!</definedName>
    <definedName name="c_RE_taxesApp">'[9]Opertng Statmnts'!#REF!</definedName>
    <definedName name="c_RE_taxesUW">'[9]Opertng Statmnts'!#REF!</definedName>
    <definedName name="c_repair_mainten_expns1">'[9]Opertng Statmnts'!#REF!</definedName>
    <definedName name="c_repair_mainten_expns2">#REF!</definedName>
    <definedName name="c_repair_mainten_expns3">#REF!</definedName>
    <definedName name="c_repair_mainten_expns4">#REF!</definedName>
    <definedName name="c_repair_mainten_expns5">#REF!</definedName>
    <definedName name="c_repair_mainten_expnsApp">'[9]Opertng Statmnts'!#REF!</definedName>
    <definedName name="c_repair_mainten_expnsUW">'[9]Opertng Statmnts'!#REF!</definedName>
    <definedName name="c_replace_reserve1">'[9]Opertng Statmnts'!#REF!</definedName>
    <definedName name="c_replace_reserve2">#REF!</definedName>
    <definedName name="c_replace_reserve3">#REF!</definedName>
    <definedName name="c_replace_reserve4">#REF!</definedName>
    <definedName name="c_replace_reserve5">#REF!</definedName>
    <definedName name="c_replace_reserveApp">'[9]Opertng Statmnts'!#REF!</definedName>
    <definedName name="c_replace_reserveUW">'[9]Opertng Statmnts'!#REF!</definedName>
    <definedName name="c_sales_marketing_expns1">'[9]Opertng Statmnts'!#REF!</definedName>
    <definedName name="c_sales_marketing_expns2">'[9]Opertng Statmnts'!#REF!</definedName>
    <definedName name="c_sales_marketing_expns3">'[9]Opertng Statmnts'!#REF!</definedName>
    <definedName name="c_sales_marketing_expns4">'[9]Opertng Statmnts'!#REF!</definedName>
    <definedName name="c_sales_marketing_expns5">'[9]Opertng Statmnts'!#REF!</definedName>
    <definedName name="c_sales_marketing_expnsApp">'[9]Opertng Statmnts'!#REF!</definedName>
    <definedName name="c_sales_marketing_expnsUW">'[9]Opertng Statmnts'!#REF!</definedName>
    <definedName name="c_security_expns1">'[9]Opertng Statmnts'!#REF!</definedName>
    <definedName name="c_security_expns2">#REF!</definedName>
    <definedName name="c_security_expns3">#REF!</definedName>
    <definedName name="c_security_expns4">#REF!</definedName>
    <definedName name="c_security_expns5">#REF!</definedName>
    <definedName name="c_security_expnsApp">'[9]Opertng Statmnts'!#REF!</definedName>
    <definedName name="c_security_expnsUW">'[9]Opertng Statmnts'!#REF!</definedName>
    <definedName name="c_statement_annualized1">'[9]Opertng Statmnts'!#REF!</definedName>
    <definedName name="c_statement_annualized2">#REF!</definedName>
    <definedName name="c_statement_annualized3">#REF!</definedName>
    <definedName name="c_statement_annualized4">#REF!</definedName>
    <definedName name="c_statement_annualized5">#REF!</definedName>
    <definedName name="c_statement_annualizedApp">'[9]Opertng Statmnts'!#REF!</definedName>
    <definedName name="c_statement_annualizedUW">'[9]Opertng Statmnts'!#REF!</definedName>
    <definedName name="c_statement_date1">'[9]Opertng Statmnts'!#REF!</definedName>
    <definedName name="c_statement_date2">#REF!</definedName>
    <definedName name="c_statement_date3">#REF!</definedName>
    <definedName name="c_statement_date4">#REF!</definedName>
    <definedName name="c_statement_date5">#REF!</definedName>
    <definedName name="c_statement_dateApp">'[9]Opertng Statmnts'!#REF!</definedName>
    <definedName name="c_statement_dateUW">'[9]Opertng Statmnts'!#REF!</definedName>
    <definedName name="c_statement_num_months1">'[9]Opertng Statmnts'!#REF!</definedName>
    <definedName name="c_statement_num_months2">#REF!</definedName>
    <definedName name="c_statement_num_months3">#REF!</definedName>
    <definedName name="c_statement_num_months4">#REF!</definedName>
    <definedName name="c_statement_num_months5">#REF!</definedName>
    <definedName name="c_statement_num_monthsApp">'[9]Opertng Statmnts'!#REF!</definedName>
    <definedName name="c_statement_num_monthsUW">'[9]Opertng Statmnts'!#REF!</definedName>
    <definedName name="c_statement_type1">'[9]Opertng Statmnts'!#REF!</definedName>
    <definedName name="c_statement_type2">#REF!</definedName>
    <definedName name="c_statement_type3">#REF!</definedName>
    <definedName name="c_statement_type4">#REF!</definedName>
    <definedName name="c_statement_type5">#REF!</definedName>
    <definedName name="c_statement_typeApp">'[9]Opertng Statmnts'!#REF!</definedName>
    <definedName name="c_statement_typeUW">'[9]Opertng Statmnts'!#REF!</definedName>
    <definedName name="c_T_Improve1">'[9]Opertng Statmnts'!#REF!</definedName>
    <definedName name="c_T_Improve2">#REF!</definedName>
    <definedName name="c_T_Improve3">#REF!</definedName>
    <definedName name="c_T_Improve4">#REF!</definedName>
    <definedName name="c_T_Improve5">#REF!</definedName>
    <definedName name="c_T_ImproveApp">'[9]Opertng Statmnts'!#REF!</definedName>
    <definedName name="c_T_ImproveUW">'[9]Opertng Statmnts'!#REF!</definedName>
    <definedName name="c_utilities_expns1">'[9]Opertng Statmnts'!#REF!</definedName>
    <definedName name="c_utilities_expns2">#REF!</definedName>
    <definedName name="c_utilities_expns3">#REF!</definedName>
    <definedName name="c_utilities_expns4">#REF!</definedName>
    <definedName name="c_utilities_expns5">#REF!</definedName>
    <definedName name="c_utilities_expnsApp">'[9]Opertng Statmnts'!#REF!</definedName>
    <definedName name="c_utilities_expnsUW">'[9]Opertng Statmnts'!#REF!</definedName>
    <definedName name="c_utilities_recov1">'[9]Opertng Statmnts'!#REF!</definedName>
    <definedName name="c_utilities_recov2">'[9]Opertng Statmnts'!#REF!</definedName>
    <definedName name="c_utilities_recov3">'[9]Opertng Statmnts'!#REF!</definedName>
    <definedName name="c_utilities_recov4">'[9]Opertng Statmnts'!#REF!</definedName>
    <definedName name="c_utilities_recov5">'[9]Opertng Statmnts'!#REF!</definedName>
    <definedName name="c_utilities_recovApp">'[9]Opertng Statmnts'!#REF!</definedName>
    <definedName name="c_utilities_recovUW">'[9]Opertng Statmnts'!#REF!</definedName>
    <definedName name="c_uw_adj1">'[9]Opertng Statmnts'!#REF!</definedName>
    <definedName name="c_uw_adj2">'[9]Opertng Statmnts'!#REF!</definedName>
    <definedName name="c_uw_adj3">'[9]Opertng Statmnts'!#REF!</definedName>
    <definedName name="c_uw_adj4">'[9]Opertng Statmnts'!#REF!</definedName>
    <definedName name="c_uw_adj5">'[9]Opertng Statmnts'!#REF!</definedName>
    <definedName name="c_uw_adjApp">'[9]Opertng Statmnts'!#REF!</definedName>
    <definedName name="c_uw_adjUW">'[9]Opertng Statmnts'!#REF!</definedName>
    <definedName name="c_vacancy_adj_anchor1">'[9]Opertng Statmnts'!#REF!</definedName>
    <definedName name="c_vacancy_adj_anchor2">'[9]Opertng Statmnts'!#REF!</definedName>
    <definedName name="c_vacancy_adj_anchor3">'[9]Opertng Statmnts'!#REF!</definedName>
    <definedName name="c_vacancy_adj_anchor4">'[9]Opertng Statmnts'!#REF!</definedName>
    <definedName name="c_vacancy_adj_anchor5">'[9]Opertng Statmnts'!#REF!</definedName>
    <definedName name="c_vacancy_adj_anchorApp">'[9]Opertng Statmnts'!#REF!</definedName>
    <definedName name="c_vacancy_adj_anchorUW">'[9]Opertng Statmnts'!#REF!</definedName>
    <definedName name="c_vacancy_adj_local1">'[9]Opertng Statmnts'!#REF!</definedName>
    <definedName name="c_vacancy_adj_local2">'[9]Opertng Statmnts'!#REF!</definedName>
    <definedName name="c_vacancy_adj_local3">'[9]Opertng Statmnts'!#REF!</definedName>
    <definedName name="c_vacancy_adj_local4">'[9]Opertng Statmnts'!#REF!</definedName>
    <definedName name="c_vacancy_adj_local5">'[9]Opertng Statmnts'!#REF!</definedName>
    <definedName name="c_vacancy_adj_localApp">'[9]Opertng Statmnts'!#REF!</definedName>
    <definedName name="c_vacancy_adj_localUW">'[9]Opertng Statmnts'!#REF!</definedName>
    <definedName name="c_vacancy_adj_major1">'[9]Opertng Statmnts'!#REF!</definedName>
    <definedName name="c_vacancy_adj_major2">'[9]Opertng Statmnts'!#REF!</definedName>
    <definedName name="c_vacancy_adj_major3">'[9]Opertng Statmnts'!#REF!</definedName>
    <definedName name="c_vacancy_adj_major4">'[9]Opertng Statmnts'!#REF!</definedName>
    <definedName name="c_vacancy_adj_major5">'[9]Opertng Statmnts'!#REF!</definedName>
    <definedName name="c_vacancy_adj_majorApp">'[9]Opertng Statmnts'!#REF!</definedName>
    <definedName name="c_vacancy_adj_majorUW">'[9]Opertng Statmnts'!#REF!</definedName>
    <definedName name="c_vacancy_adj1">'[9]Opertng Statmnts'!#REF!</definedName>
    <definedName name="c_vacancy_adj2">'[9]Opertng Statmnts'!#REF!</definedName>
    <definedName name="c_vacancy_adj3">'[9]Opertng Statmnts'!#REF!</definedName>
    <definedName name="c_vacancy_adj4">'[9]Opertng Statmnts'!#REF!</definedName>
    <definedName name="c_vacancy_adj5">'[9]Opertng Statmnts'!#REF!</definedName>
    <definedName name="c_vacancy_adjApp">'[9]Opertng Statmnts'!#REF!</definedName>
    <definedName name="c_vacancy_adjUW">'[9]Opertng Statmnts'!#REF!</definedName>
    <definedName name="c_vacancy_economical1">'[9]Opertng Statmnts'!#REF!</definedName>
    <definedName name="c_vacancy_economical2">'[9]Opertng Statmnts'!#REF!</definedName>
    <definedName name="c_vacancy_economical3">'[9]Opertng Statmnts'!#REF!</definedName>
    <definedName name="c_vacancy_economical4">'[9]Opertng Statmnts'!#REF!</definedName>
    <definedName name="c_vacancy_economical5">'[9]Opertng Statmnts'!#REF!</definedName>
    <definedName name="c_vacancy_economicalApp">'[9]Opertng Statmnts'!#REF!</definedName>
    <definedName name="c_vacancy_economicalUW">'[9]Opertng Statmnts'!#REF!</definedName>
    <definedName name="c_vacancy_physical1">'[9]Opertng Statmnts'!#REF!</definedName>
    <definedName name="c_vacancy_physical2">'[9]Opertng Statmnts'!#REF!</definedName>
    <definedName name="c_vacancy_physical3">'[9]Opertng Statmnts'!#REF!</definedName>
    <definedName name="c_vacancy_physical4">'[9]Opertng Statmnts'!#REF!</definedName>
    <definedName name="c_vacancy_physical5">'[9]Opertng Statmnts'!#REF!</definedName>
    <definedName name="c_vacancy_physicalApp">'[9]Opertng Statmnts'!#REF!</definedName>
    <definedName name="c_vacancy_physicalUW">'[9]Opertng Statmnts'!#REF!</definedName>
    <definedName name="c_vacancy_uw_localUW">'[9]Opertng Statmnts'!#REF!</definedName>
    <definedName name="c_vacancy_uw_majorUW">'[9]Opertng Statmnts'!#REF!</definedName>
    <definedName name="c_vacancy_uwUW">'[9]Opertng Statmnts'!#REF!</definedName>
    <definedName name="c_year_financial1">'[9]Opertng Statmnts'!#REF!</definedName>
    <definedName name="c_year_financial2">#REF!</definedName>
    <definedName name="c_year_financial3">#REF!</definedName>
    <definedName name="c_year_financial4">#REF!</definedName>
    <definedName name="c_year_financial5">#REF!</definedName>
    <definedName name="c_year_financialApp">'[9]Opertng Statmnts'!#REF!</definedName>
    <definedName name="c_year_financialUW">'[9]Opertng Statmnts'!#REF!</definedName>
    <definedName name="captialization">#REF!</definedName>
    <definedName name="CASH">#REF!</definedName>
    <definedName name="cash2">#REF!</definedName>
    <definedName name="CASHHH">#REF!</definedName>
    <definedName name="change">#REF!</definedName>
    <definedName name="CHATEAU">#REF!</definedName>
    <definedName name="CITY">#REF!</definedName>
    <definedName name="CLEAR">#REF!</definedName>
    <definedName name="CLEARA">#REF!</definedName>
    <definedName name="CLEARA1">#REF!</definedName>
    <definedName name="CLEARA10">#REF!</definedName>
    <definedName name="CLEARA11">#REF!</definedName>
    <definedName name="CLEARA2">#REF!</definedName>
    <definedName name="CLEARA3">#REF!</definedName>
    <definedName name="CLEARA4">#REF!</definedName>
    <definedName name="CLEARA5">#REF!</definedName>
    <definedName name="CLEARA6">#REF!</definedName>
    <definedName name="CLEARA7">#REF!</definedName>
    <definedName name="CLEARA8">#REF!</definedName>
    <definedName name="CLEARA9">#REF!</definedName>
    <definedName name="CLEARACQ">#REF!</definedName>
    <definedName name="CLEARALL">#REF!</definedName>
    <definedName name="CLEARASI">#REF!</definedName>
    <definedName name="CLEARB">#REF!</definedName>
    <definedName name="CLEARB1">#REF!</definedName>
    <definedName name="CLEARB2">#REF!</definedName>
    <definedName name="CLEARB3">#REF!</definedName>
    <definedName name="CLEARC">#REF!</definedName>
    <definedName name="CLEARC1">#REF!</definedName>
    <definedName name="CLEARC2">#REF!</definedName>
    <definedName name="CLEARC3">#REF!</definedName>
    <definedName name="CLEARC4">#REF!</definedName>
    <definedName name="CLEARC5">#REF!</definedName>
    <definedName name="CLEARCON">#REF!</definedName>
    <definedName name="CLEARD">#REF!</definedName>
    <definedName name="CLEARD1">#REF!</definedName>
    <definedName name="CLEARD2">#REF!</definedName>
    <definedName name="CLEARE">#REF!</definedName>
    <definedName name="CLEARE1">#REF!</definedName>
    <definedName name="CLEARE2">#REF!</definedName>
    <definedName name="CLEARF">#REF!</definedName>
    <definedName name="CLEARF1">#REF!</definedName>
    <definedName name="CLEARF2">#REF!</definedName>
    <definedName name="CLEARG">#REF!</definedName>
    <definedName name="CLEARG1">#REF!</definedName>
    <definedName name="CLEARG2">#REF!</definedName>
    <definedName name="CLEARH">#REF!</definedName>
    <definedName name="CLEARH1">#REF!</definedName>
    <definedName name="CLEARH2">#REF!</definedName>
    <definedName name="CLEARI">#REF!</definedName>
    <definedName name="CLEARINF">#REF!</definedName>
    <definedName name="CLEARJ">#REF!</definedName>
    <definedName name="CLEARK">#REF!</definedName>
    <definedName name="CLEARL">#REF!</definedName>
    <definedName name="CLEARM">#REF!</definedName>
    <definedName name="CLEARN">#REF!</definedName>
    <definedName name="CLEARNR">#REF!</definedName>
    <definedName name="CLEARO">#REF!</definedName>
    <definedName name="CLEARP1">#REF!</definedName>
    <definedName name="CLEARP2">#REF!</definedName>
    <definedName name="CLEARP3">#REF!</definedName>
    <definedName name="CLEARP4">#REF!</definedName>
    <definedName name="CLEARP6">#REF!</definedName>
    <definedName name="CLEARP7">#REF!</definedName>
    <definedName name="CLEARP9">#REF!</definedName>
    <definedName name="CLEARPR">#REF!</definedName>
    <definedName name="CLEARSBJ">#REF!</definedName>
    <definedName name="CLEARSIT">#REF!</definedName>
    <definedName name="CLEARSUB">#REF!</definedName>
    <definedName name="CLEARTRA">#REF!</definedName>
    <definedName name="CLEARTRB">#REF!</definedName>
    <definedName name="CLEARTRC">#REF!</definedName>
    <definedName name="CLEARTRD">#REF!</definedName>
    <definedName name="CLEARU">#REF!</definedName>
    <definedName name="CLEARUR">#REF!</definedName>
    <definedName name="CLEARVFI">#REF!</definedName>
    <definedName name="CLRCM10A">#REF!</definedName>
    <definedName name="CLRCM10B">#REF!</definedName>
    <definedName name="CLRCM11A">#REF!</definedName>
    <definedName name="CLRCM11B">#REF!</definedName>
    <definedName name="CLRCM12A">#REF!</definedName>
    <definedName name="CLRCM12B">#REF!</definedName>
    <definedName name="CLRCM13A">#REF!</definedName>
    <definedName name="CLRCM13B">#REF!</definedName>
    <definedName name="CLRCM14A">#REF!</definedName>
    <definedName name="CLRCM14B">#REF!</definedName>
    <definedName name="CLRCM15A">#REF!</definedName>
    <definedName name="CLRCM15B">#REF!</definedName>
    <definedName name="CLRCM16A">#REF!</definedName>
    <definedName name="CLRCM16B">#REF!</definedName>
    <definedName name="CLRCM1A">#REF!</definedName>
    <definedName name="CLRCM1B">#REF!</definedName>
    <definedName name="CLRCM2A">#REF!</definedName>
    <definedName name="CLRCM2B">#REF!</definedName>
    <definedName name="CLRCM3A">#REF!</definedName>
    <definedName name="CLRCM3B">#REF!</definedName>
    <definedName name="CLRCM4A">#REF!</definedName>
    <definedName name="CLRCM4B">#REF!</definedName>
    <definedName name="CLRCM5A">#REF!</definedName>
    <definedName name="CLRCM5B">#REF!</definedName>
    <definedName name="CLRCM6A">#REF!</definedName>
    <definedName name="CLRCM6B">#REF!</definedName>
    <definedName name="CLRCM7A">#REF!</definedName>
    <definedName name="CLRCM7B">#REF!</definedName>
    <definedName name="CLRCM8A">#REF!</definedName>
    <definedName name="CLRCM8B">#REF!</definedName>
    <definedName name="CLRCM9A">#REF!</definedName>
    <definedName name="CLRCM9B">#REF!</definedName>
    <definedName name="CLRSUBA">#REF!</definedName>
    <definedName name="COMMAND">#REF!</definedName>
    <definedName name="COMP">#REF!</definedName>
    <definedName name="COMP1">#REF!</definedName>
    <definedName name="COMP10">#REF!</definedName>
    <definedName name="COMP11">#REF!</definedName>
    <definedName name="COMP12">#REF!</definedName>
    <definedName name="COMP12PUPA">#REF!</definedName>
    <definedName name="COMP12SF">#REF!</definedName>
    <definedName name="COMP13">#REF!</definedName>
    <definedName name="COMP14">#REF!</definedName>
    <definedName name="COMP15">#REF!</definedName>
    <definedName name="COMP16">#REF!</definedName>
    <definedName name="COMP2">#REF!</definedName>
    <definedName name="COMP3">#REF!</definedName>
    <definedName name="COMP34">#REF!</definedName>
    <definedName name="COMP34PUPA">#REF!</definedName>
    <definedName name="COMP34SF">#REF!</definedName>
    <definedName name="COMP4">#REF!</definedName>
    <definedName name="COMP5">#REF!</definedName>
    <definedName name="COMP6">#REF!</definedName>
    <definedName name="COMP7">#REF!</definedName>
    <definedName name="COMP8">#REF!</definedName>
    <definedName name="COMP9">#REF!</definedName>
    <definedName name="COMPA">#REF!</definedName>
    <definedName name="COMPB">#REF!</definedName>
    <definedName name="COMPC">#REF!</definedName>
    <definedName name="COMPD">#REF!</definedName>
    <definedName name="COMPDATA">#REF!</definedName>
    <definedName name="COMPE">#REF!</definedName>
    <definedName name="COMPS">#REF!</definedName>
    <definedName name="COMPS34">#REF!</definedName>
    <definedName name="ConcessionsDesc">#REF!</definedName>
    <definedName name="CONCLUS">#REF!</definedName>
    <definedName name="CONSTRUC">#REF!</definedName>
    <definedName name="CONTYPE1">#REF!</definedName>
    <definedName name="CONTYPE2">#REF!</definedName>
    <definedName name="CONTYPE3">#REF!</definedName>
    <definedName name="CONTYPE4">#REF!</definedName>
    <definedName name="Cost1">#REF!</definedName>
    <definedName name="cost2">#REF!</definedName>
    <definedName name="COST5">#REF!</definedName>
    <definedName name="COSTFORM">#REF!</definedName>
    <definedName name="COSTS">#REF!</definedName>
    <definedName name="COSTS2">#REF!</definedName>
    <definedName name="costsparttwo">#REF!</definedName>
    <definedName name="costsparttwoparttwp">#REF!</definedName>
    <definedName name="COSTSSSS">#REF!</definedName>
    <definedName name="COUNT">#REF!</definedName>
    <definedName name="COUNTER">#REF!</definedName>
    <definedName name="COVER">#REF!</definedName>
    <definedName name="CredLossDesc">#REF!</definedName>
    <definedName name="CRIT1">#REF!</definedName>
    <definedName name="CRIT3">#REF!</definedName>
    <definedName name="CRIT4">#REF!</definedName>
    <definedName name="CRIT5">#REF!</definedName>
    <definedName name="_xlnm.Criteria">#REF!</definedName>
    <definedName name="CRITERION1">#REF!</definedName>
    <definedName name="CRITERION3">#REF!</definedName>
    <definedName name="CRITERION4">#REF!</definedName>
    <definedName name="CRITERION5">#REF!</definedName>
    <definedName name="CURRENT">#REF!</definedName>
    <definedName name="current_income">#REF!</definedName>
    <definedName name="DATA">#REF!</definedName>
    <definedName name="DATA1">#REF!</definedName>
    <definedName name="DATA12">#REF!</definedName>
    <definedName name="DATA3">#REF!</definedName>
    <definedName name="DATA34">#REF!</definedName>
    <definedName name="DATA56">#REF!</definedName>
    <definedName name="_xlnm.Database">#REF!</definedName>
    <definedName name="DATATRAN">#REF!</definedName>
    <definedName name="DATE">#REF!</definedName>
    <definedName name="DESCR1">#REF!</definedName>
    <definedName name="DESCR12">#REF!</definedName>
    <definedName name="DESCR3">#REF!</definedName>
    <definedName name="DESCR34">#REF!</definedName>
    <definedName name="DESCR56">#REF!</definedName>
    <definedName name="DETREND1">#REF!</definedName>
    <definedName name="DETREND2">#REF!</definedName>
    <definedName name="DISC">#REF!</definedName>
    <definedName name="DSRATE">#REF!</definedName>
    <definedName name="E">#REF!</definedName>
    <definedName name="Ecomp">#REF!</definedName>
    <definedName name="Ecomp1">'[10]Exp. Comp'!$D$6</definedName>
    <definedName name="EDINPUT">#REF!</definedName>
    <definedName name="EDIT">#REF!</definedName>
    <definedName name="EDIT1">#REF!</definedName>
    <definedName name="EDIT2">#REF!</definedName>
    <definedName name="EDIT3">#REF!</definedName>
    <definedName name="EDIT4">#REF!</definedName>
    <definedName name="EDIT5">#REF!</definedName>
    <definedName name="EDIT6">#REF!</definedName>
    <definedName name="EDIT7">#REF!</definedName>
    <definedName name="EFFDATE">#REF!</definedName>
    <definedName name="EFFDATE1">#REF!</definedName>
    <definedName name="EFFDATE2">#REF!</definedName>
    <definedName name="EFFDATE3">#REF!</definedName>
    <definedName name="EFFDATE4">#REF!</definedName>
    <definedName name="EI">[11]Final!#REF!</definedName>
    <definedName name="EmpUnitsDesc">#REF!</definedName>
    <definedName name="end">#N/A</definedName>
    <definedName name="ENTER">#REF!</definedName>
    <definedName name="ENTER1">#REF!</definedName>
    <definedName name="ENTER2">#REF!</definedName>
    <definedName name="ENTER3">#REF!</definedName>
    <definedName name="ENTER3A">#REF!</definedName>
    <definedName name="ENTER4">#REF!</definedName>
    <definedName name="ENTER5">#REF!</definedName>
    <definedName name="ENTER6">#REF!</definedName>
    <definedName name="ENTER7">#REF!</definedName>
    <definedName name="ENTER78">#REF!</definedName>
    <definedName name="ENTERA">#REF!</definedName>
    <definedName name="ENTERA1">#REF!</definedName>
    <definedName name="ENTERAM">#REF!</definedName>
    <definedName name="ENTERB">#REF!</definedName>
    <definedName name="ENTERC">#REF!</definedName>
    <definedName name="ENTERL">#REF!</definedName>
    <definedName name="ENTERP1">#REF!</definedName>
    <definedName name="ENTERP2">#REF!</definedName>
    <definedName name="ENTERP3">#REF!</definedName>
    <definedName name="ENTERP4">#REF!</definedName>
    <definedName name="ENTERP6">#REF!</definedName>
    <definedName name="ENTERP7">#REF!</definedName>
    <definedName name="ENTERP78">#REF!</definedName>
    <definedName name="ENTERP8">#REF!</definedName>
    <definedName name="EQUIP">#REF!</definedName>
    <definedName name="EQUIP1">#REF!</definedName>
    <definedName name="EQUIP2">#REF!</definedName>
    <definedName name="EQUIP3">#REF!</definedName>
    <definedName name="EQUIP4">#REF!</definedName>
    <definedName name="ERASE">#REF!</definedName>
    <definedName name="ERASE1D">#REF!</definedName>
    <definedName name="ERASE1E">#REF!</definedName>
    <definedName name="ERASE1FG">#REF!</definedName>
    <definedName name="ERASE2D">#REF!</definedName>
    <definedName name="ERASE2E">#REF!</definedName>
    <definedName name="ERASE2FG">#REF!</definedName>
    <definedName name="ERASE3D">#REF!</definedName>
    <definedName name="ERASE3E">#REF!</definedName>
    <definedName name="ERASE3FG">#REF!</definedName>
    <definedName name="ERASE4D">#REF!</definedName>
    <definedName name="ERASE4E">#REF!</definedName>
    <definedName name="ERASE4FG">#REF!</definedName>
    <definedName name="ERASE5D">#REF!</definedName>
    <definedName name="ERASE5E">#REF!</definedName>
    <definedName name="ERASE5FG">#REF!</definedName>
    <definedName name="ERASEB">#REF!</definedName>
    <definedName name="ERASECON">#REF!</definedName>
    <definedName name="ERASED">#REF!</definedName>
    <definedName name="ERASEFG">#REF!</definedName>
    <definedName name="ERASEREM">#REF!</definedName>
    <definedName name="ERASESD">#REF!</definedName>
    <definedName name="ERASESE">#REF!</definedName>
    <definedName name="ERATE">#REF!</definedName>
    <definedName name="ETREND2">#REF!</definedName>
    <definedName name="ETREND3">#REF!</definedName>
    <definedName name="ETREND4">#REF!</definedName>
    <definedName name="EXAM">#REF!</definedName>
    <definedName name="ExclIncDesc">#REF!</definedName>
    <definedName name="EXCOMPS">#REF!</definedName>
    <definedName name="EXHIBITS">#REF!</definedName>
    <definedName name="exit_cap_rate">EHI!$E$53</definedName>
    <definedName name="Expcomps2">#REF!</definedName>
    <definedName name="EXPCOMPSS">#REF!</definedName>
    <definedName name="expcompstwo">#REF!</definedName>
    <definedName name="ExpYear1">#REF!</definedName>
    <definedName name="ExpYear2">#REF!</definedName>
    <definedName name="ExpYear3">#REF!</definedName>
    <definedName name="ExpYearOtr">#REF!</definedName>
    <definedName name="F">#REF!</definedName>
    <definedName name="FACTORS">#REF!</definedName>
    <definedName name="fgadfgadg">#REF!</definedName>
    <definedName name="FICOMPS">#REF!</definedName>
    <definedName name="FIFTHPG">#REF!</definedName>
    <definedName name="FINANCE">#REF!</definedName>
    <definedName name="FIRSTPG">#REF!</definedName>
    <definedName name="FloorRate">[8]Main!$AN$16</definedName>
    <definedName name="FNMAGNMA">#REF!</definedName>
    <definedName name="FORM">#REF!</definedName>
    <definedName name="FORM2">#REF!</definedName>
    <definedName name="FORMAT">'[12]lease Summary'!#REF!</definedName>
    <definedName name="FORMULA">#REF!</definedName>
    <definedName name="FOURTHPG">#REF!</definedName>
    <definedName name="gba">[13]SALEADJ!$C$15</definedName>
    <definedName name="GPRDesc">#REF!</definedName>
    <definedName name="HOUSENO">#REF!</definedName>
    <definedName name="I">#REF!</definedName>
    <definedName name="IMPCOMP">#REF!</definedName>
    <definedName name="IMPCOMPS">#REF!</definedName>
    <definedName name="ImpldCapRate">[8]Main!#REF!</definedName>
    <definedName name="INCOME">#REF!</definedName>
    <definedName name="INCOME2">#REF!</definedName>
    <definedName name="INCOME3">#REF!</definedName>
    <definedName name="incomee">#REF!</definedName>
    <definedName name="incomeparttwp">#REF!</definedName>
    <definedName name="incometwo">#REF!</definedName>
    <definedName name="inf">#REF!</definedName>
    <definedName name="INFO">#REF!</definedName>
    <definedName name="INPUT">#REF!</definedName>
    <definedName name="INSPECT">#REF!</definedName>
    <definedName name="INSTRUCT">#REF!</definedName>
    <definedName name="INSTRUCTIONS">#REF!</definedName>
    <definedName name="INUT1">#REF!</definedName>
    <definedName name="INUT2">#REF!</definedName>
    <definedName name="Jump_AllocIncome">#REF!</definedName>
    <definedName name="Jump_BrwrExp">#REF!</definedName>
    <definedName name="Jump_ExpSum">#REF!</definedName>
    <definedName name="L">[7]Survey!#REF!</definedName>
    <definedName name="Land">#REF!</definedName>
    <definedName name="LAND2">#REF!</definedName>
    <definedName name="landparttwo">#REF!</definedName>
    <definedName name="landparttwotwo">#REF!</definedName>
    <definedName name="landsales">#REF!</definedName>
    <definedName name="LaundryIncDesc">#REF!</definedName>
    <definedName name="LINEC28">#REF!</definedName>
    <definedName name="LINEC29">#REF!</definedName>
    <definedName name="LINEC30">#REF!</definedName>
    <definedName name="LINEE29">#REF!</definedName>
    <definedName name="LINEF30A">#REF!</definedName>
    <definedName name="LINEF30B">#REF!</definedName>
    <definedName name="LINEF30C">#REF!</definedName>
    <definedName name="LINEF30D">#REF!</definedName>
    <definedName name="LINEF30E">#REF!</definedName>
    <definedName name="LINEF31">#REF!</definedName>
    <definedName name="LINEF32A">#REF!</definedName>
    <definedName name="LINEF32B">#REF!</definedName>
    <definedName name="LINEF32C">#REF!</definedName>
    <definedName name="LINEF32D">#REF!</definedName>
    <definedName name="LINEF33">#REF!</definedName>
    <definedName name="LINEF34">#REF!</definedName>
    <definedName name="LINEG36C">#REF!</definedName>
    <definedName name="LINEG37">#REF!</definedName>
    <definedName name="LINEG41">#REF!</definedName>
    <definedName name="LINEG42">#REF!</definedName>
    <definedName name="LINEG45">#REF!</definedName>
    <definedName name="LINEG46">#REF!</definedName>
    <definedName name="LINEG47">#REF!</definedName>
    <definedName name="LINEG48">#REF!</definedName>
    <definedName name="LINEG49">#REF!</definedName>
    <definedName name="LINEG50">#REF!</definedName>
    <definedName name="LINEG63">#REF!</definedName>
    <definedName name="LINEG67">#REF!</definedName>
    <definedName name="LINEG68">#REF!</definedName>
    <definedName name="LINEG69">#REF!</definedName>
    <definedName name="LINEG69A">#REF!</definedName>
    <definedName name="LINEG70">#REF!</definedName>
    <definedName name="LINEG70A">#REF!</definedName>
    <definedName name="LINEG71">#REF!</definedName>
    <definedName name="LINEG71A">#REF!</definedName>
    <definedName name="LINEG72">#REF!</definedName>
    <definedName name="LINEG73A">#REF!</definedName>
    <definedName name="LINEG73B">#REF!</definedName>
    <definedName name="LINEG73C">#REF!</definedName>
    <definedName name="LINEG74">#REF!</definedName>
    <definedName name="LINEJ144">#REF!</definedName>
    <definedName name="LINEJ145">#REF!</definedName>
    <definedName name="LINEJ146">#REF!</definedName>
    <definedName name="loan_id">[14]Main!$J$7</definedName>
    <definedName name="LoanAt1.2DSC">[8]Main!#REF!</definedName>
    <definedName name="LOANSUM">#REF!</definedName>
    <definedName name="LOCAT1">#REF!</definedName>
    <definedName name="LOCAT2">#REF!</definedName>
    <definedName name="LOCAT3">#REF!</definedName>
    <definedName name="LOCAT4">#REF!</definedName>
    <definedName name="LOCATION">#REF!</definedName>
    <definedName name="LossToLeaseDesc">#REF!</definedName>
    <definedName name="LPA">#REF!</definedName>
    <definedName name="M">[13]LANDADJ!$D$50</definedName>
    <definedName name="MACRO">#REF!</definedName>
    <definedName name="MAE">#REF!</definedName>
    <definedName name="MAINT">#REF!</definedName>
    <definedName name="male">#REF!</definedName>
    <definedName name="MANUAL">#REF!</definedName>
    <definedName name="MARKET">#REF!</definedName>
    <definedName name="MAXMORT">#REF!</definedName>
    <definedName name="MEN">'[12]lease Summary'!#REF!</definedName>
    <definedName name="MENU">#REF!</definedName>
    <definedName name="MIP">#REF!</definedName>
    <definedName name="Mo10BrwrRev">#REF!</definedName>
    <definedName name="Mo10Concessions">#REF!</definedName>
    <definedName name="Mo10CredLoss">#REF!</definedName>
    <definedName name="Mo10EGI">#REF!</definedName>
    <definedName name="Mo10EmpUnits">#REF!</definedName>
    <definedName name="Mo10ExclInc">#REF!</definedName>
    <definedName name="Mo10GPR">#REF!</definedName>
    <definedName name="Mo10LaundryInc">#REF!</definedName>
    <definedName name="Mo10LossToLease">#REF!</definedName>
    <definedName name="Mo10ModelUnits">#REF!</definedName>
    <definedName name="Mo10OtrIncome">#REF!</definedName>
    <definedName name="Mo10OtrRentLosses">#REF!</definedName>
    <definedName name="Mo10Parking">#REF!</definedName>
    <definedName name="Mo10Vacancy">#REF!</definedName>
    <definedName name="Mo11BrwrRev">#REF!</definedName>
    <definedName name="Mo11Concessions">#REF!</definedName>
    <definedName name="Mo11CredLoss">#REF!</definedName>
    <definedName name="Mo11EGI">#REF!</definedName>
    <definedName name="Mo11EmpUnits">#REF!</definedName>
    <definedName name="Mo11ExclInc">#REF!</definedName>
    <definedName name="Mo11GPR">#REF!</definedName>
    <definedName name="Mo11LaundryInc">#REF!</definedName>
    <definedName name="Mo11LossToLease">#REF!</definedName>
    <definedName name="Mo11ModelUnits">#REF!</definedName>
    <definedName name="Mo11OtrIncome">#REF!</definedName>
    <definedName name="Mo11OtrRentLosses">#REF!</definedName>
    <definedName name="Mo11Parking">#REF!</definedName>
    <definedName name="Mo11Vacancy">#REF!</definedName>
    <definedName name="Mo12BrwrRev">#REF!</definedName>
    <definedName name="Mo12Concessions">#REF!</definedName>
    <definedName name="Mo12CredLoss">#REF!</definedName>
    <definedName name="Mo12EGI">#REF!</definedName>
    <definedName name="Mo12EmpUnits">#REF!</definedName>
    <definedName name="Mo12ExclInc">#REF!</definedName>
    <definedName name="Mo12GPR">#REF!</definedName>
    <definedName name="Mo12LaundryInc">#REF!</definedName>
    <definedName name="Mo12LossToLease">#REF!</definedName>
    <definedName name="Mo12ModelUnits">#REF!</definedName>
    <definedName name="Mo12OtrIncome">#REF!</definedName>
    <definedName name="Mo12OtrRentLosses">#REF!</definedName>
    <definedName name="Mo12Parking">#REF!</definedName>
    <definedName name="Mo12Vacancy">#REF!</definedName>
    <definedName name="Mo1BrwrRev">#REF!</definedName>
    <definedName name="Mo1Concessions">#REF!</definedName>
    <definedName name="Mo1CredLoss">#REF!</definedName>
    <definedName name="Mo1EGI">#REF!</definedName>
    <definedName name="Mo1EmpUnits">#REF!</definedName>
    <definedName name="Mo1ExclInc">#REF!</definedName>
    <definedName name="Mo1GPR">#REF!</definedName>
    <definedName name="Mo1LaundryInc">#REF!</definedName>
    <definedName name="Mo1LossToLease">#REF!</definedName>
    <definedName name="Mo1ModelUnits">#REF!</definedName>
    <definedName name="Mo1OtrIncome">#REF!</definedName>
    <definedName name="Mo1OtrRentLosses">#REF!</definedName>
    <definedName name="Mo1Parking">#REF!</definedName>
    <definedName name="Mo1Vacancy">#REF!</definedName>
    <definedName name="Mo2BrwrRev">#REF!</definedName>
    <definedName name="Mo2Concessions">#REF!</definedName>
    <definedName name="Mo2CredLoss">#REF!</definedName>
    <definedName name="Mo2EGI">#REF!</definedName>
    <definedName name="Mo2EmpUnits">#REF!</definedName>
    <definedName name="Mo2ExclInc">#REF!</definedName>
    <definedName name="Mo2GPR">#REF!</definedName>
    <definedName name="Mo2LaundryInc">#REF!</definedName>
    <definedName name="Mo2LossToLease">#REF!</definedName>
    <definedName name="Mo2ModelUnits">#REF!</definedName>
    <definedName name="Mo2OtrIncome">#REF!</definedName>
    <definedName name="Mo2OtrRentLosses">#REF!</definedName>
    <definedName name="Mo2Parking">#REF!</definedName>
    <definedName name="Mo2Vacancy">#REF!</definedName>
    <definedName name="Mo3BrwrRev">#REF!</definedName>
    <definedName name="Mo3Concessions">#REF!</definedName>
    <definedName name="Mo3CredLoss">#REF!</definedName>
    <definedName name="Mo3EGI">#REF!</definedName>
    <definedName name="Mo3EmpUnits">#REF!</definedName>
    <definedName name="Mo3ExclInc">#REF!</definedName>
    <definedName name="Mo3GPR">#REF!</definedName>
    <definedName name="Mo3LaundryInc">#REF!</definedName>
    <definedName name="Mo3LossToLease">#REF!</definedName>
    <definedName name="Mo3ModelUnits">#REF!</definedName>
    <definedName name="Mo3OtrIncome">#REF!</definedName>
    <definedName name="Mo3OtrRentLosses">#REF!</definedName>
    <definedName name="Mo3Parking">#REF!</definedName>
    <definedName name="Mo3Vacancy">#REF!</definedName>
    <definedName name="Mo4BrwrRev">#REF!</definedName>
    <definedName name="Mo4Concessions">#REF!</definedName>
    <definedName name="Mo4CredLoss">#REF!</definedName>
    <definedName name="Mo4EGI">#REF!</definedName>
    <definedName name="Mo4EmpUnits">#REF!</definedName>
    <definedName name="Mo4ExclInc">#REF!</definedName>
    <definedName name="Mo4GPR">#REF!</definedName>
    <definedName name="Mo4LaundryInc">#REF!</definedName>
    <definedName name="Mo4LossToLease">#REF!</definedName>
    <definedName name="Mo4ModelUnits">#REF!</definedName>
    <definedName name="Mo4OtrIncome">#REF!</definedName>
    <definedName name="Mo4OtrRentLosses">#REF!</definedName>
    <definedName name="Mo4Parking">#REF!</definedName>
    <definedName name="Mo4Vacancy">#REF!</definedName>
    <definedName name="Mo5BrwrRev">#REF!</definedName>
    <definedName name="Mo5Concessions">#REF!</definedName>
    <definedName name="Mo5CredLoss">#REF!</definedName>
    <definedName name="Mo5EGI">#REF!</definedName>
    <definedName name="Mo5EmpUnits">#REF!</definedName>
    <definedName name="Mo5ExclInc">#REF!</definedName>
    <definedName name="Mo5GPR">#REF!</definedName>
    <definedName name="Mo5LaundryInc">#REF!</definedName>
    <definedName name="Mo5LossToLease">#REF!</definedName>
    <definedName name="Mo5ModelUnits">#REF!</definedName>
    <definedName name="Mo5OtrIncome">#REF!</definedName>
    <definedName name="Mo5OtrRentLosses">#REF!</definedName>
    <definedName name="Mo5Parking">#REF!</definedName>
    <definedName name="Mo5Vacancy">#REF!</definedName>
    <definedName name="Mo6BrwrRev">#REF!</definedName>
    <definedName name="Mo6Concessions">#REF!</definedName>
    <definedName name="Mo6CredLoss">#REF!</definedName>
    <definedName name="Mo6EGI">#REF!</definedName>
    <definedName name="Mo6EmpUnits">#REF!</definedName>
    <definedName name="Mo6ExclInc">#REF!</definedName>
    <definedName name="Mo6GPR">#REF!</definedName>
    <definedName name="Mo6LaundryInc">#REF!</definedName>
    <definedName name="Mo6LossToLease">#REF!</definedName>
    <definedName name="Mo6ModelUnits">#REF!</definedName>
    <definedName name="Mo6OtrIncome">#REF!</definedName>
    <definedName name="Mo6OtrRentLosses">#REF!</definedName>
    <definedName name="Mo6Parking">#REF!</definedName>
    <definedName name="Mo6Vacancy">#REF!</definedName>
    <definedName name="Mo7BrwrRev">#REF!</definedName>
    <definedName name="Mo7Concessions">#REF!</definedName>
    <definedName name="Mo7CredLoss">#REF!</definedName>
    <definedName name="Mo7EGI">#REF!</definedName>
    <definedName name="Mo7EmpUnits">#REF!</definedName>
    <definedName name="Mo7ExclInc">#REF!</definedName>
    <definedName name="Mo7GPR">#REF!</definedName>
    <definedName name="Mo7LaundryInc">#REF!</definedName>
    <definedName name="Mo7LossToLease">#REF!</definedName>
    <definedName name="Mo7ModelUnits">#REF!</definedName>
    <definedName name="Mo7OtrIncome">#REF!</definedName>
    <definedName name="Mo7OtrRentLosses">#REF!</definedName>
    <definedName name="Mo7Parking">#REF!</definedName>
    <definedName name="Mo7Vacancy">#REF!</definedName>
    <definedName name="Mo8BrwrRev">#REF!</definedName>
    <definedName name="Mo8Concessions">#REF!</definedName>
    <definedName name="Mo8CredLoss">#REF!</definedName>
    <definedName name="Mo8EGI">#REF!</definedName>
    <definedName name="Mo8EmpUnits">#REF!</definedName>
    <definedName name="Mo8ExclInc">#REF!</definedName>
    <definedName name="Mo8GPR">#REF!</definedName>
    <definedName name="Mo8LaundryInc">#REF!</definedName>
    <definedName name="Mo8LossToLease">#REF!</definedName>
    <definedName name="Mo8ModelUnits">#REF!</definedName>
    <definedName name="Mo8OtrIncome">#REF!</definedName>
    <definedName name="Mo8OtrRentLosses">#REF!</definedName>
    <definedName name="Mo8Parking">#REF!</definedName>
    <definedName name="Mo8Vacancy">#REF!</definedName>
    <definedName name="Mo9BrwrRev">#REF!</definedName>
    <definedName name="Mo9Concessions">#REF!</definedName>
    <definedName name="Mo9CredLoss">#REF!</definedName>
    <definedName name="Mo9EGI">#REF!</definedName>
    <definedName name="Mo9EmpUnits">#REF!</definedName>
    <definedName name="Mo9ExclInc">#REF!</definedName>
    <definedName name="Mo9GPR">#REF!</definedName>
    <definedName name="Mo9LaundryInc">#REF!</definedName>
    <definedName name="Mo9LossToLease">#REF!</definedName>
    <definedName name="Mo9ModelUnits">#REF!</definedName>
    <definedName name="Mo9OtrIncome">#REF!</definedName>
    <definedName name="Mo9OtrRentLosses">#REF!</definedName>
    <definedName name="Mo9Parking">#REF!</definedName>
    <definedName name="Mo9Vacancy">#REF!</definedName>
    <definedName name="ModelUnitsDesc">#REF!</definedName>
    <definedName name="ms">[15]Sub!$B$32</definedName>
    <definedName name="n">[11]Final!#REF!</definedName>
    <definedName name="NAME">#REF!</definedName>
    <definedName name="NAME1">#REF!</definedName>
    <definedName name="NAME2">#REF!</definedName>
    <definedName name="NAME3">#REF!</definedName>
    <definedName name="NAME4">#REF!</definedName>
    <definedName name="Named__1">[11]Final!#REF!</definedName>
    <definedName name="Named__10">[11]Final!#REF!</definedName>
    <definedName name="Named__2">[11]Final!#REF!</definedName>
    <definedName name="Named__3">[11]Final!#REF!</definedName>
    <definedName name="Named__4">[11]Final!#REF!</definedName>
    <definedName name="Named__5">[11]Final!#REF!</definedName>
    <definedName name="Named__6">[11]Final!#REF!</definedName>
    <definedName name="Named__7">[11]Final!#REF!</definedName>
    <definedName name="Named__8">[11]Final!#REF!</definedName>
    <definedName name="Named__9">[11]Final!#REF!</definedName>
    <definedName name="new">'[4]sale comps'!#REF!</definedName>
    <definedName name="newoffc">[11]Final!#REF!</definedName>
    <definedName name="NPV">#REF!</definedName>
    <definedName name="NUMBER">#REF!</definedName>
    <definedName name="NUMBER1">#REF!</definedName>
    <definedName name="NUMBER2">#REF!</definedName>
    <definedName name="NUMBER3">#REF!</definedName>
    <definedName name="NUMBER4">#REF!</definedName>
    <definedName name="ofc">[6]Sub!$C$23</definedName>
    <definedName name="OffSale">#REF!</definedName>
    <definedName name="OFFSITES">#REF!</definedName>
    <definedName name="OfSa">#REF!</definedName>
    <definedName name="OI">#REF!</definedName>
    <definedName name="OTHERAdjCashFlow">#REF!</definedName>
    <definedName name="OTHERBrwrRev">#REF!</definedName>
    <definedName name="OTHERBrwrTotExp">#REF!</definedName>
    <definedName name="OTHERConcessions">#REF!</definedName>
    <definedName name="OTHERContractSvc">#REF!</definedName>
    <definedName name="OTHERCreditLoss">#REF!</definedName>
    <definedName name="OTHEREGI">#REF!</definedName>
    <definedName name="OTHEREmpUnits">#REF!</definedName>
    <definedName name="OTHERExclInc">#REF!</definedName>
    <definedName name="OTHERExcludedExp">#REF!</definedName>
    <definedName name="OTHERGenAdmin">#REF!</definedName>
    <definedName name="OTHERIns">#REF!</definedName>
    <definedName name="OTHERLaundryInc">#REF!</definedName>
    <definedName name="OTHERLossToLease">#REF!</definedName>
    <definedName name="OTHERMgtFee">#REF!</definedName>
    <definedName name="OTHERMktgExp">#REF!</definedName>
    <definedName name="OTHERModelUnits">#REF!</definedName>
    <definedName name="OTHERNOI">#REF!</definedName>
    <definedName name="OTHEROccRate">#REF!</definedName>
    <definedName name="OTHEROtrExp">#REF!</definedName>
    <definedName name="OTHEROtrInc">#REF!</definedName>
    <definedName name="OTHERParkingInc">#REF!</definedName>
    <definedName name="OTHERProfFees">#REF!</definedName>
    <definedName name="OTHERPropTax">#REF!</definedName>
    <definedName name="OTHERPyrllBene">#REF!</definedName>
    <definedName name="OTHERRentLosses">#REF!</definedName>
    <definedName name="OTHERResGrssRent">#REF!</definedName>
    <definedName name="OTHERResReplRsrv">#REF!</definedName>
    <definedName name="OTHERRprsMntnce">#REF!</definedName>
    <definedName name="OTHERStmtUsed">#REF!</definedName>
    <definedName name="OTHERUtil">#REF!</definedName>
    <definedName name="OTHERVacancy">#REF!</definedName>
    <definedName name="OtrIncDesc">#REF!</definedName>
    <definedName name="OtrRentLossDesc">#REF!</definedName>
    <definedName name="OVERHEAD">#REF!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rkingDesc">#REF!</definedName>
    <definedName name="Per">[13]LANDADJ!$D$53</definedName>
    <definedName name="PRESUMM">#REF!</definedName>
    <definedName name="PRINT">#REF!</definedName>
    <definedName name="Print_2">[11]Final!#REF!</definedName>
    <definedName name="_xlnm.Print_Area" localSheetId="0">EHI!$B$2:$AU$50</definedName>
    <definedName name="_xlnm.Print_Area">#REF!</definedName>
    <definedName name="PRINT_AREA_MI">#REF!</definedName>
    <definedName name="Print_Cash">[11]Final!#REF!</definedName>
    <definedName name="Print_Rent">[11]Final!#REF!</definedName>
    <definedName name="_xlnm.Print_Titles" localSheetId="0">EHI!$A:$B</definedName>
    <definedName name="PROCDATE">#REF!</definedName>
    <definedName name="ProcFee">#REF!</definedName>
    <definedName name="PROFIT">#REF!</definedName>
    <definedName name="PROJNAME">#REF!</definedName>
    <definedName name="PROJNO">#REF!</definedName>
    <definedName name="prop_id">[14]Main!$L$7</definedName>
    <definedName name="PropCity">[8]Main!$F$14</definedName>
    <definedName name="PropName">[8]Main!$C$8</definedName>
    <definedName name="PropState">[8]Main!$F$15</definedName>
    <definedName name="PropStrAddr">[8]Main!#REF!</definedName>
    <definedName name="PROPSUM">#REF!</definedName>
    <definedName name="PROUT1">#REF!</definedName>
    <definedName name="PROUT2">#REF!</definedName>
    <definedName name="QUIT">#REF!</definedName>
    <definedName name="R_">#REF!</definedName>
    <definedName name="RA">[11]Final!#REF!</definedName>
    <definedName name="RATE">#REF!</definedName>
    <definedName name="RateLockPeriod">#REF!</definedName>
    <definedName name="Rats">#REF!</definedName>
    <definedName name="RCF">#REF!</definedName>
    <definedName name="REG">#REF!</definedName>
    <definedName name="REMARKS">#REF!</definedName>
    <definedName name="RENT">#REF!</definedName>
    <definedName name="RENTLOSS">[16]RENTS!$Y$89:$AG$145</definedName>
    <definedName name="RENTS">#REF!</definedName>
    <definedName name="rentsparttwo">#REF!</definedName>
    <definedName name="ReportCosts">#REF!</definedName>
    <definedName name="ReqLTV">[8]Main!$AN$4</definedName>
    <definedName name="RESERVEANDTREND">#REF!</definedName>
    <definedName name="ROLL">#REF!</definedName>
    <definedName name="RSF">#REF!</definedName>
    <definedName name="S">[13]LANDADJ!$D$49</definedName>
    <definedName name="SALES">#REF!</definedName>
    <definedName name="sales3">#REF!</definedName>
    <definedName name="salesparttwp">#REF!</definedName>
    <definedName name="SAVE">#REF!</definedName>
    <definedName name="scunits">'[17]#REF'!$O$83:$Y$112</definedName>
    <definedName name="SECA">#REF!</definedName>
    <definedName name="SECACT">#REF!</definedName>
    <definedName name="SECB">#REF!</definedName>
    <definedName name="SECC">#REF!</definedName>
    <definedName name="SECD">#REF!</definedName>
    <definedName name="SECE">#REF!</definedName>
    <definedName name="SECF">#REF!</definedName>
    <definedName name="SECG">#REF!</definedName>
    <definedName name="SECH">#REF!</definedName>
    <definedName name="SECI">#REF!</definedName>
    <definedName name="SECJ">#REF!</definedName>
    <definedName name="SECJ10A">#REF!</definedName>
    <definedName name="SECJ10B">#REF!</definedName>
    <definedName name="SECJ8A">#REF!</definedName>
    <definedName name="SECJ8B">#REF!</definedName>
    <definedName name="SECJA">#REF!</definedName>
    <definedName name="SECJB">#REF!</definedName>
    <definedName name="SECJC">#REF!</definedName>
    <definedName name="SECK">#REF!</definedName>
    <definedName name="SECL">#REF!</definedName>
    <definedName name="SECLA">#REF!</definedName>
    <definedName name="SECM">#REF!</definedName>
    <definedName name="SECN">#REF!</definedName>
    <definedName name="SECO">#REF!</definedName>
    <definedName name="SECO2">#REF!</definedName>
    <definedName name="SECONDPG">#REF!</definedName>
    <definedName name="SECTION">#REF!</definedName>
    <definedName name="SECTIONL">#REF!</definedName>
    <definedName name="SECTIONO">#REF!</definedName>
    <definedName name="SERVICE1">#REF!</definedName>
    <definedName name="SERVICE2">#REF!</definedName>
    <definedName name="SERVICE3">#REF!</definedName>
    <definedName name="SERVICE4">#REF!</definedName>
    <definedName name="SERVICES">#REF!</definedName>
    <definedName name="SEVENTHP">#REF!</definedName>
    <definedName name="SFCONC">#REF!</definedName>
    <definedName name="SINGLE">#REF!</definedName>
    <definedName name="SITE">#REF!</definedName>
    <definedName name="SIXTHPG">#REF!</definedName>
    <definedName name="SIZE1">#REF!</definedName>
    <definedName name="SIZE2">#REF!</definedName>
    <definedName name="SIZE3">#REF!</definedName>
    <definedName name="SIZE4">#REF!</definedName>
    <definedName name="SizedLnAmt">[8]Main!$AN$34</definedName>
    <definedName name="SpcfcTreasDate">[8]Main!#REF!</definedName>
    <definedName name="Spread">[8]Main!$AN$13</definedName>
    <definedName name="STAGE">#REF!</definedName>
    <definedName name="START">#REF!</definedName>
    <definedName name="STATE">#REF!</definedName>
    <definedName name="STREET">#REF!</definedName>
    <definedName name="Street_Address">[8]Main!#REF!</definedName>
    <definedName name="SUBDATA">#REF!</definedName>
    <definedName name="SUBEXP">#REF!</definedName>
    <definedName name="SUBJECT">#REF!</definedName>
    <definedName name="SUBJECTPUPA">#REF!</definedName>
    <definedName name="SUBJECTSF">#REF!</definedName>
    <definedName name="SUBJEXP1">#REF!</definedName>
    <definedName name="SubRegion">[8]Main!$F$7</definedName>
    <definedName name="SUBSIZE">#REF!</definedName>
    <definedName name="SUBUNITS">#REF!</definedName>
    <definedName name="SUBYEAR">#REF!</definedName>
    <definedName name="sum">'[4]sale comps'!#REF!</definedName>
    <definedName name="T">[18]FAIR!#REF!</definedName>
    <definedName name="T_I">#REF!</definedName>
    <definedName name="T_I2">#REF!</definedName>
    <definedName name="T12Mo1">#REF!</definedName>
    <definedName name="T12Mo10">#REF!</definedName>
    <definedName name="T12Mo11">#REF!</definedName>
    <definedName name="T12Mo12">#REF!</definedName>
    <definedName name="T12Mo2">#REF!</definedName>
    <definedName name="T12Mo3">#REF!</definedName>
    <definedName name="T12Mo4">#REF!</definedName>
    <definedName name="T12Mo5">#REF!</definedName>
    <definedName name="T12Mo6">#REF!</definedName>
    <definedName name="T12Mo7">#REF!</definedName>
    <definedName name="T12Mo8">#REF!</definedName>
    <definedName name="T12Mo9">#REF!</definedName>
    <definedName name="T12PrintEnd">#REF!</definedName>
    <definedName name="T12PrintStart">#REF!</definedName>
    <definedName name="TABLE">#REF!</definedName>
    <definedName name="taxsale">[19]SALE!#REF!</definedName>
    <definedName name="TDC">#REF!</definedName>
    <definedName name="TENANT">#REF!</definedName>
    <definedName name="TENANTS">#REF!</definedName>
    <definedName name="term">'[20]AGM Analysis'!#REF!</definedName>
    <definedName name="test">[11]Final!#REF!</definedName>
    <definedName name="THIRDPG">#REF!</definedName>
    <definedName name="TOP">#REF!</definedName>
    <definedName name="TRANS">#REF!</definedName>
    <definedName name="TRANSFER">#REF!</definedName>
    <definedName name="TRANSFERSF">#REF!</definedName>
    <definedName name="TRANSFERU">#REF!</definedName>
    <definedName name="TransMgr">[8]Main!$F$9</definedName>
    <definedName name="TRATE">#REF!</definedName>
    <definedName name="TreasDate">[8]Main!$AN$9</definedName>
    <definedName name="TREND">#REF!</definedName>
    <definedName name="TREND2">#REF!</definedName>
    <definedName name="TREND3">#REF!</definedName>
    <definedName name="TREND4">#REF!</definedName>
    <definedName name="TRENDE">#REF!</definedName>
    <definedName name="TRENDT">#REF!</definedName>
    <definedName name="TRIAL">#REF!</definedName>
    <definedName name="TRIALA">#REF!</definedName>
    <definedName name="TRIALB">#REF!</definedName>
    <definedName name="TRIALC">#REF!</definedName>
    <definedName name="TRIALD">#REF!</definedName>
    <definedName name="TYPE">#REF!</definedName>
    <definedName name="TYPE_OF_CONSTRUCTION__ENTER_CONVENTIONAL__MODULES">#REF!</definedName>
    <definedName name="TYPE1">#REF!</definedName>
    <definedName name="TYPE2">#REF!</definedName>
    <definedName name="TYPE3">#REF!</definedName>
    <definedName name="TYPE4">#REF!</definedName>
    <definedName name="TYPES">#REF!</definedName>
    <definedName name="U">[13]LANDADJ!$D$52</definedName>
    <definedName name="UNIT">#REF!</definedName>
    <definedName name="UNIT1">#REF!</definedName>
    <definedName name="UNIT2">#REF!</definedName>
    <definedName name="UNIT3">#REF!</definedName>
    <definedName name="UNIT4">#REF!</definedName>
    <definedName name="UNITLIM">#REF!</definedName>
    <definedName name="UNITS">'[21]Add. 6 Schedule C1 Data'!$B$41</definedName>
    <definedName name="UNITS1">#REF!</definedName>
    <definedName name="UNITS2">#REF!</definedName>
    <definedName name="UNITS3">#REF!</definedName>
    <definedName name="UNITS4">#REF!</definedName>
    <definedName name="UNPR19">#REF!</definedName>
    <definedName name="UNPRO1">#REF!</definedName>
    <definedName name="UNPRO11">#REF!</definedName>
    <definedName name="UNPRO12">#REF!</definedName>
    <definedName name="UNPRO13">#REF!</definedName>
    <definedName name="UNPRO14">#REF!</definedName>
    <definedName name="UNPRO15">#REF!</definedName>
    <definedName name="UNPRO16">#REF!</definedName>
    <definedName name="UNPRO17">#REF!</definedName>
    <definedName name="UNPRO18">#REF!</definedName>
    <definedName name="UNPRO2">#REF!</definedName>
    <definedName name="UNPRO20">#REF!</definedName>
    <definedName name="UNPRO21">#REF!</definedName>
    <definedName name="UNPRO22">#REF!</definedName>
    <definedName name="UNPRO23">#REF!</definedName>
    <definedName name="UNPRO24">#REF!</definedName>
    <definedName name="UNPRO25">#REF!</definedName>
    <definedName name="UNPRO26">#REF!</definedName>
    <definedName name="UNPRO27">#REF!</definedName>
    <definedName name="UNPRO28">#REF!</definedName>
    <definedName name="UNPRO29">#REF!</definedName>
    <definedName name="UNPRO3">#REF!</definedName>
    <definedName name="UNPRO30">#REF!</definedName>
    <definedName name="UNPRO4">#REF!</definedName>
    <definedName name="UNPRO5">#REF!</definedName>
    <definedName name="UNPRO6">#REF!</definedName>
    <definedName name="UNPRO7">#REF!</definedName>
    <definedName name="UNPRO8">#REF!</definedName>
    <definedName name="UPDATE">#REF!</definedName>
    <definedName name="UTILITY1">#REF!</definedName>
    <definedName name="UTILITY2">#REF!</definedName>
    <definedName name="UTILITY3">#REF!</definedName>
    <definedName name="UTILITY4">#REF!</definedName>
    <definedName name="v">[15]Sub!$B$34</definedName>
    <definedName name="VacancyDesc">#REF!</definedName>
    <definedName name="VALASIS">#REF!</definedName>
    <definedName name="VALBYCOM">#REF!</definedName>
    <definedName name="VALFULLY">#REF!</definedName>
    <definedName name="value">#REF!</definedName>
    <definedName name="VERSIONS">#REF!</definedName>
    <definedName name="VFI">#REF!</definedName>
    <definedName name="VFICOMPS">#REF!</definedName>
    <definedName name="X">#REF!</definedName>
    <definedName name="xfdb">#REF!</definedName>
    <definedName name="XYZ">#REF!</definedName>
    <definedName name="ya">#REF!</definedName>
    <definedName name="YEAR1">#REF!</definedName>
    <definedName name="YEAR2">#REF!</definedName>
    <definedName name="YEAR3">#REF!</definedName>
    <definedName name="YEAR4">#REF!</definedName>
    <definedName name="Yr1AdjCashFlow">#REF!</definedName>
    <definedName name="Yr1BrwrRev">#REF!</definedName>
    <definedName name="Yr1BrwrTotExp">#REF!</definedName>
    <definedName name="Yr1Concessions">#REF!</definedName>
    <definedName name="Yr1ContractSvc">#REF!</definedName>
    <definedName name="Yr1CreditLoss">#REF!</definedName>
    <definedName name="Yr1EGI">#REF!</definedName>
    <definedName name="Yr1EmpUnits">#REF!</definedName>
    <definedName name="Yr1ExclInc">#REF!</definedName>
    <definedName name="Yr1ExcludedExp">#REF!</definedName>
    <definedName name="Yr1GenAdmin">#REF!</definedName>
    <definedName name="Yr1Ins">#REF!</definedName>
    <definedName name="Yr1LaundryInc">#REF!</definedName>
    <definedName name="Yr1LossToLease">#REF!</definedName>
    <definedName name="Yr1MgtFee">#REF!</definedName>
    <definedName name="Yr1MktgExp">#REF!</definedName>
    <definedName name="Yr1ModelUnits">#REF!</definedName>
    <definedName name="Yr1NOI">#REF!</definedName>
    <definedName name="Yr1NOIMos">#REF!</definedName>
    <definedName name="Yr1NOIPerend">#REF!</definedName>
    <definedName name="Yr1OccRate">#REF!</definedName>
    <definedName name="Yr1OtrExp">#REF!</definedName>
    <definedName name="Yr1OtrInc">#REF!</definedName>
    <definedName name="Yr1ParkingInc">#REF!</definedName>
    <definedName name="Yr1ProfFees">#REF!</definedName>
    <definedName name="Yr1PropTax">#REF!</definedName>
    <definedName name="Yr1PyrllBene">#REF!</definedName>
    <definedName name="Yr1RentLosses">#REF!</definedName>
    <definedName name="Yr1ResGrssRent">#REF!</definedName>
    <definedName name="Yr1ResReplRsrv">#REF!</definedName>
    <definedName name="Yr1RprsMntnce">#REF!</definedName>
    <definedName name="Yr1StmtUsed">#REF!</definedName>
    <definedName name="Yr1Util">#REF!</definedName>
    <definedName name="Yr1Vacancy">#REF!</definedName>
    <definedName name="Yr2AdjCashFlow">#REF!</definedName>
    <definedName name="Yr2BrwrRev">#REF!</definedName>
    <definedName name="Yr2BrwrTotExp">#REF!</definedName>
    <definedName name="Yr2Concessions">#REF!</definedName>
    <definedName name="Yr2ContractSvc">#REF!</definedName>
    <definedName name="Yr2CreditLoss">#REF!</definedName>
    <definedName name="Yr2EGI">#REF!</definedName>
    <definedName name="Yr2EmpUnits">#REF!</definedName>
    <definedName name="Yr2ExclInc">#REF!</definedName>
    <definedName name="Yr2ExcludedExp">#REF!</definedName>
    <definedName name="Yr2GenAdmin">#REF!</definedName>
    <definedName name="Yr2Ins">#REF!</definedName>
    <definedName name="Yr2LaundryInc">#REF!</definedName>
    <definedName name="Yr2LossToLease">#REF!</definedName>
    <definedName name="Yr2MgtFee">#REF!</definedName>
    <definedName name="Yr2MktgExp">#REF!</definedName>
    <definedName name="Yr2ModelUnits">#REF!</definedName>
    <definedName name="Yr2NOI">#REF!</definedName>
    <definedName name="Yr2NOIMos">#REF!</definedName>
    <definedName name="Yr2NOIPerend">#REF!</definedName>
    <definedName name="Yr2OccRate">#REF!</definedName>
    <definedName name="Yr2OtrExp">#REF!</definedName>
    <definedName name="Yr2OtrInc">#REF!</definedName>
    <definedName name="Yr2ParkingInc">#REF!</definedName>
    <definedName name="Yr2ProfFees">#REF!</definedName>
    <definedName name="Yr2PropTax">#REF!</definedName>
    <definedName name="Yr2PyrllBene">#REF!</definedName>
    <definedName name="Yr2RentLosses">#REF!</definedName>
    <definedName name="Yr2ResGrssRent">#REF!</definedName>
    <definedName name="Yr2ResReplRsrv">#REF!</definedName>
    <definedName name="Yr2RprsMntnce">#REF!</definedName>
    <definedName name="Yr2StmtUsed">#REF!</definedName>
    <definedName name="Yr2Util">#REF!</definedName>
    <definedName name="Yr2Vacancy">#REF!</definedName>
    <definedName name="Yr3AdjCashFlow">#REF!</definedName>
    <definedName name="Yr3BrwrRev">#REF!</definedName>
    <definedName name="Yr3BrwrTotExp">#REF!</definedName>
    <definedName name="Yr3Concessions">#REF!</definedName>
    <definedName name="Yr3ContractSvc">#REF!</definedName>
    <definedName name="Yr3CreditLoss">#REF!</definedName>
    <definedName name="Yr3EGI">#REF!</definedName>
    <definedName name="Yr3EmpUnits">#REF!</definedName>
    <definedName name="Yr3ExclInc">#REF!</definedName>
    <definedName name="Yr3ExcludedExp">#REF!</definedName>
    <definedName name="Yr3GenAdmin">#REF!</definedName>
    <definedName name="Yr3Ins">#REF!</definedName>
    <definedName name="Yr3LaundryInc">#REF!</definedName>
    <definedName name="Yr3LossToLease">#REF!</definedName>
    <definedName name="Yr3MgtFee">#REF!</definedName>
    <definedName name="Yr3MktgExp">#REF!</definedName>
    <definedName name="Yr3ModelUnits">#REF!</definedName>
    <definedName name="Yr3NOI">#REF!</definedName>
    <definedName name="Yr3NOIMos">#REF!</definedName>
    <definedName name="Yr3NOIPerend">#REF!</definedName>
    <definedName name="Yr3OccRate">#REF!</definedName>
    <definedName name="Yr3OtrExp">#REF!</definedName>
    <definedName name="Yr3OtrInc">#REF!</definedName>
    <definedName name="Yr3ParkingInc">#REF!</definedName>
    <definedName name="Yr3ProfFees">#REF!</definedName>
    <definedName name="Yr3PropTax">#REF!</definedName>
    <definedName name="Yr3PyrllBene">#REF!</definedName>
    <definedName name="Yr3RentLosses">#REF!</definedName>
    <definedName name="Yr3ResGrssRent">#REF!</definedName>
    <definedName name="Yr3ResReplRsrv">#REF!</definedName>
    <definedName name="Yr3RprsMntnce">#REF!</definedName>
    <definedName name="Yr3StmtUsed">#REF!</definedName>
    <definedName name="Yr3Util">#REF!</definedName>
    <definedName name="Yr3Vacancy">#REF!</definedName>
    <definedName name="YtdAdjCashFlow">#REF!</definedName>
    <definedName name="YtdBrwrRev">#REF!</definedName>
    <definedName name="YtdBrwrTotExp">#REF!</definedName>
    <definedName name="YtdConcessions">#REF!</definedName>
    <definedName name="YtdContractSvc">#REF!</definedName>
    <definedName name="YtdCreditLoss">#REF!</definedName>
    <definedName name="YTDDrop">#REF!</definedName>
    <definedName name="YtdEGI">#REF!</definedName>
    <definedName name="YtdEmpUnits">#REF!</definedName>
    <definedName name="YtdExclInc">#REF!</definedName>
    <definedName name="YtdExcludedExp">#REF!</definedName>
    <definedName name="YtdGenAdmin">#REF!</definedName>
    <definedName name="YtdIns">#REF!</definedName>
    <definedName name="YtdLaundryInc">#REF!</definedName>
    <definedName name="YtdLossToLease">#REF!</definedName>
    <definedName name="YtdMgtFee">#REF!</definedName>
    <definedName name="YtdMktgExp">#REF!</definedName>
    <definedName name="YtdModelUnits">#REF!</definedName>
    <definedName name="YtdNOI">#REF!</definedName>
    <definedName name="YtdOccRate">#REF!</definedName>
    <definedName name="YtdOtrExp">#REF!</definedName>
    <definedName name="YtdOtrInc">#REF!</definedName>
    <definedName name="YtdParkingInc">#REF!</definedName>
    <definedName name="YtdProfFees">#REF!</definedName>
    <definedName name="YtdPropTax">#REF!</definedName>
    <definedName name="YtdPyrllBene">#REF!</definedName>
    <definedName name="YtdRentLosses">#REF!</definedName>
    <definedName name="YtdResGrssRent">#REF!</definedName>
    <definedName name="YtdResReplRsrv">#REF!</definedName>
    <definedName name="YtdRprsMntnce">#REF!</definedName>
    <definedName name="YtdStmtUsed">#REF!</definedName>
    <definedName name="YtdUtil">#REF!</definedName>
    <definedName name="YtdVacancy">#REF!</definedName>
    <definedName name="ZIP">#REF!</definedName>
    <definedName name="ZZZ">#REF!</definedName>
  </definedNames>
  <calcPr calcId="152511"/>
</workbook>
</file>

<file path=xl/calcChain.xml><?xml version="1.0" encoding="utf-8"?>
<calcChain xmlns="http://schemas.openxmlformats.org/spreadsheetml/2006/main">
  <c r="S5" i="1" l="1"/>
  <c r="H5" i="1"/>
  <c r="R5" i="1" l="1"/>
  <c r="BE5" i="1" l="1"/>
  <c r="BG5" i="1"/>
  <c r="BJ5" i="1" l="1"/>
  <c r="AI5" i="1"/>
  <c r="Z5" i="1" l="1"/>
  <c r="W23" i="1" l="1"/>
  <c r="V5" i="1"/>
  <c r="Q5" i="1"/>
  <c r="H22" i="1"/>
  <c r="X5" i="1" l="1"/>
  <c r="AR5" i="1"/>
  <c r="AH5" i="1"/>
  <c r="AF5" i="1"/>
  <c r="AE5" i="1"/>
  <c r="Y5" i="1"/>
  <c r="BF22" i="1" l="1"/>
  <c r="BF21" i="1"/>
  <c r="M29" i="1" l="1"/>
  <c r="BF14" i="1" l="1"/>
  <c r="BF8" i="1"/>
  <c r="BC28" i="1" l="1"/>
  <c r="BA28" i="1"/>
  <c r="BC27" i="1"/>
  <c r="BC25" i="1"/>
  <c r="BC24" i="1"/>
  <c r="BA24" i="1"/>
  <c r="BC22" i="1"/>
  <c r="BA22" i="1"/>
  <c r="BC20" i="1"/>
  <c r="BA20" i="1"/>
  <c r="BC19" i="1"/>
  <c r="BB19" i="1"/>
  <c r="BC18" i="1"/>
  <c r="BC17" i="1"/>
  <c r="BA17" i="1"/>
  <c r="BC16" i="1"/>
  <c r="BC14" i="1"/>
  <c r="BC13" i="1"/>
  <c r="BC12" i="1"/>
  <c r="BC11" i="1"/>
  <c r="BC10" i="1"/>
  <c r="BC9" i="1"/>
  <c r="BC8" i="1"/>
  <c r="BC7" i="1"/>
  <c r="BC6" i="1"/>
  <c r="BC21" i="1" l="1"/>
  <c r="BA21" i="1"/>
  <c r="N29" i="1"/>
  <c r="I29" i="1"/>
  <c r="Z6" i="1"/>
  <c r="Z7" i="1"/>
  <c r="Z8" i="1"/>
  <c r="Z9" i="1"/>
  <c r="Z10" i="1"/>
  <c r="Z11" i="1"/>
  <c r="Z12" i="1"/>
  <c r="Z13" i="1"/>
  <c r="Z14" i="1"/>
  <c r="Z15" i="1"/>
  <c r="Z16" i="1"/>
  <c r="Z17" i="1"/>
  <c r="Z18" i="1"/>
  <c r="Z19" i="1"/>
  <c r="Z20" i="1"/>
  <c r="Z21" i="1"/>
  <c r="Z22" i="1"/>
  <c r="Z23" i="1"/>
  <c r="Z24" i="1"/>
  <c r="Z25" i="1"/>
  <c r="Z26" i="1"/>
  <c r="Z27" i="1"/>
  <c r="Z28" i="1"/>
  <c r="AY26" i="1" l="1"/>
  <c r="AW26" i="1"/>
  <c r="BD28" i="1" l="1"/>
  <c r="BE28" i="1" s="1"/>
  <c r="BG28" i="1" s="1"/>
  <c r="Q28" i="1" s="1"/>
  <c r="BH28" i="1"/>
  <c r="BJ28" i="1" s="1"/>
  <c r="BD27" i="1"/>
  <c r="BE27" i="1" s="1"/>
  <c r="BG27" i="1" s="1"/>
  <c r="Q27" i="1" s="1"/>
  <c r="BH27" i="1"/>
  <c r="BJ27" i="1" s="1"/>
  <c r="BD26" i="1"/>
  <c r="BD25" i="1"/>
  <c r="BD23" i="1"/>
  <c r="BD24" i="1" l="1"/>
  <c r="BD22" i="1"/>
  <c r="BD21" i="1"/>
  <c r="BD20" i="1"/>
  <c r="BD19" i="1"/>
  <c r="BD18" i="1"/>
  <c r="BA18" i="1"/>
  <c r="BD17" i="1"/>
  <c r="BB16" i="1"/>
  <c r="BA16" i="1"/>
  <c r="BB15" i="1"/>
  <c r="BA15" i="1"/>
  <c r="BA14" i="1"/>
  <c r="BA13" i="1"/>
  <c r="BA12" i="1" l="1"/>
  <c r="BD11" i="1"/>
  <c r="BD10" i="1"/>
  <c r="BD8" i="1"/>
  <c r="BB5" i="1"/>
  <c r="A6" i="1" l="1"/>
  <c r="AI28" i="1" l="1"/>
  <c r="AS20" i="1"/>
  <c r="AS21" i="1"/>
  <c r="AS22" i="1"/>
  <c r="AS23" i="1"/>
  <c r="AS24" i="1"/>
  <c r="AS25" i="1"/>
  <c r="AS26" i="1"/>
  <c r="AS27" i="1"/>
  <c r="AS28" i="1"/>
  <c r="AI27" i="1"/>
  <c r="Y27" i="1" l="1"/>
  <c r="R27" i="1"/>
  <c r="S27" i="1"/>
  <c r="X27" i="1" l="1"/>
  <c r="AT27" i="1" s="1"/>
  <c r="W27" i="1"/>
  <c r="Y7"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BH7" i="1"/>
  <c r="BJ7" i="1" s="1"/>
  <c r="V7" i="1" s="1"/>
  <c r="BE7" i="1"/>
  <c r="BG7" i="1" s="1"/>
  <c r="Q7" i="1" s="1"/>
  <c r="AG7" i="1"/>
  <c r="AE7" i="1"/>
  <c r="AD7" i="1"/>
  <c r="AH7" i="1" s="1"/>
  <c r="L7" i="1"/>
  <c r="H7" i="1"/>
  <c r="AI7" i="1" l="1"/>
  <c r="S7" i="1"/>
  <c r="R7" i="1"/>
  <c r="AR7" i="1" l="1"/>
  <c r="AS7" i="1" s="1"/>
  <c r="W7" i="1"/>
  <c r="X7" i="1"/>
  <c r="AT7" i="1" s="1"/>
  <c r="Y14" i="1"/>
  <c r="Y28" i="1"/>
  <c r="Y20" i="1"/>
  <c r="Y18" i="1"/>
  <c r="Y17" i="1"/>
  <c r="Y6" i="1"/>
  <c r="Y8" i="1"/>
  <c r="Y9" i="1"/>
  <c r="Y10" i="1"/>
  <c r="Y11" i="1"/>
  <c r="Y12" i="1"/>
  <c r="Y13" i="1"/>
  <c r="Y15" i="1"/>
  <c r="Y16" i="1"/>
  <c r="Y19" i="1"/>
  <c r="Y21" i="1"/>
  <c r="Y22" i="1"/>
  <c r="Y23" i="1"/>
  <c r="Y24" i="1"/>
  <c r="Y25" i="1"/>
  <c r="Y26" i="1"/>
  <c r="AE24" i="1" l="1"/>
  <c r="AE22" i="1"/>
  <c r="AE21" i="1"/>
  <c r="AE20" i="1"/>
  <c r="AE19" i="1"/>
  <c r="AE18" i="1"/>
  <c r="AE17" i="1"/>
  <c r="AE16" i="1"/>
  <c r="AE15" i="1"/>
  <c r="AE14" i="1"/>
  <c r="AE13" i="1"/>
  <c r="AE12" i="1"/>
  <c r="AE11" i="1"/>
  <c r="AE10" i="1"/>
  <c r="AE9" i="1" l="1"/>
  <c r="AE8" i="1"/>
  <c r="AE6" i="1"/>
  <c r="V18" i="1" l="1"/>
  <c r="AV6" i="1" l="1"/>
  <c r="AF25" i="1"/>
  <c r="AF26" i="1"/>
  <c r="H6" i="1" l="1"/>
  <c r="J6" i="1"/>
  <c r="L6" i="1"/>
  <c r="AD6" i="1"/>
  <c r="AF6" i="1"/>
  <c r="AG6" i="1"/>
  <c r="AI6" i="1" s="1"/>
  <c r="AH6" i="1"/>
  <c r="BE6" i="1"/>
  <c r="BG6" i="1" s="1"/>
  <c r="Q6" i="1" s="1"/>
  <c r="BH6" i="1"/>
  <c r="BJ6" i="1" s="1"/>
  <c r="V6" i="1" s="1"/>
  <c r="S6" i="1" l="1"/>
  <c r="R6" i="1"/>
  <c r="W6" i="1" l="1"/>
  <c r="X6" i="1"/>
  <c r="AT6" i="1" s="1"/>
  <c r="AR6" i="1"/>
  <c r="AS6" i="1" s="1"/>
  <c r="AC29" i="1" l="1"/>
  <c r="AG26" i="1" l="1"/>
  <c r="AI26" i="1" s="1"/>
  <c r="V23" i="1"/>
  <c r="H28" i="1" l="1"/>
  <c r="S28" i="1"/>
  <c r="R28" i="1"/>
  <c r="X28" i="1" l="1"/>
  <c r="AT28" i="1" s="1"/>
  <c r="W28" i="1"/>
  <c r="V22" i="1"/>
  <c r="V21" i="1" l="1"/>
  <c r="P29" i="1" l="1"/>
  <c r="AG19" i="1" l="1"/>
  <c r="AE29" i="1" l="1"/>
  <c r="BH29" i="1" l="1"/>
  <c r="BJ29" i="1" s="1"/>
  <c r="BH26" i="1"/>
  <c r="BJ26" i="1" s="1"/>
  <c r="BH25" i="1"/>
  <c r="BJ25" i="1" s="1"/>
  <c r="BH23" i="1"/>
  <c r="BJ23" i="1" s="1"/>
  <c r="BH22" i="1"/>
  <c r="BJ22" i="1" s="1"/>
  <c r="BH21" i="1"/>
  <c r="BJ21" i="1" s="1"/>
  <c r="BH24" i="1"/>
  <c r="BJ24" i="1" s="1"/>
  <c r="BH20" i="1"/>
  <c r="BJ20" i="1" s="1"/>
  <c r="V20" i="1" s="1"/>
  <c r="BH19" i="1"/>
  <c r="BE26" i="1"/>
  <c r="BG26" i="1" s="1"/>
  <c r="Q26" i="1" s="1"/>
  <c r="BE25" i="1"/>
  <c r="BG25" i="1" s="1"/>
  <c r="Q25" i="1" s="1"/>
  <c r="BE23" i="1"/>
  <c r="BG23" i="1" s="1"/>
  <c r="Q23" i="1" s="1"/>
  <c r="BE24" i="1"/>
  <c r="BG24" i="1" s="1"/>
  <c r="Q24" i="1" s="1"/>
  <c r="BE20" i="1"/>
  <c r="BG20" i="1" s="1"/>
  <c r="Q20" i="1" s="1"/>
  <c r="S26" i="1" l="1"/>
  <c r="R26" i="1"/>
  <c r="S23" i="1"/>
  <c r="R23" i="1"/>
  <c r="R25" i="1"/>
  <c r="S25" i="1"/>
  <c r="S24" i="1"/>
  <c r="R24" i="1"/>
  <c r="R20" i="1"/>
  <c r="S20" i="1"/>
  <c r="BE29" i="1"/>
  <c r="BG29" i="1" s="1"/>
  <c r="X26" i="1" l="1"/>
  <c r="AT26" i="1" s="1"/>
  <c r="W26" i="1"/>
  <c r="X23" i="1"/>
  <c r="AT23" i="1" s="1"/>
  <c r="X25" i="1"/>
  <c r="AT25" i="1" s="1"/>
  <c r="W25" i="1"/>
  <c r="X24" i="1"/>
  <c r="AT24" i="1" s="1"/>
  <c r="W24" i="1"/>
  <c r="X20" i="1"/>
  <c r="AT20" i="1" s="1"/>
  <c r="W20" i="1"/>
  <c r="H20" i="1"/>
  <c r="H18" i="1"/>
  <c r="J14" i="1"/>
  <c r="H17" i="1"/>
  <c r="H15" i="1"/>
  <c r="H14" i="1"/>
  <c r="H12" i="1"/>
  <c r="H24" i="1"/>
  <c r="H8" i="1"/>
  <c r="H9" i="1"/>
  <c r="H11" i="1"/>
  <c r="H21" i="1"/>
  <c r="F36" i="1"/>
  <c r="F44" i="1" s="1"/>
  <c r="I38" i="1"/>
  <c r="I39" i="1"/>
  <c r="I37" i="1"/>
  <c r="B39" i="1"/>
  <c r="B38" i="1"/>
  <c r="B37" i="1"/>
  <c r="AG12" i="1"/>
  <c r="AI12" i="1" s="1"/>
  <c r="BE12" i="1"/>
  <c r="AG16" i="1"/>
  <c r="AI16" i="1" s="1"/>
  <c r="BH16" i="1"/>
  <c r="BJ16" i="1" s="1"/>
  <c r="V16" i="1" s="1"/>
  <c r="AI19" i="1"/>
  <c r="BE19" i="1"/>
  <c r="BG19" i="1" s="1"/>
  <c r="Q19" i="1" s="1"/>
  <c r="BE8" i="1"/>
  <c r="AG15" i="1"/>
  <c r="AI15" i="1" s="1"/>
  <c r="BH15" i="1"/>
  <c r="BJ15" i="1" s="1"/>
  <c r="V15" i="1" s="1"/>
  <c r="AI18" i="1"/>
  <c r="BH18" i="1"/>
  <c r="BJ18" i="1" s="1"/>
  <c r="BE18" i="1"/>
  <c r="AG11" i="1"/>
  <c r="AI11" i="1" s="1"/>
  <c r="AG14" i="1"/>
  <c r="AI14" i="1" s="1"/>
  <c r="BE14" i="1"/>
  <c r="AG17" i="1"/>
  <c r="AI17" i="1" s="1"/>
  <c r="BE17" i="1"/>
  <c r="BG17" i="1" s="1"/>
  <c r="Q17" i="1" s="1"/>
  <c r="AG10" i="1"/>
  <c r="AI10" i="1" s="1"/>
  <c r="BH13" i="1"/>
  <c r="BJ13" i="1" s="1"/>
  <c r="V13" i="1" s="1"/>
  <c r="AG9" i="1"/>
  <c r="AI9" i="1" s="1"/>
  <c r="BE22" i="1"/>
  <c r="BE21" i="1"/>
  <c r="BG21" i="1" s="1"/>
  <c r="BH17" i="1"/>
  <c r="BJ17" i="1" s="1"/>
  <c r="V17" i="1" s="1"/>
  <c r="BE16" i="1"/>
  <c r="BG16" i="1" s="1"/>
  <c r="Q16" i="1" s="1"/>
  <c r="S16" i="1" s="1"/>
  <c r="X16" i="1" s="1"/>
  <c r="BH14" i="1"/>
  <c r="BJ14" i="1" s="1"/>
  <c r="V14" i="1" s="1"/>
  <c r="BH12" i="1"/>
  <c r="BJ12" i="1" s="1"/>
  <c r="V12" i="1" s="1"/>
  <c r="BH11" i="1"/>
  <c r="BJ11" i="1" s="1"/>
  <c r="V11" i="1" s="1"/>
  <c r="BE11" i="1"/>
  <c r="BG11" i="1" s="1"/>
  <c r="Q11" i="1" s="1"/>
  <c r="S11" i="1" s="1"/>
  <c r="X11" i="1" s="1"/>
  <c r="BH10" i="1"/>
  <c r="BJ10" i="1" s="1"/>
  <c r="V10" i="1" s="1"/>
  <c r="BE10" i="1"/>
  <c r="BG10" i="1" s="1"/>
  <c r="Q10" i="1" s="1"/>
  <c r="BH9" i="1"/>
  <c r="BJ9" i="1" s="1"/>
  <c r="V9" i="1" s="1"/>
  <c r="BE9" i="1"/>
  <c r="BG9" i="1" s="1"/>
  <c r="Q9" i="1" s="1"/>
  <c r="BH8" i="1"/>
  <c r="AG5" i="1"/>
  <c r="BE13" i="1"/>
  <c r="BG13" i="1" s="1"/>
  <c r="Q13" i="1" s="1"/>
  <c r="BH5" i="1"/>
  <c r="AH13" i="1"/>
  <c r="AD13" i="1"/>
  <c r="AF13" i="1"/>
  <c r="J22" i="1"/>
  <c r="J21" i="1"/>
  <c r="J19" i="1"/>
  <c r="AH17" i="1"/>
  <c r="AF17" i="1"/>
  <c r="AD17" i="1"/>
  <c r="J17" i="1"/>
  <c r="I36" i="1"/>
  <c r="AH16" i="1"/>
  <c r="AF16" i="1"/>
  <c r="AD16" i="1"/>
  <c r="J16" i="1"/>
  <c r="AH15" i="1"/>
  <c r="AF15" i="1"/>
  <c r="AD15" i="1"/>
  <c r="J15" i="1"/>
  <c r="AH14" i="1"/>
  <c r="AF14" i="1"/>
  <c r="AD14" i="1"/>
  <c r="L14" i="1"/>
  <c r="AI13" i="1"/>
  <c r="J13" i="1"/>
  <c r="AH12" i="1"/>
  <c r="AF12" i="1"/>
  <c r="AD12" i="1"/>
  <c r="L12" i="1"/>
  <c r="J12" i="1"/>
  <c r="AH11" i="1"/>
  <c r="AF11" i="1"/>
  <c r="AD11" i="1"/>
  <c r="J11" i="1"/>
  <c r="AH10" i="1"/>
  <c r="AF10" i="1"/>
  <c r="AD10" i="1"/>
  <c r="J10" i="1"/>
  <c r="AH9" i="1"/>
  <c r="AF9" i="1"/>
  <c r="AD9" i="1"/>
  <c r="J9" i="1"/>
  <c r="AH8" i="1"/>
  <c r="AG8" i="1"/>
  <c r="AI8" i="1" s="1"/>
  <c r="AF8" i="1"/>
  <c r="AD8" i="1"/>
  <c r="J8" i="1"/>
  <c r="AD5" i="1"/>
  <c r="L5" i="1"/>
  <c r="J5" i="1"/>
  <c r="BG14" i="1" l="1"/>
  <c r="Q14" i="1" s="1"/>
  <c r="BG8" i="1"/>
  <c r="Q8" i="1" s="1"/>
  <c r="BG22" i="1"/>
  <c r="Q22" i="1" s="1"/>
  <c r="Q21" i="1"/>
  <c r="R21" i="1" s="1"/>
  <c r="AI29" i="1"/>
  <c r="AG29" i="1"/>
  <c r="AT11" i="1"/>
  <c r="AT16" i="1"/>
  <c r="BG12" i="1"/>
  <c r="Q12" i="1" s="1"/>
  <c r="I44" i="1"/>
  <c r="BG18" i="1"/>
  <c r="Q18" i="1" s="1"/>
  <c r="R18" i="1" s="1"/>
  <c r="BJ8" i="1"/>
  <c r="V8" i="1" s="1"/>
  <c r="BE15" i="1"/>
  <c r="BG15" i="1" s="1"/>
  <c r="Q15" i="1" s="1"/>
  <c r="R15" i="1" s="1"/>
  <c r="BJ19" i="1"/>
  <c r="V19" i="1" s="1"/>
  <c r="S9" i="1"/>
  <c r="X9" i="1" s="1"/>
  <c r="AT9" i="1" s="1"/>
  <c r="R9" i="1"/>
  <c r="R11" i="1"/>
  <c r="R16" i="1"/>
  <c r="S13" i="1"/>
  <c r="X13" i="1" s="1"/>
  <c r="AT13" i="1" s="1"/>
  <c r="R13" i="1"/>
  <c r="R17" i="1"/>
  <c r="S17" i="1"/>
  <c r="X17" i="1" s="1"/>
  <c r="AT17" i="1" s="1"/>
  <c r="R10" i="1"/>
  <c r="S10" i="1"/>
  <c r="X10" i="1" s="1"/>
  <c r="AT10" i="1" s="1"/>
  <c r="W11" i="1"/>
  <c r="AR11" i="1"/>
  <c r="AS11" i="1" s="1"/>
  <c r="W16" i="1"/>
  <c r="AR16" i="1"/>
  <c r="AS16" i="1" s="1"/>
  <c r="R19" i="1"/>
  <c r="S19" i="1"/>
  <c r="AT5" i="1" l="1"/>
  <c r="S8" i="1"/>
  <c r="W8" i="1" s="1"/>
  <c r="R8" i="1"/>
  <c r="S14" i="1"/>
  <c r="X14" i="1" s="1"/>
  <c r="AT14" i="1" s="1"/>
  <c r="R14" i="1"/>
  <c r="R22" i="1"/>
  <c r="S22" i="1"/>
  <c r="W22" i="1" s="1"/>
  <c r="S21" i="1"/>
  <c r="W21" i="1" s="1"/>
  <c r="S12" i="1"/>
  <c r="X12" i="1" s="1"/>
  <c r="AT12" i="1" s="1"/>
  <c r="R12" i="1"/>
  <c r="V29" i="1"/>
  <c r="W10" i="1"/>
  <c r="Q29" i="1"/>
  <c r="R29" i="1" s="1"/>
  <c r="S18" i="1"/>
  <c r="X18" i="1" s="1"/>
  <c r="AT18" i="1" s="1"/>
  <c r="S15" i="1"/>
  <c r="AR15" i="1" s="1"/>
  <c r="AS15" i="1" s="1"/>
  <c r="W14" i="1"/>
  <c r="AR17" i="1"/>
  <c r="AS17" i="1" s="1"/>
  <c r="W9" i="1"/>
  <c r="W17" i="1"/>
  <c r="AR10" i="1"/>
  <c r="AS10" i="1" s="1"/>
  <c r="AR9" i="1"/>
  <c r="AS9" i="1" s="1"/>
  <c r="W5" i="1"/>
  <c r="AR13" i="1"/>
  <c r="AS13" i="1" s="1"/>
  <c r="W13" i="1"/>
  <c r="AR19" i="1"/>
  <c r="AS19" i="1" s="1"/>
  <c r="W19" i="1"/>
  <c r="X19" i="1"/>
  <c r="AT19" i="1" s="1"/>
  <c r="AR14" i="1" l="1"/>
  <c r="AS14" i="1" s="1"/>
  <c r="AR8" i="1"/>
  <c r="AS8" i="1" s="1"/>
  <c r="X8" i="1"/>
  <c r="AT8" i="1" s="1"/>
  <c r="X22" i="1"/>
  <c r="AT22" i="1" s="1"/>
  <c r="X21" i="1"/>
  <c r="AT21" i="1" s="1"/>
  <c r="AR12" i="1"/>
  <c r="AS12" i="1" s="1"/>
  <c r="W12" i="1"/>
  <c r="S29" i="1"/>
  <c r="W29" i="1" s="1"/>
  <c r="W18" i="1"/>
  <c r="AR18" i="1"/>
  <c r="X15" i="1"/>
  <c r="AT15" i="1" s="1"/>
  <c r="W15" i="1"/>
  <c r="AS5" i="1"/>
  <c r="AR29" i="1" l="1"/>
  <c r="AS18" i="1"/>
  <c r="AS29" i="1" s="1"/>
  <c r="X29" i="1"/>
  <c r="AT29" i="1"/>
</calcChain>
</file>

<file path=xl/comments1.xml><?xml version="1.0" encoding="utf-8"?>
<comments xmlns="http://schemas.openxmlformats.org/spreadsheetml/2006/main">
  <authors>
    <author>Cricket Williams</author>
    <author>Aniket Mulmule</author>
    <author>tdeltufo</author>
    <author>Schultz, Becca</author>
  </authors>
  <commentList>
    <comment ref="T3" authorId="0" shapeId="0">
      <text>
        <r>
          <rPr>
            <b/>
            <sz val="9"/>
            <color indexed="81"/>
            <rFont val="Tahoma"/>
            <family val="2"/>
          </rPr>
          <t>Cricket Williams:</t>
        </r>
        <r>
          <rPr>
            <sz val="9"/>
            <color indexed="81"/>
            <rFont val="Tahoma"/>
            <family val="2"/>
          </rPr>
          <t xml:space="preserve">
I think this will be a parameter used for the report.
</t>
        </r>
      </text>
    </comment>
    <comment ref="AA4" authorId="1" shapeId="0">
      <text>
        <r>
          <rPr>
            <b/>
            <sz val="9"/>
            <color indexed="81"/>
            <rFont val="Tahoma"/>
            <charset val="1"/>
          </rPr>
          <t>Aniket Mulmule:</t>
        </r>
        <r>
          <rPr>
            <sz val="9"/>
            <color indexed="81"/>
            <rFont val="Tahoma"/>
            <charset val="1"/>
          </rPr>
          <t xml:space="preserve">
Lender Name EH Loan
</t>
        </r>
      </text>
    </comment>
    <comment ref="AB4" authorId="1" shapeId="0">
      <text>
        <r>
          <rPr>
            <b/>
            <sz val="9"/>
            <color indexed="81"/>
            <rFont val="Tahoma"/>
            <charset val="1"/>
          </rPr>
          <t>Aniket Mulmule:</t>
        </r>
        <r>
          <rPr>
            <sz val="9"/>
            <color indexed="81"/>
            <rFont val="Tahoma"/>
            <charset val="1"/>
          </rPr>
          <t xml:space="preserve">
Financing Source EH Loan</t>
        </r>
      </text>
    </comment>
    <comment ref="AC4" authorId="1" shapeId="0">
      <text>
        <r>
          <rPr>
            <b/>
            <sz val="9"/>
            <color indexed="81"/>
            <rFont val="Tahoma"/>
            <charset val="1"/>
          </rPr>
          <t>Aniket Mulmule:</t>
        </r>
        <r>
          <rPr>
            <sz val="9"/>
            <color indexed="81"/>
            <rFont val="Tahoma"/>
            <charset val="1"/>
          </rPr>
          <t xml:space="preserve">
 ? Principal Amount
EH Loan</t>
        </r>
      </text>
    </comment>
    <comment ref="AF4" authorId="1" shapeId="0">
      <text>
        <r>
          <rPr>
            <b/>
            <sz val="9"/>
            <color indexed="81"/>
            <rFont val="Tahoma"/>
            <charset val="1"/>
          </rPr>
          <t>Aniket Mulmule:</t>
        </r>
        <r>
          <rPr>
            <sz val="9"/>
            <color indexed="81"/>
            <rFont val="Tahoma"/>
            <charset val="1"/>
          </rPr>
          <t xml:space="preserve">
Maturity Date EH Loan
</t>
        </r>
      </text>
    </comment>
    <comment ref="H5" authorId="2" shapeId="0">
      <text>
        <r>
          <rPr>
            <b/>
            <sz val="9"/>
            <color indexed="81"/>
            <rFont val="Tahoma"/>
            <family val="2"/>
          </rPr>
          <t>tdeltufo:</t>
        </r>
        <r>
          <rPr>
            <sz val="9"/>
            <color indexed="81"/>
            <rFont val="Tahoma"/>
            <family val="2"/>
          </rPr>
          <t xml:space="preserve">
verified by Laura Turner</t>
        </r>
      </text>
    </comment>
    <comment ref="AG5" authorId="2" shapeId="0">
      <text>
        <r>
          <rPr>
            <b/>
            <sz val="9"/>
            <color indexed="81"/>
            <rFont val="Tahoma"/>
            <family val="2"/>
          </rPr>
          <t>tdeltufo:</t>
        </r>
        <r>
          <rPr>
            <sz val="9"/>
            <color indexed="81"/>
            <rFont val="Tahoma"/>
            <family val="2"/>
          </rPr>
          <t xml:space="preserve">
Includes both principal and accrued interest</t>
        </r>
      </text>
    </comment>
    <comment ref="H8" authorId="2" shapeId="0">
      <text>
        <r>
          <rPr>
            <b/>
            <sz val="9"/>
            <color indexed="81"/>
            <rFont val="Tahoma"/>
            <family val="2"/>
          </rPr>
          <t>tdeltufo:</t>
        </r>
        <r>
          <rPr>
            <sz val="9"/>
            <color indexed="81"/>
            <rFont val="Tahoma"/>
            <family val="2"/>
          </rPr>
          <t xml:space="preserve">
verified by Laura Turner</t>
        </r>
      </text>
    </comment>
    <comment ref="H9" authorId="2" shapeId="0">
      <text>
        <r>
          <rPr>
            <b/>
            <sz val="9"/>
            <color indexed="81"/>
            <rFont val="Tahoma"/>
            <family val="2"/>
          </rPr>
          <t>tdeltufo:</t>
        </r>
        <r>
          <rPr>
            <sz val="9"/>
            <color indexed="81"/>
            <rFont val="Tahoma"/>
            <family val="2"/>
          </rPr>
          <t xml:space="preserve">
verified by Laura Turner</t>
        </r>
      </text>
    </comment>
    <comment ref="H10" authorId="2" shapeId="0">
      <text>
        <r>
          <rPr>
            <b/>
            <sz val="9"/>
            <color indexed="81"/>
            <rFont val="Tahoma"/>
            <family val="2"/>
          </rPr>
          <t>tdeltufo:</t>
        </r>
        <r>
          <rPr>
            <sz val="9"/>
            <color indexed="81"/>
            <rFont val="Tahoma"/>
            <family val="2"/>
          </rPr>
          <t xml:space="preserve">
verified by Laura Turner</t>
        </r>
      </text>
    </comment>
    <comment ref="H11" authorId="2" shapeId="0">
      <text>
        <r>
          <rPr>
            <b/>
            <sz val="9"/>
            <color indexed="81"/>
            <rFont val="Tahoma"/>
            <family val="2"/>
          </rPr>
          <t>tdeltufo:</t>
        </r>
        <r>
          <rPr>
            <sz val="9"/>
            <color indexed="81"/>
            <rFont val="Tahoma"/>
            <family val="2"/>
          </rPr>
          <t xml:space="preserve">
verified by Laura Turner</t>
        </r>
      </text>
    </comment>
    <comment ref="G12" authorId="2" shapeId="0">
      <text>
        <r>
          <rPr>
            <b/>
            <sz val="9"/>
            <color indexed="81"/>
            <rFont val="Tahoma"/>
            <family val="2"/>
          </rPr>
          <t>tdeltufo:</t>
        </r>
        <r>
          <rPr>
            <sz val="9"/>
            <color indexed="81"/>
            <rFont val="Tahoma"/>
            <family val="2"/>
          </rPr>
          <t xml:space="preserve">
last building was placed in service 10/7/2010 per the cost cert</t>
        </r>
      </text>
    </comment>
    <comment ref="H12" authorId="2" shapeId="0">
      <text>
        <r>
          <rPr>
            <b/>
            <sz val="9"/>
            <color indexed="81"/>
            <rFont val="Tahoma"/>
            <family val="2"/>
          </rPr>
          <t>tdeltufo:</t>
        </r>
        <r>
          <rPr>
            <sz val="9"/>
            <color indexed="81"/>
            <rFont val="Tahoma"/>
            <family val="2"/>
          </rPr>
          <t xml:space="preserve">
verified by Laura Turner</t>
        </r>
      </text>
    </comment>
    <comment ref="H13" authorId="2" shapeId="0">
      <text>
        <r>
          <rPr>
            <b/>
            <sz val="9"/>
            <color indexed="81"/>
            <rFont val="Tahoma"/>
            <family val="2"/>
          </rPr>
          <t>tdeltufo:</t>
        </r>
        <r>
          <rPr>
            <sz val="9"/>
            <color indexed="81"/>
            <rFont val="Tahoma"/>
            <family val="2"/>
          </rPr>
          <t xml:space="preserve">
verified by Laura Turner</t>
        </r>
      </text>
    </comment>
    <comment ref="G14" authorId="2" shapeId="0">
      <text>
        <r>
          <rPr>
            <b/>
            <sz val="9"/>
            <color indexed="81"/>
            <rFont val="Tahoma"/>
            <family val="2"/>
          </rPr>
          <t>tdeltufo:</t>
        </r>
        <r>
          <rPr>
            <sz val="9"/>
            <color indexed="81"/>
            <rFont val="Tahoma"/>
            <family val="2"/>
          </rPr>
          <t xml:space="preserve">
last building placed in service June 30, 2009 per the cost cert</t>
        </r>
      </text>
    </comment>
    <comment ref="H14" authorId="2" shapeId="0">
      <text>
        <r>
          <rPr>
            <b/>
            <sz val="9"/>
            <color indexed="81"/>
            <rFont val="Tahoma"/>
            <family val="2"/>
          </rPr>
          <t>tdeltufo:</t>
        </r>
        <r>
          <rPr>
            <sz val="9"/>
            <color indexed="81"/>
            <rFont val="Tahoma"/>
            <family val="2"/>
          </rPr>
          <t xml:space="preserve">
verified by Laura Turner</t>
        </r>
      </text>
    </comment>
    <comment ref="G15" authorId="2" shapeId="0">
      <text>
        <r>
          <rPr>
            <b/>
            <sz val="9"/>
            <color indexed="81"/>
            <rFont val="Tahoma"/>
            <family val="2"/>
          </rPr>
          <t>tdeltufo:</t>
        </r>
        <r>
          <rPr>
            <sz val="9"/>
            <color indexed="81"/>
            <rFont val="Tahoma"/>
            <family val="2"/>
          </rPr>
          <t xml:space="preserve">
Final building Place in service date is 6/30/2009 per cost cert</t>
        </r>
      </text>
    </comment>
    <comment ref="H15" authorId="2" shapeId="0">
      <text>
        <r>
          <rPr>
            <b/>
            <sz val="9"/>
            <color indexed="81"/>
            <rFont val="Tahoma"/>
            <family val="2"/>
          </rPr>
          <t>tdeltufo:</t>
        </r>
        <r>
          <rPr>
            <sz val="9"/>
            <color indexed="81"/>
            <rFont val="Tahoma"/>
            <family val="2"/>
          </rPr>
          <t xml:space="preserve">
verified by Laura Turner</t>
        </r>
      </text>
    </comment>
    <comment ref="H16" authorId="2" shapeId="0">
      <text>
        <r>
          <rPr>
            <b/>
            <sz val="9"/>
            <color indexed="81"/>
            <rFont val="Tahoma"/>
            <family val="2"/>
          </rPr>
          <t>tdeltufo:</t>
        </r>
        <r>
          <rPr>
            <sz val="9"/>
            <color indexed="81"/>
            <rFont val="Tahoma"/>
            <family val="2"/>
          </rPr>
          <t xml:space="preserve">
verified by Laura Turner</t>
        </r>
      </text>
    </comment>
    <comment ref="BD16" authorId="3" shapeId="0">
      <text>
        <r>
          <rPr>
            <b/>
            <sz val="9"/>
            <color indexed="81"/>
            <rFont val="Tahoma"/>
            <family val="2"/>
          </rPr>
          <t>Schultz, Becca:</t>
        </r>
        <r>
          <rPr>
            <sz val="9"/>
            <color indexed="81"/>
            <rFont val="Tahoma"/>
            <family val="2"/>
          </rPr>
          <t xml:space="preserve">
Amortization went from $259k to $4k
</t>
        </r>
      </text>
    </comment>
    <comment ref="G17" authorId="2" shapeId="0">
      <text>
        <r>
          <rPr>
            <b/>
            <sz val="9"/>
            <color indexed="81"/>
            <rFont val="Tahoma"/>
            <family val="2"/>
          </rPr>
          <t>tdeltufo:</t>
        </r>
        <r>
          <rPr>
            <sz val="9"/>
            <color indexed="81"/>
            <rFont val="Tahoma"/>
            <family val="2"/>
          </rPr>
          <t xml:space="preserve">
Rehab placed in service 3/29/2011 per cost cert</t>
        </r>
      </text>
    </comment>
    <comment ref="H17" authorId="2" shapeId="0">
      <text>
        <r>
          <rPr>
            <b/>
            <sz val="9"/>
            <color indexed="81"/>
            <rFont val="Tahoma"/>
            <family val="2"/>
          </rPr>
          <t>tdeltufo:</t>
        </r>
        <r>
          <rPr>
            <sz val="9"/>
            <color indexed="81"/>
            <rFont val="Tahoma"/>
            <family val="2"/>
          </rPr>
          <t xml:space="preserve">
verified by Laura Turner</t>
        </r>
      </text>
    </comment>
    <comment ref="H18" authorId="2" shapeId="0">
      <text>
        <r>
          <rPr>
            <b/>
            <sz val="9"/>
            <color indexed="81"/>
            <rFont val="Tahoma"/>
            <family val="2"/>
          </rPr>
          <t>tdeltufo:</t>
        </r>
        <r>
          <rPr>
            <sz val="9"/>
            <color indexed="81"/>
            <rFont val="Tahoma"/>
            <family val="2"/>
          </rPr>
          <t xml:space="preserve">
verified by Laura Turner</t>
        </r>
      </text>
    </comment>
    <comment ref="F19" authorId="2" shapeId="0">
      <text>
        <r>
          <rPr>
            <b/>
            <sz val="9"/>
            <color indexed="81"/>
            <rFont val="Tahoma"/>
            <family val="2"/>
          </rPr>
          <t>tdeltufo:</t>
        </r>
        <r>
          <rPr>
            <sz val="9"/>
            <color indexed="81"/>
            <rFont val="Tahoma"/>
            <family val="2"/>
          </rPr>
          <t xml:space="preserve">
acquired Nov 2012</t>
        </r>
      </text>
    </comment>
    <comment ref="H19" authorId="2" shapeId="0">
      <text>
        <r>
          <rPr>
            <b/>
            <sz val="9"/>
            <color indexed="81"/>
            <rFont val="Tahoma"/>
            <family val="2"/>
          </rPr>
          <t>tdeltufo:</t>
        </r>
        <r>
          <rPr>
            <sz val="9"/>
            <color indexed="81"/>
            <rFont val="Tahoma"/>
            <family val="2"/>
          </rPr>
          <t xml:space="preserve">
verified by Laura Turner</t>
        </r>
      </text>
    </comment>
    <comment ref="BI19" authorId="3" shapeId="0">
      <text>
        <r>
          <rPr>
            <b/>
            <sz val="9"/>
            <color indexed="81"/>
            <rFont val="Tahoma"/>
            <family val="2"/>
          </rPr>
          <t>Schultz, Becca:</t>
        </r>
        <r>
          <rPr>
            <sz val="9"/>
            <color indexed="81"/>
            <rFont val="Tahoma"/>
            <family val="2"/>
          </rPr>
          <t xml:space="preserve">
Payment on Mortgage Payable</t>
        </r>
      </text>
    </comment>
    <comment ref="H20" authorId="2" shapeId="0">
      <text>
        <r>
          <rPr>
            <b/>
            <sz val="9"/>
            <color indexed="81"/>
            <rFont val="Tahoma"/>
            <family val="2"/>
          </rPr>
          <t>tdeltufo:</t>
        </r>
        <r>
          <rPr>
            <sz val="9"/>
            <color indexed="81"/>
            <rFont val="Tahoma"/>
            <family val="2"/>
          </rPr>
          <t xml:space="preserve">
verified by Laura Turner</t>
        </r>
      </text>
    </comment>
    <comment ref="H21" authorId="2" shapeId="0">
      <text>
        <r>
          <rPr>
            <b/>
            <sz val="9"/>
            <color indexed="81"/>
            <rFont val="Tahoma"/>
            <family val="2"/>
          </rPr>
          <t>tdeltufo:</t>
        </r>
        <r>
          <rPr>
            <sz val="9"/>
            <color indexed="81"/>
            <rFont val="Tahoma"/>
            <family val="2"/>
          </rPr>
          <t xml:space="preserve">
verified by Laura Turner</t>
        </r>
      </text>
    </comment>
    <comment ref="H22" authorId="2" shapeId="0">
      <text>
        <r>
          <rPr>
            <b/>
            <sz val="9"/>
            <color indexed="81"/>
            <rFont val="Tahoma"/>
            <family val="2"/>
          </rPr>
          <t>tdeltufo:</t>
        </r>
        <r>
          <rPr>
            <sz val="9"/>
            <color indexed="81"/>
            <rFont val="Tahoma"/>
            <family val="2"/>
          </rPr>
          <t xml:space="preserve">
Laura Turner was projecting 2029, but doesn't make sense; will be 20128 like English</t>
        </r>
      </text>
    </comment>
    <comment ref="AE23" authorId="3" shapeId="0">
      <text>
        <r>
          <rPr>
            <b/>
            <sz val="9"/>
            <color indexed="81"/>
            <rFont val="Tahoma"/>
            <family val="2"/>
          </rPr>
          <t>Schultz, Becca:</t>
        </r>
        <r>
          <rPr>
            <sz val="9"/>
            <color indexed="81"/>
            <rFont val="Tahoma"/>
            <family val="2"/>
          </rPr>
          <t xml:space="preserve">
Notes Payable</t>
        </r>
      </text>
    </comment>
    <comment ref="H24" authorId="2" shapeId="0">
      <text>
        <r>
          <rPr>
            <b/>
            <sz val="9"/>
            <color indexed="81"/>
            <rFont val="Tahoma"/>
            <family val="2"/>
          </rPr>
          <t>tdeltufo:</t>
        </r>
        <r>
          <rPr>
            <sz val="9"/>
            <color indexed="81"/>
            <rFont val="Tahoma"/>
            <family val="2"/>
          </rPr>
          <t xml:space="preserve">
verified by Laura Turner</t>
        </r>
      </text>
    </comment>
    <comment ref="AZ26" authorId="3" shapeId="0">
      <text>
        <r>
          <rPr>
            <b/>
            <sz val="9"/>
            <color indexed="81"/>
            <rFont val="Tahoma"/>
            <family val="2"/>
          </rPr>
          <t>Schultz, Becca:</t>
        </r>
        <r>
          <rPr>
            <sz val="9"/>
            <color indexed="81"/>
            <rFont val="Tahoma"/>
            <family val="2"/>
          </rPr>
          <t xml:space="preserve">
This is from 2016 Audit</t>
        </r>
      </text>
    </comment>
    <comment ref="H28" authorId="2" shapeId="0">
      <text>
        <r>
          <rPr>
            <b/>
            <sz val="9"/>
            <color indexed="81"/>
            <rFont val="Tahoma"/>
            <family val="2"/>
          </rPr>
          <t>tdeltufo:</t>
        </r>
        <r>
          <rPr>
            <sz val="9"/>
            <color indexed="81"/>
            <rFont val="Tahoma"/>
            <family val="2"/>
          </rPr>
          <t xml:space="preserve">
verified by Laura Turner</t>
        </r>
      </text>
    </comment>
  </commentList>
</comments>
</file>

<file path=xl/sharedStrings.xml><?xml version="1.0" encoding="utf-8"?>
<sst xmlns="http://schemas.openxmlformats.org/spreadsheetml/2006/main" count="589" uniqueCount="290">
  <si>
    <t xml:space="preserve">                </t>
  </si>
  <si>
    <t>Property (A)</t>
  </si>
  <si>
    <t>Ownership (B)</t>
  </si>
  <si>
    <t>Occupancy (C)</t>
  </si>
  <si>
    <t>Annual Income &amp; Expenses (D)</t>
  </si>
  <si>
    <t>Annual Debt Service (E)</t>
  </si>
  <si>
    <t>DSC</t>
  </si>
  <si>
    <t>Present Market Value (F)</t>
  </si>
  <si>
    <t>Original Debt (G)</t>
  </si>
  <si>
    <t>Current Balance (H)</t>
  </si>
  <si>
    <t>Interest Rate (I)</t>
  </si>
  <si>
    <t>Current Equity</t>
  </si>
  <si>
    <t>Any Pending Judgments, Legal Suits/Actions or Bankruptcy Claims? Explain (J)</t>
  </si>
  <si>
    <t>Name</t>
  </si>
  <si>
    <t>Location  City &amp; State</t>
  </si>
  <si>
    <t>Borrowing Entity Name</t>
  </si>
  <si>
    <t>Type</t>
  </si>
  <si>
    <t>Units/
Sq.Ft.</t>
  </si>
  <si>
    <t>Acq.
Date</t>
  </si>
  <si>
    <t>Role</t>
  </si>
  <si>
    <t>% Owned</t>
  </si>
  <si>
    <t>Operating Exp Ratio</t>
  </si>
  <si>
    <t>NOI            "As Of" Date</t>
  </si>
  <si>
    <t>FY/Trailing 12/Annualized</t>
  </si>
  <si>
    <t>Fair Market Value</t>
  </si>
  <si>
    <t>Cap Rate</t>
  </si>
  <si>
    <t>Date of Valuation</t>
  </si>
  <si>
    <t xml:space="preserve">Name of Lender </t>
  </si>
  <si>
    <t xml:space="preserve">Type of Debt </t>
  </si>
  <si>
    <t>Original Amt</t>
  </si>
  <si>
    <t>Inception or Transfer Date</t>
  </si>
  <si>
    <t>Maturity Date</t>
  </si>
  <si>
    <t>2nd Mortgage</t>
  </si>
  <si>
    <t>Total Loan</t>
  </si>
  <si>
    <t>Balloon Payment</t>
  </si>
  <si>
    <t>Collateral</t>
  </si>
  <si>
    <t>% Recourse</t>
  </si>
  <si>
    <t>Current or Delinquent</t>
  </si>
  <si>
    <t>Fixed</t>
  </si>
  <si>
    <t>Adjustable</t>
  </si>
  <si>
    <t>Interest Only</t>
  </si>
  <si>
    <t>Set Date for Rate</t>
  </si>
  <si>
    <t>Cash Flow</t>
  </si>
  <si>
    <t>Borrower Share</t>
  </si>
  <si>
    <t>Park Heights Place</t>
  </si>
  <si>
    <t>5430 Park Heights Avenue Baltimore, MD 21215</t>
  </si>
  <si>
    <t>Park Heights Senior Housing Limited Partnership</t>
  </si>
  <si>
    <t>Senior</t>
  </si>
  <si>
    <t>GP</t>
  </si>
  <si>
    <t>Susquehanna Bank</t>
  </si>
  <si>
    <t>Conventional</t>
  </si>
  <si>
    <t>Current</t>
  </si>
  <si>
    <t>No</t>
  </si>
  <si>
    <t>Family</t>
  </si>
  <si>
    <t>Non-Managing GP</t>
  </si>
  <si>
    <t>Ednor Apartments I</t>
  </si>
  <si>
    <t>1040 E. 33rd Street Baltimore, MD 21218</t>
  </si>
  <si>
    <t>Ednor Apartments I Limited Partnership</t>
  </si>
  <si>
    <t>Greens Hammonds Ln</t>
  </si>
  <si>
    <t>600 Hammonds Lane Brooklyn Park, MD 21225</t>
  </si>
  <si>
    <t>Greens at Hammonds Lane Limited Partnership</t>
  </si>
  <si>
    <t>Capital One</t>
  </si>
  <si>
    <t>Cove Point II</t>
  </si>
  <si>
    <t>7795 Peninsula Expressway Dundalk, MD 21222</t>
  </si>
  <si>
    <t>Cove Point Apartments II Limited Partnership</t>
  </si>
  <si>
    <t>Evergreen Senior</t>
  </si>
  <si>
    <t>1600 Evergreen Way           Essex, MD 21221</t>
  </si>
  <si>
    <t>Evergreen Senior Apartments Ltd Partnership</t>
  </si>
  <si>
    <t>Greens Rolling Rd</t>
  </si>
  <si>
    <t>1505 N. Rolling Road Catonsville, MD 21228</t>
  </si>
  <si>
    <t>Greens at Rolling Road Limited Partnership</t>
  </si>
  <si>
    <t>Sierra Woods</t>
  </si>
  <si>
    <t>8712 Airybrink Lane Columbia, MD 21045</t>
  </si>
  <si>
    <t>Sierra Woods Limited Partnership</t>
  </si>
  <si>
    <t>CDA (Risk Share)</t>
  </si>
  <si>
    <t>Cove Point I</t>
  </si>
  <si>
    <t>7801 Peninsula Expressway Dundalk, MD 21222</t>
  </si>
  <si>
    <t>Cove Point Apartments Limited Partnership</t>
  </si>
  <si>
    <t>Wells Fargo</t>
  </si>
  <si>
    <t>Forest Ridge</t>
  </si>
  <si>
    <t>5866 Stevens Forest Road Columbia, MD 21045</t>
  </si>
  <si>
    <t>Stevens Forrest Limited Partnership</t>
  </si>
  <si>
    <t>Cherrydale</t>
  </si>
  <si>
    <t>1118 Cherry Hill Road Baltimore, MD 21225</t>
  </si>
  <si>
    <t>Cherrydale Limited Partnership</t>
  </si>
  <si>
    <t xml:space="preserve">Wells Fargo </t>
  </si>
  <si>
    <t>Greens Liberty Rd</t>
  </si>
  <si>
    <t>9707 Liberty Road Randalstown, MD 21133</t>
  </si>
  <si>
    <t>Greens at Liberty Road Limited Partnership</t>
  </si>
  <si>
    <t>Harper House</t>
  </si>
  <si>
    <t>5495 Cedar Lane                            Columbia, MD 21044</t>
  </si>
  <si>
    <t>Harper House Limited Partnership</t>
  </si>
  <si>
    <t>4300 Frederick Avenue Baltimore, MD 21229</t>
  </si>
  <si>
    <t>Greens at Irvnington Mews Limited Partnership</t>
  </si>
  <si>
    <t>N/A</t>
  </si>
  <si>
    <t>Total</t>
  </si>
  <si>
    <t>Greens at English Consul</t>
  </si>
  <si>
    <t>Greens at Irvington Mews</t>
  </si>
  <si>
    <t>Greens at Logan Field</t>
  </si>
  <si>
    <t>Greens at English Consul Limited Partnership</t>
  </si>
  <si>
    <t>Greens at Logan Field Limited Partnership</t>
  </si>
  <si>
    <t>3455 Dundalk Avenue Dundalk, MD 21222</t>
  </si>
  <si>
    <t>4120 Oak Road                            Lansdowne, MD 21227</t>
  </si>
  <si>
    <t>Admin</t>
  </si>
  <si>
    <t>Utilities</t>
  </si>
  <si>
    <t>R&amp;M</t>
  </si>
  <si>
    <t>T&amp;I</t>
  </si>
  <si>
    <t>Deferred Interest</t>
  </si>
  <si>
    <t>Misc</t>
  </si>
  <si>
    <t>Dep &amp;Amor</t>
  </si>
  <si>
    <t>Operating Expenses</t>
  </si>
  <si>
    <t>Interest</t>
  </si>
  <si>
    <t>Principal</t>
  </si>
  <si>
    <t>Total DS</t>
  </si>
  <si>
    <t>30 Locust Street
Westminster, MD  21157</t>
  </si>
  <si>
    <t>EHC Westminister LHA
Limited Partnership</t>
  </si>
  <si>
    <t>Notes</t>
  </si>
  <si>
    <t>1.  The GP's of all entities are owned by affiliates of EHC with the exception of Ednor II.  Endor II's GP is an affiliate of EHI.</t>
  </si>
  <si>
    <t>Managed Properties</t>
  </si>
  <si>
    <t>Total Units</t>
  </si>
  <si>
    <t>Heritage</t>
  </si>
  <si>
    <t>Taney</t>
  </si>
  <si>
    <t>Year 15</t>
  </si>
  <si>
    <t>Taney Village</t>
  </si>
  <si>
    <t>Riverwoods at North East</t>
  </si>
  <si>
    <t>Year Built</t>
  </si>
  <si>
    <t>Year Rehabbed</t>
  </si>
  <si>
    <t>1421 Taney Avenue
Frederick, MD  21702</t>
  </si>
  <si>
    <t>125 Railroad Lane
North East, MD 21901</t>
  </si>
  <si>
    <t>Taney Village Limited Partnership</t>
  </si>
  <si>
    <t>Riverwoods at North East
Limited Partnership</t>
  </si>
  <si>
    <t>2.  Wheeler Creek and Heritage GP is ESIC.</t>
  </si>
  <si>
    <t>Benet House</t>
  </si>
  <si>
    <t>Bon Secours Benet House Limited Partnership</t>
  </si>
  <si>
    <t>FHA  052-35725</t>
  </si>
  <si>
    <t>400 Millington Avenue Baltimore, MD 21223</t>
  </si>
  <si>
    <t>Hollins Station</t>
  </si>
  <si>
    <t>Westminster Overlook (Formerly Locust House)</t>
  </si>
  <si>
    <t>FHA 000-11248</t>
  </si>
  <si>
    <t>Mulberry at Park Limited Partnership</t>
  </si>
  <si>
    <t>1930/1991</t>
  </si>
  <si>
    <t>3.  Occupancy % exludes deals in lease-up or construction (Riverwoods, Hollins, and Mulberry).</t>
  </si>
  <si>
    <t>4374 Hollins Ferry Road   Lansdowne, MD 21227</t>
  </si>
  <si>
    <t>3600 W. Franklin Street Baltimore, MD 21229</t>
  </si>
  <si>
    <t>Allendale Apartments Limited Partnership</t>
  </si>
  <si>
    <t>Senior/ Disabled</t>
  </si>
  <si>
    <t>FHA 052-35726</t>
  </si>
  <si>
    <t>Name:</t>
  </si>
  <si>
    <t>Certified By:</t>
  </si>
  <si>
    <t>Title:</t>
  </si>
  <si>
    <t>Date:</t>
  </si>
  <si>
    <t>Todd Del Tufo</t>
  </si>
  <si>
    <t>Bank of America</t>
  </si>
  <si>
    <t>Mulberry at Park</t>
  </si>
  <si>
    <t>Allendale Apartments</t>
  </si>
  <si>
    <t>1980/UC</t>
  </si>
  <si>
    <t>FHA  052-38030</t>
  </si>
  <si>
    <t>FHA  052-38031</t>
  </si>
  <si>
    <t>FHA 052-38019</t>
  </si>
  <si>
    <t>FHA  052-98007</t>
  </si>
  <si>
    <t>FHA 052-38028</t>
  </si>
  <si>
    <t>FHA 052-35646</t>
  </si>
  <si>
    <t>FHA 052-98009</t>
  </si>
  <si>
    <t>FHA 052-98015</t>
  </si>
  <si>
    <t>FHA 052-11200</t>
  </si>
  <si>
    <t>Yes</t>
  </si>
  <si>
    <t>Ednor Apartments II</t>
  </si>
  <si>
    <t>1050 E. 33rd Street Baltimore, MD 21218</t>
  </si>
  <si>
    <t>Ednor Apartments II Limited Partnership</t>
  </si>
  <si>
    <t>1st Mortgage Balance as of (12/31/15)</t>
  </si>
  <si>
    <t>Exit Cap Rate</t>
  </si>
  <si>
    <t>Revenues</t>
  </si>
  <si>
    <t>NOI</t>
  </si>
  <si>
    <t>FHA  052-35743</t>
  </si>
  <si>
    <t>Spyglass at Cedar Cove</t>
  </si>
  <si>
    <t>Managing Member</t>
  </si>
  <si>
    <t xml:space="preserve">21620 Spyglass Way
Lexington Park, MD </t>
  </si>
  <si>
    <t>Spyglass at Cedar Cove, LLC</t>
  </si>
  <si>
    <t>BWE</t>
  </si>
  <si>
    <t>211 West Mulberry Street   Baltimore, MD 21201</t>
  </si>
  <si>
    <t>Todd J Del Tufo</t>
  </si>
  <si>
    <t>Hollins Station Limited Partnership</t>
  </si>
  <si>
    <t>FY- 2016 Final Audit</t>
  </si>
  <si>
    <t>FY-2016 Final Audit</t>
  </si>
  <si>
    <t>FY - 2016 Final Audit</t>
  </si>
  <si>
    <t>March 31 2017</t>
  </si>
  <si>
    <t>VP Acquisitions &amp; Asset Management</t>
  </si>
  <si>
    <t>2017 Budget</t>
  </si>
  <si>
    <t>2016  Average Weekly Occupancy</t>
  </si>
  <si>
    <t>Current Occupancy</t>
  </si>
  <si>
    <t>Current Occupancy 
as of 
Date</t>
  </si>
  <si>
    <t>Freddie Mac</t>
  </si>
  <si>
    <t>Interest &amp; MIP on First</t>
  </si>
  <si>
    <t>Expenses backed out of Audit</t>
  </si>
  <si>
    <t>Footnote</t>
  </si>
  <si>
    <t>Backed out HVAC from Cap Ex</t>
  </si>
  <si>
    <t>Backed out Cap Ex Asphalt/Concrete</t>
  </si>
  <si>
    <t>*  Mulberry and Allendale are excluded from the 2016 Average Weekly Portfolio Occupancy % as they were under lease-up during 2016</t>
  </si>
  <si>
    <t>Backed out Cap Ex Siding, Electrical supplies R&amp;M Lighting &amp; Building Interiors (water mitigation)</t>
  </si>
  <si>
    <t>Backed out CAP Ex Landscape, Contracts Electric &amp; R &amp; M Lighting</t>
  </si>
  <si>
    <t>Project Name</t>
  </si>
  <si>
    <t>Primary Building</t>
  </si>
  <si>
    <t>Owner Borrower Name from Project</t>
  </si>
  <si>
    <t>New Field on Project</t>
  </si>
  <si>
    <t>Primary Building Year Built</t>
  </si>
  <si>
    <t>New field on Building</t>
  </si>
  <si>
    <t>New field on project add 14 years to Year Build or Year Rehabbed</t>
  </si>
  <si>
    <t>Total square footage for Mkt Rate and LI Units / # Mkt Rate and LI Units
Total number of units in the project.</t>
  </si>
  <si>
    <t>Closing Date - Help text "Acquisition Date". Required when Project Status changes to Loan Closing/Construction</t>
  </si>
  <si>
    <t>From Partnership</t>
  </si>
  <si>
    <t>Add 2 Account Roles (Managing Member, Non-Manageing Member, Investor Member, Non-Managing GP) for Partnership.
Add flag for Include on REO</t>
  </si>
  <si>
    <t>Average weekly for some period of time not yet defined.</t>
  </si>
  <si>
    <t>Date of Occupancy week record</t>
  </si>
  <si>
    <t>This information is coming from the yearly final audit which should be finalized by March 31st. OR Becca to provide rules.</t>
  </si>
  <si>
    <t>Previous Year</t>
  </si>
  <si>
    <t>Financial Statement Name (Name of the data source that is to right of this column)</t>
  </si>
  <si>
    <t>DS</t>
  </si>
  <si>
    <t xml:space="preserve">Becca to ask Todd about this. </t>
  </si>
  <si>
    <t>From DS</t>
  </si>
  <si>
    <t>This may end up being mult. Columns (Type of Debt, Hud Proj #)
New field for Type of Debt, Becca to provide options.</t>
  </si>
  <si>
    <t>Reo Flag on funding Source</t>
  </si>
  <si>
    <t>From Funding Source</t>
  </si>
  <si>
    <t>Becca to confirm, this may be a date we capture at Funding Source.</t>
  </si>
  <si>
    <t>Becca to confirm what the formula would be for this.</t>
  </si>
  <si>
    <t>Becca to discuss with Todd</t>
  </si>
  <si>
    <t>New Field on Project. May talk to Mackenzie about also having this at Opportunity.</t>
  </si>
  <si>
    <t>Funding Sources, Mark will provide additioanl information for tracking  other information for funding sources.</t>
  </si>
  <si>
    <t>Funding Source? Becca will talk to Todd.</t>
  </si>
  <si>
    <t>Funding Source? Becca will talk to Todd</t>
  </si>
  <si>
    <t>In Template</t>
  </si>
  <si>
    <t>Funding Source.</t>
  </si>
  <si>
    <t>Funding Source</t>
  </si>
  <si>
    <t>Template</t>
  </si>
  <si>
    <t>REO Report Column</t>
  </si>
  <si>
    <t>SF Field</t>
  </si>
  <si>
    <t>Comments from Last Meeting</t>
  </si>
  <si>
    <t>Question/Assumptions</t>
  </si>
  <si>
    <t>Type - Picklist (Senior, Family, Senior/ Disabled)</t>
  </si>
  <si>
    <t>In SF, we have Text(4) &amp; validation for only numbers. In REO report document we have e.g. 1980/UC, 1930/1991. Should we remove validation &amp; increase length of Text field from 4 to 15?</t>
  </si>
  <si>
    <t>Text(15) &amp; without any validation?</t>
  </si>
  <si>
    <t>If both 'Year Build' or 'Year Rehabbed' exists, then should we display 'Year Build'?
Assuming, this is also from Primary Building.</t>
  </si>
  <si>
    <t>Units / Sq.Ft.</t>
  </si>
  <si>
    <t>Do we need new field on Property/Project to handle multi-building project? 
IF YES - then this field is Sum of Market Rate Total Net Leasable Sq. Ft. AND Low-Income Total Net Leasable Sq. Ft. for All building?
IF NO - this field is Sum of Market Rate Total Net Leasable Sq. Ft. AND Low-Income Total Net Leasable Sq. Ft. for for Primary Building?</t>
  </si>
  <si>
    <t>Acq. Date</t>
  </si>
  <si>
    <t>Do we need 'Closing Date' on Project, same as Opportunity Close Date? Carry over from Opportunity?</t>
  </si>
  <si>
    <t>Account Role (EH Partnership)</t>
  </si>
  <si>
    <t>We will add 4 "Managing Member, Non-Manageing Member, Investor Member, Non-Managing GP" roles to Account Role picklist.</t>
  </si>
  <si>
    <t>Include on REO</t>
  </si>
  <si>
    <t>Checkbox</t>
  </si>
  <si>
    <t>New field on EH Partnership</t>
  </si>
  <si>
    <t>Is a rollup field (on Project) Sum of (Ownership Interest) from EH Partnership for all Partnership or only Active &amp; Primary Partnership?</t>
  </si>
  <si>
    <t>Can we take field name "Current Year Average Weekly Occupany" once period of time defined?
Do we need to create this field on EH Property or we will be refering directly from Occupancy on Report?</t>
  </si>
  <si>
    <t>% Units Occupied (From Occupancy Object)</t>
  </si>
  <si>
    <t>Do we need to create this field on EH Property or we will be refering directly from Occupancy on Report?</t>
  </si>
  <si>
    <t>Annual Debt Service €</t>
  </si>
  <si>
    <t>Do we need to consider 'Annual Payment' of specific 'Types of Funds/Equity' from 'EH SOF Debt Service Financing'?</t>
  </si>
  <si>
    <t>We have start date &amp; end date on 'EH SOF Debt Service Financing'. We need to decide which one should we refer.</t>
  </si>
  <si>
    <t>Column AE to AU</t>
  </si>
  <si>
    <t>We are waiting for Becca's opinion, so we will wait for her comments.</t>
  </si>
  <si>
    <t>Cricket's Response</t>
  </si>
  <si>
    <t>This field will corralate with a field Kevin is using for Reporting Checklist. We'll need to coordinate with him.</t>
  </si>
  <si>
    <t>No, We'll leave it as is.</t>
  </si>
  <si>
    <t>I would make this Text(4) same as year Built for consistancy.</t>
  </si>
  <si>
    <t>I didn't think about t his but if everything else is based on primary building then we might want to check with the business on this since occupancy is at the property level.</t>
  </si>
  <si>
    <r>
      <t xml:space="preserve">New Field on Project called </t>
    </r>
    <r>
      <rPr>
        <sz val="11"/>
        <color rgb="FFFF0000"/>
        <rFont val="Calibri"/>
        <family val="2"/>
        <scheme val="minor"/>
      </rPr>
      <t>"Population Served"</t>
    </r>
  </si>
  <si>
    <t>Project Stage - We may not want to pull projects of a cerain stage such as Loan Closing/Construction. Becca to confirm with Todd.</t>
  </si>
  <si>
    <t>this will come from the property for all UNITS!</t>
  </si>
  <si>
    <t>Becca needs to confirm with Todd on this. She believes this should come over from Close Date but we not want the field name to be "Closing/Acquisition Date"</t>
  </si>
  <si>
    <t>Based on Current Year.</t>
  </si>
  <si>
    <t>This will come from the Primany, Active Partnership record with Account Role = 'General Partner, Managing Member, Non-Manageing Member, Investor Member, Non-Managing GP'</t>
  </si>
  <si>
    <t>n/a</t>
  </si>
  <si>
    <t>Projected LIHTC Compliance Exp Date (Y15)</t>
  </si>
  <si>
    <t>Actual LIHTC Compliance Exp Date (Y15)</t>
  </si>
  <si>
    <t>New field on Property</t>
  </si>
  <si>
    <t>Date field</t>
  </si>
  <si>
    <t>Year 15 = Projected Else Actual LIHTC Compliance Exp Date (Y15)</t>
  </si>
  <si>
    <t>Is this report generated for current year?</t>
  </si>
  <si>
    <t>Is it from "total revenue" from annual financial statement?</t>
  </si>
  <si>
    <t>Noi</t>
  </si>
  <si>
    <t>Is it from "Net operating income" from annual financial statement of previous year?</t>
  </si>
  <si>
    <t>Is it "principle amount" from EH Loan</t>
  </si>
  <si>
    <t>Any Pending Judgments, Legal Suits/Actions or Bankruptcy Claims? Explain (J) -?</t>
  </si>
  <si>
    <t>Criteria for getting these fields</t>
  </si>
  <si>
    <t>not sure about this field</t>
  </si>
  <si>
    <t>which COA are considered for this field</t>
  </si>
  <si>
    <t>Depreciation &amp; Amortization ?</t>
  </si>
  <si>
    <t>tax and insurance ?</t>
  </si>
  <si>
    <t>repair and maintanance</t>
  </si>
  <si>
    <t xml:space="preserve">Misc tax and insurance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</si>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</sst>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409]dd\-mmm\-yy;@"/>
    <numFmt numFmtId="165" formatCode="0.0%"/>
    <numFmt numFmtId="166" formatCode="&quot;$&quot;0"/>
    <numFmt numFmtId="167" formatCode="0.00_);[Red]\(0.00\)"/>
    <numFmt numFmtId="168" formatCode="mm/dd/yy"/>
    <numFmt numFmtId="169" formatCode="mm/yy"/>
    <numFmt numFmtId="170" formatCode="0.000%"/>
    <numFmt numFmtId="171" formatCode="[$-409]d\-mmm\-yy;@"/>
    <numFmt numFmtId="172" formatCode="&quot;$&quot;#,##0"/>
    <numFmt numFmtId="173" formatCode="m/d/yy;@"/>
    <numFmt numFmtId="174" formatCode="mm/dd/yy;@"/>
    <numFmt numFmtId="175" formatCode="[$-409]mmm\-yy;@"/>
    <numFmt numFmtId="176" formatCode="_(&quot;$&quot;* #,##0_);_(&quot;$&quot;* \(#,##0\);_(&quot;$&quot;* &quot;-&quot;??_);_(@_)"/>
    <numFmt numFmtId="177" formatCode="_(* #,##0_);_(* \(#,##0\);_(* &quot;-&quot;??_);_(@_)"/>
    <numFmt numFmtId="178" formatCode="0.0000%"/>
    <numFmt numFmtId="179" formatCode="&quot;$&quot;#,##0.00"/>
  </numFmts>
  <fonts count="33">
    <font>
      <sz val="11"/>
      <color theme="1"/>
      <name val="Calibri"/>
      <family val="2"/>
      <scheme val="minor"/>
    </font>
    <font>
      <sz val="10"/>
      <name val="Arial"/>
      <family val="2"/>
    </font>
    <font>
      <sz val="11"/>
      <color indexed="8"/>
      <name val="Times New Roman"/>
      <family val="1"/>
    </font>
    <font>
      <sz val="11"/>
      <color indexed="8"/>
      <name val="Calibri"/>
      <family val="2"/>
    </font>
    <font>
      <sz val="11"/>
      <color indexed="8"/>
      <name val="Arial"/>
      <family val="2"/>
    </font>
    <font>
      <b/>
      <sz val="11"/>
      <color indexed="8"/>
      <name val="Times New Roman"/>
      <family val="1"/>
    </font>
    <font>
      <b/>
      <sz val="10"/>
      <color indexed="8"/>
      <name val="Times New Roman"/>
      <family val="1"/>
    </font>
    <font>
      <sz val="10"/>
      <color indexed="8"/>
      <name val="Arial"/>
      <family val="2"/>
    </font>
    <font>
      <sz val="10"/>
      <color indexed="8"/>
      <name val="Times New Roman"/>
      <family val="1"/>
    </font>
    <font>
      <sz val="12"/>
      <name val="Arial"/>
      <family val="2"/>
    </font>
    <font>
      <sz val="1"/>
      <color indexed="8"/>
      <name val="Courier"/>
      <family val="3"/>
    </font>
    <font>
      <i/>
      <sz val="1"/>
      <color indexed="8"/>
      <name val="Courier"/>
      <family val="3"/>
    </font>
    <font>
      <sz val="10"/>
      <name val="Times New Roman"/>
      <family val="1"/>
    </font>
    <font>
      <sz val="10"/>
      <color indexed="24"/>
      <name val="Arial"/>
      <family val="2"/>
    </font>
    <font>
      <sz val="8"/>
      <name val="Arial"/>
      <family val="2"/>
    </font>
    <font>
      <sz val="8"/>
      <name val="CG Times"/>
      <family val="1"/>
    </font>
    <font>
      <sz val="8"/>
      <name val="CG Times (W1)"/>
      <family val="1"/>
    </font>
    <font>
      <sz val="12"/>
      <name val="CG Times (W1)"/>
      <family val="1"/>
    </font>
    <font>
      <sz val="9"/>
      <color indexed="81"/>
      <name val="Tahoma"/>
      <family val="2"/>
    </font>
    <font>
      <b/>
      <sz val="9"/>
      <color indexed="81"/>
      <name val="Tahoma"/>
      <family val="2"/>
    </font>
    <font>
      <sz val="10"/>
      <color indexed="8"/>
      <name val="CG Times"/>
      <family val="1"/>
    </font>
    <font>
      <sz val="10"/>
      <name val="CG Times"/>
      <family val="1"/>
    </font>
    <font>
      <u/>
      <sz val="11"/>
      <color indexed="8"/>
      <name val="Arial"/>
      <family val="2"/>
    </font>
    <font>
      <sz val="11"/>
      <color theme="1"/>
      <name val="Calibri"/>
      <family val="2"/>
      <scheme val="minor"/>
    </font>
    <font>
      <sz val="12"/>
      <name val="CG Times (W1)"/>
    </font>
    <font>
      <sz val="11"/>
      <name val="Times New Roman"/>
      <family val="1"/>
    </font>
    <font>
      <sz val="11"/>
      <color indexed="8"/>
      <name val="Segoe Script"/>
      <family val="2"/>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11"/>
      <color rgb="FF9C0006"/>
      <name val="Calibri"/>
      <family val="2"/>
      <scheme val="minor"/>
    </font>
    <font>
      <sz val="11"/>
      <color theme="0"/>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0070C0"/>
        <bgColor indexed="64"/>
      </patternFill>
    </fill>
    <fill>
      <patternFill patternType="solid">
        <fgColor rgb="FFFFC7CE"/>
      </patternFill>
    </fill>
    <fill>
      <patternFill patternType="solid">
        <fgColor theme="5" tint="0.39997558519241921"/>
        <bgColor indexed="65"/>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3" fontId="9" fillId="0" borderId="0" applyFill="0" applyBorder="0" applyAlignment="0" applyProtection="0"/>
    <xf numFmtId="5" fontId="9" fillId="0" borderId="0" applyFill="0" applyBorder="0" applyAlignment="0" applyProtection="0"/>
    <xf numFmtId="0" fontId="9" fillId="0" borderId="0" applyNumberFormat="0" applyFill="0" applyBorder="0" applyAlignment="0" applyProtection="0"/>
    <xf numFmtId="0" fontId="10" fillId="0" borderId="0">
      <protection locked="0"/>
    </xf>
    <xf numFmtId="0" fontId="10" fillId="0" borderId="0">
      <protection locked="0"/>
    </xf>
    <xf numFmtId="0" fontId="11" fillId="0" borderId="0">
      <protection locked="0"/>
    </xf>
    <xf numFmtId="0" fontId="10" fillId="0" borderId="0">
      <protection locked="0"/>
    </xf>
    <xf numFmtId="0" fontId="10" fillId="0" borderId="0">
      <protection locked="0"/>
    </xf>
    <xf numFmtId="0" fontId="10" fillId="0" borderId="0">
      <protection locked="0"/>
    </xf>
    <xf numFmtId="0" fontId="11" fillId="0" borderId="0">
      <protection locked="0"/>
    </xf>
    <xf numFmtId="2" fontId="9" fillId="0" borderId="0" applyFill="0" applyBorder="0" applyAlignment="0" applyProtection="0"/>
    <xf numFmtId="0" fontId="12" fillId="0" borderId="0" applyNumberFormat="0" applyFont="0" applyBorder="0" applyAlignment="0"/>
    <xf numFmtId="9" fontId="3" fillId="0" borderId="0" applyFont="0" applyFill="0" applyBorder="0" applyAlignment="0" applyProtection="0"/>
    <xf numFmtId="9" fontId="13" fillId="0" borderId="0"/>
    <xf numFmtId="0" fontId="14" fillId="0" borderId="0"/>
    <xf numFmtId="0" fontId="12" fillId="0" borderId="0">
      <alignment horizontal="left" vertical="top" wrapText="1"/>
    </xf>
    <xf numFmtId="0" fontId="15" fillId="0" borderId="0" applyFill="0" applyBorder="0" applyProtection="0">
      <alignment horizontal="left" vertical="center"/>
    </xf>
    <xf numFmtId="37" fontId="16" fillId="0" borderId="0" applyBorder="0">
      <alignment vertical="center"/>
    </xf>
    <xf numFmtId="37" fontId="17" fillId="0" borderId="0" applyFill="0" applyBorder="0" applyProtection="0">
      <alignment vertical="center"/>
    </xf>
    <xf numFmtId="0" fontId="1" fillId="0" borderId="0"/>
    <xf numFmtId="37" fontId="24" fillId="0" borderId="0" applyFill="0" applyBorder="0" applyProtection="0">
      <alignment vertical="center"/>
    </xf>
    <xf numFmtId="44" fontId="3" fillId="0" borderId="0" applyFont="0" applyFill="0" applyBorder="0" applyAlignment="0" applyProtection="0"/>
    <xf numFmtId="9" fontId="23" fillId="0" borderId="0" applyFont="0" applyFill="0" applyBorder="0" applyAlignment="0" applyProtection="0"/>
    <xf numFmtId="0" fontId="31" fillId="14" borderId="0" applyNumberFormat="0" applyBorder="0" applyAlignment="0" applyProtection="0"/>
    <xf numFmtId="0" fontId="32" fillId="15" borderId="0" applyNumberFormat="0" applyBorder="0" applyAlignment="0" applyProtection="0"/>
  </cellStyleXfs>
  <cellXfs count="276">
    <xf numFmtId="0" fontId="0" fillId="0" borderId="0" xfId="0"/>
    <xf numFmtId="0" fontId="2" fillId="2" borderId="0" xfId="4" applyFont="1" applyFill="1" applyBorder="1" applyAlignment="1"/>
    <xf numFmtId="0" fontId="4" fillId="0" borderId="0" xfId="5" applyFont="1" applyAlignment="1"/>
    <xf numFmtId="0" fontId="4" fillId="0" borderId="0" xfId="5" applyFont="1" applyAlignment="1">
      <alignment horizontal="center"/>
    </xf>
    <xf numFmtId="0" fontId="5" fillId="2" borderId="0" xfId="4" applyFont="1" applyFill="1" applyBorder="1" applyAlignment="1">
      <alignment horizontal="center"/>
    </xf>
    <xf numFmtId="0" fontId="4" fillId="0" borderId="0" xfId="5" applyFont="1" applyAlignment="1">
      <alignment horizontal="center" wrapText="1"/>
    </xf>
    <xf numFmtId="0" fontId="5" fillId="2" borderId="10" xfId="4" applyFont="1" applyFill="1" applyBorder="1" applyAlignment="1">
      <alignment horizontal="center" wrapText="1"/>
    </xf>
    <xf numFmtId="0" fontId="4" fillId="0" borderId="0" xfId="5" applyFont="1" applyBorder="1" applyAlignment="1"/>
    <xf numFmtId="0" fontId="2" fillId="0" borderId="2" xfId="4" applyFont="1" applyBorder="1" applyAlignment="1"/>
    <xf numFmtId="0" fontId="2" fillId="0" borderId="6" xfId="4" applyFont="1" applyBorder="1" applyAlignment="1"/>
    <xf numFmtId="0" fontId="2" fillId="0" borderId="0" xfId="4" applyFont="1" applyBorder="1" applyAlignment="1"/>
    <xf numFmtId="165" fontId="2" fillId="0" borderId="0" xfId="4" applyNumberFormat="1" applyFont="1" applyBorder="1" applyAlignment="1"/>
    <xf numFmtId="9" fontId="2" fillId="0" borderId="0" xfId="4" applyNumberFormat="1" applyFont="1" applyFill="1" applyBorder="1" applyAlignment="1"/>
    <xf numFmtId="9" fontId="2" fillId="0" borderId="0" xfId="4" applyNumberFormat="1" applyFont="1" applyBorder="1" applyAlignment="1"/>
    <xf numFmtId="7" fontId="2" fillId="0" borderId="0" xfId="4" applyNumberFormat="1" applyFont="1" applyBorder="1" applyAlignment="1">
      <alignment horizontal="right"/>
    </xf>
    <xf numFmtId="166" fontId="2" fillId="0" borderId="0" xfId="4" applyNumberFormat="1" applyFont="1" applyBorder="1" applyAlignment="1"/>
    <xf numFmtId="167" fontId="2" fillId="0" borderId="0" xfId="4" applyNumberFormat="1" applyFont="1" applyBorder="1" applyAlignment="1"/>
    <xf numFmtId="166" fontId="2" fillId="0" borderId="0" xfId="4" applyNumberFormat="1" applyFont="1" applyBorder="1" applyAlignment="1">
      <alignment horizontal="center"/>
    </xf>
    <xf numFmtId="49" fontId="5" fillId="0" borderId="0" xfId="2" applyNumberFormat="1" applyFont="1" applyBorder="1" applyAlignment="1">
      <alignment horizontal="center"/>
    </xf>
    <xf numFmtId="6" fontId="5" fillId="0" borderId="0" xfId="2" applyNumberFormat="1" applyFont="1" applyBorder="1" applyAlignment="1">
      <alignment horizontal="right"/>
    </xf>
    <xf numFmtId="10" fontId="5" fillId="0" borderId="0" xfId="4" applyNumberFormat="1" applyFont="1" applyBorder="1" applyAlignment="1">
      <alignment horizontal="right"/>
    </xf>
    <xf numFmtId="49" fontId="2" fillId="0" borderId="0" xfId="2" applyNumberFormat="1" applyFont="1" applyBorder="1" applyAlignment="1">
      <alignment horizontal="center"/>
    </xf>
    <xf numFmtId="6" fontId="2" fillId="0" borderId="0" xfId="2" applyNumberFormat="1" applyFont="1" applyBorder="1" applyAlignment="1">
      <alignment horizontal="right"/>
    </xf>
    <xf numFmtId="0" fontId="2" fillId="0" borderId="0" xfId="4" applyFont="1" applyBorder="1" applyAlignment="1">
      <alignment horizontal="center"/>
    </xf>
    <xf numFmtId="177" fontId="7" fillId="0" borderId="0" xfId="1" applyNumberFormat="1" applyFont="1" applyBorder="1" applyAlignment="1"/>
    <xf numFmtId="0" fontId="7" fillId="0" borderId="0" xfId="5" applyFont="1" applyBorder="1" applyAlignment="1"/>
    <xf numFmtId="0" fontId="8" fillId="2" borderId="1" xfId="4" applyFont="1" applyFill="1" applyBorder="1" applyAlignment="1"/>
    <xf numFmtId="0" fontId="8" fillId="2" borderId="0" xfId="4" applyFont="1" applyFill="1" applyBorder="1" applyAlignment="1"/>
    <xf numFmtId="0" fontId="8" fillId="2" borderId="0" xfId="4" applyFont="1" applyFill="1" applyBorder="1" applyAlignment="1">
      <alignment horizontal="center"/>
    </xf>
    <xf numFmtId="165" fontId="8" fillId="2" borderId="0" xfId="4" applyNumberFormat="1" applyFont="1" applyFill="1" applyBorder="1" applyAlignment="1"/>
    <xf numFmtId="9" fontId="8" fillId="2" borderId="0" xfId="4" applyNumberFormat="1" applyFont="1" applyFill="1" applyBorder="1" applyAlignment="1"/>
    <xf numFmtId="7" fontId="8" fillId="2" borderId="0" xfId="4" applyNumberFormat="1" applyFont="1" applyFill="1" applyBorder="1" applyAlignment="1">
      <alignment horizontal="right"/>
    </xf>
    <xf numFmtId="166" fontId="8" fillId="2" borderId="0" xfId="4" applyNumberFormat="1" applyFont="1" applyFill="1" applyBorder="1" applyAlignment="1"/>
    <xf numFmtId="167" fontId="8" fillId="2" borderId="0" xfId="4" applyNumberFormat="1" applyFont="1" applyFill="1" applyBorder="1" applyAlignment="1"/>
    <xf numFmtId="166" fontId="8" fillId="2" borderId="0" xfId="4" applyNumberFormat="1" applyFont="1" applyFill="1" applyBorder="1" applyAlignment="1">
      <alignment horizontal="center"/>
    </xf>
    <xf numFmtId="49" fontId="8" fillId="2" borderId="0" xfId="2" applyNumberFormat="1" applyFont="1" applyFill="1" applyBorder="1" applyAlignment="1">
      <alignment horizontal="center"/>
    </xf>
    <xf numFmtId="6" fontId="8" fillId="2" borderId="0" xfId="2" applyNumberFormat="1" applyFont="1" applyFill="1" applyBorder="1" applyAlignment="1">
      <alignment horizontal="right"/>
    </xf>
    <xf numFmtId="0" fontId="7" fillId="0" borderId="0" xfId="5" applyFont="1" applyAlignment="1"/>
    <xf numFmtId="0" fontId="6" fillId="0" borderId="2" xfId="4" applyFont="1" applyFill="1" applyBorder="1" applyAlignment="1">
      <alignment horizontal="center"/>
    </xf>
    <xf numFmtId="0" fontId="6" fillId="3" borderId="3" xfId="4" applyFont="1" applyFill="1" applyBorder="1" applyAlignment="1">
      <alignment horizontal="center"/>
    </xf>
    <xf numFmtId="0" fontId="6" fillId="3" borderId="4" xfId="4" applyFont="1" applyFill="1" applyBorder="1" applyAlignment="1">
      <alignment horizontal="center"/>
    </xf>
    <xf numFmtId="0" fontId="6" fillId="3" borderId="5" xfId="4" applyFont="1" applyFill="1" applyBorder="1" applyAlignment="1">
      <alignment horizontal="center"/>
    </xf>
    <xf numFmtId="0" fontId="6" fillId="0" borderId="7" xfId="4" applyFont="1" applyFill="1" applyBorder="1" applyAlignment="1">
      <alignment horizontal="center" wrapText="1"/>
    </xf>
    <xf numFmtId="0" fontId="6" fillId="3" borderId="7" xfId="4" applyFont="1" applyFill="1" applyBorder="1" applyAlignment="1">
      <alignment horizontal="center" wrapText="1"/>
    </xf>
    <xf numFmtId="0" fontId="6" fillId="3" borderId="8" xfId="4" applyFont="1" applyFill="1" applyBorder="1" applyAlignment="1">
      <alignment horizontal="center" wrapText="1"/>
    </xf>
    <xf numFmtId="7" fontId="6" fillId="3" borderId="2" xfId="4" applyNumberFormat="1" applyFont="1" applyFill="1" applyBorder="1" applyAlignment="1">
      <alignment horizontal="center" wrapText="1"/>
    </xf>
    <xf numFmtId="0" fontId="6" fillId="0" borderId="2" xfId="4" applyFont="1" applyBorder="1" applyAlignment="1"/>
    <xf numFmtId="0" fontId="8" fillId="0" borderId="2" xfId="4" applyFont="1" applyFill="1" applyBorder="1" applyAlignment="1" applyProtection="1">
      <alignment wrapText="1"/>
      <protection locked="0"/>
    </xf>
    <xf numFmtId="169" fontId="8" fillId="0" borderId="2" xfId="4" applyNumberFormat="1" applyFont="1" applyFill="1" applyBorder="1" applyAlignment="1" applyProtection="1">
      <alignment wrapText="1"/>
      <protection locked="0"/>
    </xf>
    <xf numFmtId="169" fontId="8" fillId="0" borderId="2" xfId="4" applyNumberFormat="1" applyFont="1" applyFill="1" applyBorder="1" applyAlignment="1" applyProtection="1">
      <alignment horizontal="center" wrapText="1"/>
      <protection locked="0"/>
    </xf>
    <xf numFmtId="0" fontId="8" fillId="0" borderId="2" xfId="1" applyNumberFormat="1" applyFont="1" applyFill="1" applyBorder="1" applyAlignment="1" applyProtection="1">
      <alignment horizontal="center"/>
      <protection locked="0"/>
    </xf>
    <xf numFmtId="3" fontId="8" fillId="0" borderId="2" xfId="4" applyNumberFormat="1" applyFont="1" applyFill="1" applyBorder="1" applyAlignment="1" applyProtection="1">
      <alignment horizontal="center" wrapText="1"/>
      <protection locked="0"/>
    </xf>
    <xf numFmtId="164" fontId="20" fillId="0" borderId="1" xfId="0" applyNumberFormat="1" applyFont="1" applyBorder="1" applyAlignment="1"/>
    <xf numFmtId="165" fontId="8" fillId="0" borderId="2" xfId="6" applyNumberFormat="1" applyFont="1" applyFill="1" applyBorder="1" applyAlignment="1" applyProtection="1">
      <alignment horizontal="center" wrapText="1"/>
      <protection locked="0"/>
    </xf>
    <xf numFmtId="10" fontId="12" fillId="0" borderId="2" xfId="4" applyNumberFormat="1" applyFont="1" applyFill="1" applyBorder="1" applyAlignment="1" applyProtection="1">
      <alignment horizontal="center"/>
      <protection locked="0"/>
    </xf>
    <xf numFmtId="171" fontId="12" fillId="0" borderId="2" xfId="2" applyNumberFormat="1" applyFont="1" applyFill="1" applyBorder="1" applyAlignment="1" applyProtection="1">
      <alignment horizontal="right"/>
    </xf>
    <xf numFmtId="172" fontId="12" fillId="5" borderId="2" xfId="2" quotePrefix="1" applyNumberFormat="1" applyFont="1" applyFill="1" applyBorder="1" applyAlignment="1" applyProtection="1">
      <alignment horizontal="right"/>
    </xf>
    <xf numFmtId="165" fontId="12" fillId="0" borderId="2" xfId="3" quotePrefix="1" applyNumberFormat="1" applyFont="1" applyFill="1" applyBorder="1" applyAlignment="1" applyProtection="1">
      <alignment horizontal="center"/>
    </xf>
    <xf numFmtId="172" fontId="12" fillId="0" borderId="2" xfId="2" quotePrefix="1" applyNumberFormat="1" applyFont="1" applyFill="1" applyBorder="1" applyAlignment="1" applyProtection="1">
      <alignment horizontal="right"/>
    </xf>
    <xf numFmtId="167" fontId="12" fillId="0" borderId="2" xfId="2" applyNumberFormat="1" applyFont="1" applyFill="1" applyBorder="1" applyAlignment="1" applyProtection="1"/>
    <xf numFmtId="10" fontId="12" fillId="0" borderId="2" xfId="3" quotePrefix="1" applyNumberFormat="1" applyFont="1" applyFill="1" applyBorder="1" applyAlignment="1" applyProtection="1">
      <alignment horizontal="center"/>
    </xf>
    <xf numFmtId="6" fontId="12" fillId="0" borderId="6" xfId="0" applyNumberFormat="1" applyFont="1" applyFill="1" applyBorder="1" applyAlignment="1">
      <alignment wrapText="1"/>
    </xf>
    <xf numFmtId="6" fontId="12" fillId="0" borderId="2" xfId="0" applyNumberFormat="1" applyFont="1" applyFill="1" applyBorder="1" applyAlignment="1">
      <alignment wrapText="1"/>
    </xf>
    <xf numFmtId="174" fontId="21" fillId="0" borderId="1" xfId="0" applyNumberFormat="1" applyFont="1" applyBorder="1" applyAlignment="1"/>
    <xf numFmtId="10" fontId="8" fillId="0" borderId="2" xfId="2" applyNumberFormat="1" applyFont="1" applyFill="1" applyBorder="1" applyAlignment="1" applyProtection="1">
      <alignment horizontal="right"/>
    </xf>
    <xf numFmtId="0" fontId="8" fillId="0" borderId="2" xfId="2" applyNumberFormat="1" applyFont="1" applyFill="1" applyBorder="1" applyAlignment="1" applyProtection="1">
      <alignment horizontal="center"/>
    </xf>
    <xf numFmtId="10" fontId="8" fillId="0" borderId="2" xfId="4" applyNumberFormat="1" applyFont="1" applyFill="1" applyBorder="1" applyAlignment="1" applyProtection="1">
      <alignment horizontal="center"/>
      <protection locked="0"/>
    </xf>
    <xf numFmtId="173" fontId="8" fillId="0" borderId="2" xfId="2" applyNumberFormat="1" applyFont="1" applyFill="1" applyBorder="1" applyAlignment="1" applyProtection="1">
      <alignment horizontal="right"/>
    </xf>
    <xf numFmtId="172" fontId="8" fillId="0" borderId="2" xfId="2" quotePrefix="1" applyNumberFormat="1" applyFont="1" applyFill="1" applyBorder="1" applyAlignment="1" applyProtection="1">
      <alignment horizontal="right"/>
    </xf>
    <xf numFmtId="0" fontId="7" fillId="0" borderId="2" xfId="5" applyFont="1" applyBorder="1" applyAlignment="1">
      <alignment horizontal="center"/>
    </xf>
    <xf numFmtId="6" fontId="12" fillId="0" borderId="6" xfId="0" applyNumberFormat="1" applyFont="1" applyBorder="1" applyAlignment="1">
      <alignment wrapText="1"/>
    </xf>
    <xf numFmtId="10" fontId="8" fillId="2" borderId="2" xfId="4" applyNumberFormat="1" applyFont="1" applyFill="1" applyBorder="1" applyAlignment="1" applyProtection="1">
      <alignment horizontal="center"/>
      <protection locked="0"/>
    </xf>
    <xf numFmtId="0" fontId="12" fillId="0" borderId="2" xfId="1" applyNumberFormat="1" applyFont="1" applyFill="1" applyBorder="1" applyAlignment="1" applyProtection="1">
      <alignment horizontal="center"/>
      <protection locked="0"/>
    </xf>
    <xf numFmtId="3" fontId="12" fillId="0" borderId="2" xfId="4" applyNumberFormat="1" applyFont="1" applyFill="1" applyBorder="1" applyAlignment="1" applyProtection="1">
      <alignment horizontal="center" wrapText="1"/>
      <protection locked="0"/>
    </xf>
    <xf numFmtId="164" fontId="21" fillId="0" borderId="1" xfId="0" applyNumberFormat="1" applyFont="1" applyBorder="1" applyAlignment="1"/>
    <xf numFmtId="165" fontId="12" fillId="0" borderId="2" xfId="6" applyNumberFormat="1" applyFont="1" applyFill="1" applyBorder="1" applyAlignment="1" applyProtection="1">
      <alignment horizontal="center" wrapText="1"/>
      <protection locked="0"/>
    </xf>
    <xf numFmtId="170" fontId="12" fillId="0" borderId="2" xfId="3" applyNumberFormat="1" applyFont="1" applyFill="1" applyBorder="1" applyAlignment="1" applyProtection="1">
      <alignment horizontal="center"/>
      <protection locked="0"/>
    </xf>
    <xf numFmtId="42" fontId="12" fillId="0" borderId="2" xfId="2" applyNumberFormat="1" applyFont="1" applyFill="1" applyBorder="1" applyAlignment="1" applyProtection="1">
      <alignment horizontal="right"/>
    </xf>
    <xf numFmtId="10" fontId="12" fillId="0" borderId="2" xfId="2" applyNumberFormat="1" applyFont="1" applyFill="1" applyBorder="1" applyAlignment="1" applyProtection="1">
      <alignment horizontal="right"/>
    </xf>
    <xf numFmtId="0" fontId="12" fillId="0" borderId="2" xfId="2" applyNumberFormat="1" applyFont="1" applyFill="1" applyBorder="1" applyAlignment="1" applyProtection="1">
      <alignment horizontal="center"/>
    </xf>
    <xf numFmtId="173" fontId="12" fillId="0" borderId="2" xfId="2" applyNumberFormat="1" applyFont="1" applyFill="1" applyBorder="1" applyAlignment="1" applyProtection="1">
      <alignment horizontal="right"/>
    </xf>
    <xf numFmtId="0" fontId="1" fillId="0" borderId="2" xfId="5" applyFont="1" applyBorder="1" applyAlignment="1">
      <alignment horizontal="center"/>
    </xf>
    <xf numFmtId="10" fontId="8" fillId="0" borderId="2" xfId="3" applyNumberFormat="1" applyFont="1" applyFill="1" applyBorder="1" applyAlignment="1" applyProtection="1">
      <alignment horizontal="center"/>
      <protection locked="0"/>
    </xf>
    <xf numFmtId="6" fontId="12" fillId="0" borderId="2" xfId="0" applyNumberFormat="1" applyFont="1" applyBorder="1" applyAlignment="1">
      <alignment wrapText="1"/>
    </xf>
    <xf numFmtId="0" fontId="8" fillId="0" borderId="11" xfId="4" applyFont="1" applyBorder="1" applyAlignment="1"/>
    <xf numFmtId="0" fontId="6" fillId="4" borderId="6" xfId="4" applyFont="1" applyFill="1" applyBorder="1" applyAlignment="1">
      <alignment horizontal="center"/>
    </xf>
    <xf numFmtId="0" fontId="6" fillId="0" borderId="12" xfId="4" applyFont="1" applyFill="1" applyBorder="1" applyAlignment="1">
      <alignment horizontal="center"/>
    </xf>
    <xf numFmtId="0" fontId="8" fillId="0" borderId="12" xfId="4" applyFont="1" applyFill="1" applyBorder="1" applyAlignment="1">
      <alignment horizontal="center"/>
    </xf>
    <xf numFmtId="0" fontId="8" fillId="0" borderId="12" xfId="4" applyFont="1" applyFill="1" applyBorder="1" applyAlignment="1"/>
    <xf numFmtId="38" fontId="6" fillId="4" borderId="6" xfId="4" applyNumberFormat="1" applyFont="1" applyFill="1" applyBorder="1" applyAlignment="1">
      <alignment horizontal="right"/>
    </xf>
    <xf numFmtId="165" fontId="8" fillId="0" borderId="12" xfId="4" applyNumberFormat="1" applyFont="1" applyFill="1" applyBorder="1" applyAlignment="1"/>
    <xf numFmtId="165" fontId="6" fillId="4" borderId="6" xfId="3" applyNumberFormat="1" applyFont="1" applyFill="1" applyBorder="1" applyAlignment="1">
      <alignment horizontal="right"/>
    </xf>
    <xf numFmtId="9" fontId="8" fillId="0" borderId="12" xfId="4" applyNumberFormat="1" applyFont="1" applyFill="1" applyBorder="1" applyAlignment="1"/>
    <xf numFmtId="172" fontId="6" fillId="4" borderId="6" xfId="2" quotePrefix="1" applyNumberFormat="1" applyFont="1" applyFill="1" applyBorder="1" applyAlignment="1" applyProtection="1">
      <alignment horizontal="right"/>
    </xf>
    <xf numFmtId="165" fontId="6" fillId="4" borderId="6" xfId="3" quotePrefix="1" applyNumberFormat="1" applyFont="1" applyFill="1" applyBorder="1" applyAlignment="1" applyProtection="1">
      <alignment horizontal="center"/>
    </xf>
    <xf numFmtId="6" fontId="6" fillId="0" borderId="12" xfId="4" applyNumberFormat="1" applyFont="1" applyFill="1" applyBorder="1" applyAlignment="1">
      <alignment horizontal="right"/>
    </xf>
    <xf numFmtId="167" fontId="6" fillId="4" borderId="6" xfId="2" applyNumberFormat="1" applyFont="1" applyFill="1" applyBorder="1" applyAlignment="1" applyProtection="1">
      <alignment horizontal="right"/>
    </xf>
    <xf numFmtId="176" fontId="6" fillId="0" borderId="12" xfId="4" applyNumberFormat="1" applyFont="1" applyFill="1" applyBorder="1" applyAlignment="1"/>
    <xf numFmtId="6" fontId="6" fillId="0" borderId="12" xfId="4" applyNumberFormat="1" applyFont="1" applyFill="1" applyBorder="1" applyAlignment="1">
      <alignment horizontal="center"/>
    </xf>
    <xf numFmtId="42" fontId="6" fillId="0" borderId="12" xfId="4" applyNumberFormat="1" applyFont="1" applyFill="1" applyBorder="1" applyAlignment="1">
      <alignment horizontal="right"/>
    </xf>
    <xf numFmtId="49" fontId="6" fillId="0" borderId="11" xfId="2" applyNumberFormat="1" applyFont="1" applyFill="1" applyBorder="1" applyAlignment="1">
      <alignment horizontal="center"/>
    </xf>
    <xf numFmtId="49" fontId="6" fillId="0" borderId="12" xfId="2" applyNumberFormat="1" applyFont="1" applyFill="1" applyBorder="1" applyAlignment="1">
      <alignment horizontal="center"/>
    </xf>
    <xf numFmtId="5" fontId="6" fillId="0" borderId="12" xfId="4" applyNumberFormat="1" applyFont="1" applyFill="1" applyBorder="1" applyAlignment="1">
      <alignment horizontal="right"/>
    </xf>
    <xf numFmtId="0" fontId="7" fillId="0" borderId="12" xfId="5" applyFont="1" applyFill="1" applyBorder="1" applyAlignment="1"/>
    <xf numFmtId="0" fontId="22" fillId="0" borderId="0" xfId="5" applyFont="1" applyAlignment="1"/>
    <xf numFmtId="0" fontId="4" fillId="0" borderId="0" xfId="5" quotePrefix="1" applyFont="1" applyAlignment="1"/>
    <xf numFmtId="38" fontId="4" fillId="0" borderId="0" xfId="5" applyNumberFormat="1" applyFont="1" applyAlignment="1"/>
    <xf numFmtId="3" fontId="4" fillId="0" borderId="0" xfId="5" applyNumberFormat="1" applyFont="1" applyAlignment="1"/>
    <xf numFmtId="169" fontId="8" fillId="5" borderId="2" xfId="4" applyNumberFormat="1" applyFont="1" applyFill="1" applyBorder="1" applyAlignment="1" applyProtection="1">
      <alignment wrapText="1"/>
      <protection locked="0"/>
    </xf>
    <xf numFmtId="0" fontId="8" fillId="5" borderId="2" xfId="4" applyFont="1" applyFill="1" applyBorder="1" applyAlignment="1" applyProtection="1">
      <alignment wrapText="1"/>
      <protection locked="0"/>
    </xf>
    <xf numFmtId="0" fontId="2" fillId="0" borderId="2" xfId="4" applyFont="1" applyBorder="1" applyAlignment="1"/>
    <xf numFmtId="2" fontId="12" fillId="0" borderId="2" xfId="2" applyNumberFormat="1" applyFont="1" applyFill="1" applyBorder="1" applyAlignment="1" applyProtection="1"/>
    <xf numFmtId="0" fontId="8" fillId="5" borderId="2" xfId="1" applyNumberFormat="1" applyFont="1" applyFill="1" applyBorder="1" applyAlignment="1" applyProtection="1">
      <alignment horizontal="center"/>
      <protection locked="0"/>
    </xf>
    <xf numFmtId="0" fontId="12" fillId="5" borderId="2" xfId="1" applyNumberFormat="1" applyFont="1" applyFill="1" applyBorder="1" applyAlignment="1" applyProtection="1">
      <alignment horizontal="center"/>
      <protection locked="0"/>
    </xf>
    <xf numFmtId="172" fontId="8" fillId="5" borderId="2" xfId="2" quotePrefix="1" applyNumberFormat="1" applyFont="1" applyFill="1" applyBorder="1" applyAlignment="1" applyProtection="1">
      <alignment horizontal="right"/>
    </xf>
    <xf numFmtId="175" fontId="12" fillId="5" borderId="2" xfId="2" applyNumberFormat="1" applyFont="1" applyFill="1" applyBorder="1" applyAlignment="1" applyProtection="1">
      <alignment horizontal="center"/>
    </xf>
    <xf numFmtId="169" fontId="8" fillId="0" borderId="6" xfId="4" applyNumberFormat="1" applyFont="1" applyFill="1" applyBorder="1" applyAlignment="1" applyProtection="1">
      <alignment wrapText="1"/>
      <protection locked="0"/>
    </xf>
    <xf numFmtId="169" fontId="8" fillId="0" borderId="6" xfId="4" applyNumberFormat="1" applyFont="1" applyFill="1" applyBorder="1" applyAlignment="1" applyProtection="1">
      <alignment horizontal="center" wrapText="1"/>
      <protection locked="0"/>
    </xf>
    <xf numFmtId="0" fontId="12" fillId="0" borderId="6" xfId="1" applyNumberFormat="1" applyFont="1" applyFill="1" applyBorder="1" applyAlignment="1" applyProtection="1">
      <alignment horizontal="center"/>
      <protection locked="0"/>
    </xf>
    <xf numFmtId="0" fontId="8" fillId="0" borderId="6" xfId="1" applyNumberFormat="1" applyFont="1" applyFill="1" applyBorder="1" applyAlignment="1" applyProtection="1">
      <alignment horizontal="center"/>
      <protection locked="0"/>
    </xf>
    <xf numFmtId="3" fontId="8" fillId="0" borderId="6" xfId="4" applyNumberFormat="1" applyFont="1" applyFill="1" applyBorder="1" applyAlignment="1" applyProtection="1">
      <alignment horizontal="center" wrapText="1"/>
      <protection locked="0"/>
    </xf>
    <xf numFmtId="164" fontId="20" fillId="0" borderId="6" xfId="0" applyNumberFormat="1" applyFont="1" applyBorder="1" applyAlignment="1"/>
    <xf numFmtId="165" fontId="8" fillId="0" borderId="6" xfId="6" applyNumberFormat="1" applyFont="1" applyFill="1" applyBorder="1" applyAlignment="1" applyProtection="1">
      <alignment horizontal="center" wrapText="1"/>
      <protection locked="0"/>
    </xf>
    <xf numFmtId="10" fontId="8" fillId="0" borderId="6" xfId="3" applyNumberFormat="1" applyFont="1" applyFill="1" applyBorder="1" applyAlignment="1" applyProtection="1">
      <alignment horizontal="center"/>
      <protection locked="0"/>
    </xf>
    <xf numFmtId="10" fontId="8" fillId="0" borderId="6" xfId="4" applyNumberFormat="1" applyFont="1" applyFill="1" applyBorder="1" applyAlignment="1" applyProtection="1">
      <alignment horizontal="center"/>
      <protection locked="0"/>
    </xf>
    <xf numFmtId="173" fontId="8" fillId="0" borderId="6" xfId="2" applyNumberFormat="1" applyFont="1" applyFill="1" applyBorder="1" applyAlignment="1" applyProtection="1">
      <alignment horizontal="right"/>
    </xf>
    <xf numFmtId="172" fontId="8" fillId="0" borderId="6" xfId="2" quotePrefix="1" applyNumberFormat="1" applyFont="1" applyFill="1" applyBorder="1" applyAlignment="1" applyProtection="1">
      <alignment horizontal="right"/>
    </xf>
    <xf numFmtId="172" fontId="8" fillId="5" borderId="6" xfId="2" quotePrefix="1" applyNumberFormat="1" applyFont="1" applyFill="1" applyBorder="1" applyAlignment="1" applyProtection="1">
      <alignment horizontal="right"/>
    </xf>
    <xf numFmtId="175" fontId="12" fillId="5" borderId="6" xfId="2" applyNumberFormat="1" applyFont="1" applyFill="1" applyBorder="1" applyAlignment="1" applyProtection="1">
      <alignment horizontal="center"/>
    </xf>
    <xf numFmtId="0" fontId="8" fillId="0" borderId="6" xfId="2" applyNumberFormat="1" applyFont="1" applyFill="1" applyBorder="1" applyAlignment="1" applyProtection="1">
      <alignment horizontal="center"/>
    </xf>
    <xf numFmtId="10" fontId="8" fillId="2" borderId="6" xfId="4" applyNumberFormat="1" applyFont="1" applyFill="1" applyBorder="1" applyAlignment="1" applyProtection="1">
      <alignment horizontal="center"/>
      <protection locked="0"/>
    </xf>
    <xf numFmtId="0" fontId="7" fillId="0" borderId="6" xfId="5" applyFont="1" applyBorder="1" applyAlignment="1">
      <alignment horizontal="center"/>
    </xf>
    <xf numFmtId="169" fontId="8" fillId="0" borderId="6" xfId="4" applyNumberFormat="1" applyFont="1" applyFill="1" applyBorder="1" applyAlignment="1" applyProtection="1">
      <alignment horizontal="left" vertical="top" wrapText="1"/>
      <protection locked="0"/>
    </xf>
    <xf numFmtId="165" fontId="25" fillId="0" borderId="6" xfId="19" quotePrefix="1" applyNumberFormat="1" applyFont="1" applyFill="1" applyBorder="1" applyAlignment="1" applyProtection="1">
      <alignment horizontal="center"/>
    </xf>
    <xf numFmtId="42" fontId="25" fillId="0" borderId="6" xfId="2" quotePrefix="1" applyNumberFormat="1" applyFont="1" applyFill="1" applyBorder="1" applyAlignment="1" applyProtection="1">
      <alignment horizontal="right"/>
    </xf>
    <xf numFmtId="167" fontId="25" fillId="0" borderId="6" xfId="2" applyNumberFormat="1" applyFont="1" applyFill="1" applyBorder="1" applyAlignment="1" applyProtection="1"/>
    <xf numFmtId="42" fontId="25" fillId="2" borderId="6" xfId="2" quotePrefix="1" applyNumberFormat="1" applyFont="1" applyFill="1" applyBorder="1" applyAlignment="1" applyProtection="1">
      <alignment horizontal="right"/>
    </xf>
    <xf numFmtId="42" fontId="25" fillId="5" borderId="6" xfId="2" quotePrefix="1" applyNumberFormat="1" applyFont="1" applyFill="1" applyBorder="1" applyAlignment="1" applyProtection="1">
      <alignment horizontal="right"/>
    </xf>
    <xf numFmtId="167" fontId="25" fillId="0" borderId="2" xfId="2" applyNumberFormat="1" applyFont="1" applyFill="1" applyBorder="1" applyAlignment="1" applyProtection="1"/>
    <xf numFmtId="6" fontId="25" fillId="0" borderId="12" xfId="0" applyNumberFormat="1" applyFont="1" applyBorder="1" applyAlignment="1">
      <alignment wrapText="1"/>
    </xf>
    <xf numFmtId="6" fontId="25" fillId="0" borderId="6" xfId="0" applyNumberFormat="1" applyFont="1" applyFill="1" applyBorder="1" applyAlignment="1">
      <alignment wrapText="1"/>
    </xf>
    <xf numFmtId="173" fontId="25" fillId="0" borderId="11" xfId="4" applyNumberFormat="1" applyFont="1" applyBorder="1" applyAlignment="1">
      <alignment horizontal="center"/>
    </xf>
    <xf numFmtId="0" fontId="2" fillId="0" borderId="6" xfId="2" applyNumberFormat="1" applyFont="1" applyFill="1" applyBorder="1" applyAlignment="1" applyProtection="1">
      <alignment horizontal="center"/>
    </xf>
    <xf numFmtId="10" fontId="25" fillId="0" borderId="12" xfId="4" applyNumberFormat="1" applyFont="1" applyFill="1" applyBorder="1" applyAlignment="1"/>
    <xf numFmtId="165" fontId="25" fillId="5" borderId="6" xfId="19" quotePrefix="1" applyNumberFormat="1" applyFont="1" applyFill="1" applyBorder="1" applyAlignment="1" applyProtection="1">
      <alignment horizontal="center"/>
    </xf>
    <xf numFmtId="165" fontId="12" fillId="0" borderId="2" xfId="4" applyNumberFormat="1" applyFont="1" applyFill="1" applyBorder="1" applyAlignment="1" applyProtection="1">
      <alignment horizontal="center"/>
      <protection locked="0"/>
    </xf>
    <xf numFmtId="165" fontId="8" fillId="0" borderId="2" xfId="4" applyNumberFormat="1" applyFont="1" applyFill="1" applyBorder="1" applyAlignment="1" applyProtection="1">
      <alignment horizontal="center"/>
      <protection locked="0"/>
    </xf>
    <xf numFmtId="8" fontId="7" fillId="0" borderId="0" xfId="5" applyNumberFormat="1" applyFont="1" applyBorder="1" applyAlignment="1">
      <alignment wrapText="1"/>
    </xf>
    <xf numFmtId="0" fontId="12" fillId="0" borderId="2" xfId="2" applyNumberFormat="1" applyFont="1" applyFill="1" applyBorder="1" applyAlignment="1" applyProtection="1">
      <alignment horizontal="right"/>
    </xf>
    <xf numFmtId="177" fontId="7" fillId="5" borderId="0" xfId="1" applyNumberFormat="1" applyFont="1" applyFill="1" applyBorder="1" applyAlignment="1"/>
    <xf numFmtId="165" fontId="8" fillId="5" borderId="2" xfId="6" applyNumberFormat="1" applyFont="1" applyFill="1" applyBorder="1" applyAlignment="1" applyProtection="1">
      <alignment horizontal="center" wrapText="1"/>
      <protection locked="0"/>
    </xf>
    <xf numFmtId="170" fontId="8" fillId="5" borderId="2" xfId="3" applyNumberFormat="1" applyFont="1" applyFill="1" applyBorder="1" applyAlignment="1" applyProtection="1">
      <alignment horizontal="center"/>
      <protection locked="0"/>
    </xf>
    <xf numFmtId="165" fontId="25" fillId="5" borderId="2" xfId="19" quotePrefix="1" applyNumberFormat="1" applyFont="1" applyFill="1" applyBorder="1" applyAlignment="1" applyProtection="1">
      <alignment horizontal="center"/>
    </xf>
    <xf numFmtId="42" fontId="25" fillId="5" borderId="2" xfId="2" quotePrefix="1" applyNumberFormat="1" applyFont="1" applyFill="1" applyBorder="1" applyAlignment="1" applyProtection="1">
      <alignment horizontal="right"/>
    </xf>
    <xf numFmtId="178" fontId="8" fillId="0" borderId="2" xfId="3" applyNumberFormat="1" applyFont="1" applyFill="1" applyBorder="1" applyAlignment="1" applyProtection="1">
      <alignment horizontal="center"/>
      <protection locked="0"/>
    </xf>
    <xf numFmtId="173" fontId="25" fillId="5" borderId="6" xfId="2" applyNumberFormat="1" applyFont="1" applyFill="1" applyBorder="1" applyAlignment="1" applyProtection="1">
      <alignment horizontal="right"/>
    </xf>
    <xf numFmtId="6" fontId="25" fillId="5" borderId="6" xfId="0" applyNumberFormat="1" applyFont="1" applyFill="1" applyBorder="1" applyAlignment="1">
      <alignment horizontal="center" wrapText="1"/>
    </xf>
    <xf numFmtId="173" fontId="12" fillId="5" borderId="2" xfId="2" applyNumberFormat="1" applyFont="1" applyFill="1" applyBorder="1" applyAlignment="1" applyProtection="1">
      <alignment horizontal="right"/>
    </xf>
    <xf numFmtId="6" fontId="12" fillId="5" borderId="6" xfId="0" applyNumberFormat="1" applyFont="1" applyFill="1" applyBorder="1" applyAlignment="1">
      <alignment horizontal="center" wrapText="1"/>
    </xf>
    <xf numFmtId="173" fontId="8" fillId="5" borderId="2" xfId="2" applyNumberFormat="1" applyFont="1" applyFill="1" applyBorder="1" applyAlignment="1" applyProtection="1">
      <alignment horizontal="right"/>
    </xf>
    <xf numFmtId="177" fontId="7" fillId="6" borderId="0" xfId="1" applyNumberFormat="1" applyFont="1" applyFill="1" applyBorder="1" applyAlignment="1"/>
    <xf numFmtId="172" fontId="8" fillId="5" borderId="2" xfId="2" applyNumberFormat="1" applyFont="1" applyFill="1" applyBorder="1" applyAlignment="1" applyProtection="1">
      <alignment horizontal="right"/>
    </xf>
    <xf numFmtId="0" fontId="4" fillId="5" borderId="0" xfId="5" applyFont="1" applyFill="1" applyBorder="1" applyAlignment="1"/>
    <xf numFmtId="172" fontId="12" fillId="5" borderId="2" xfId="2" applyNumberFormat="1" applyFont="1" applyFill="1" applyBorder="1" applyAlignment="1" applyProtection="1">
      <alignment horizontal="right"/>
    </xf>
    <xf numFmtId="42" fontId="25" fillId="5" borderId="6" xfId="2" applyNumberFormat="1" applyFont="1" applyFill="1" applyBorder="1" applyAlignment="1" applyProtection="1">
      <alignment horizontal="right"/>
    </xf>
    <xf numFmtId="165" fontId="12" fillId="5" borderId="2" xfId="4" applyNumberFormat="1" applyFont="1" applyFill="1" applyBorder="1" applyAlignment="1" applyProtection="1">
      <alignment horizontal="center"/>
      <protection locked="0"/>
    </xf>
    <xf numFmtId="165" fontId="8" fillId="5" borderId="2" xfId="4" applyNumberFormat="1" applyFont="1" applyFill="1" applyBorder="1" applyAlignment="1" applyProtection="1">
      <alignment horizontal="center"/>
      <protection locked="0"/>
    </xf>
    <xf numFmtId="165" fontId="6" fillId="4" borderId="6" xfId="4" applyNumberFormat="1" applyFont="1" applyFill="1" applyBorder="1" applyAlignment="1">
      <alignment horizontal="right"/>
    </xf>
    <xf numFmtId="165" fontId="8" fillId="5" borderId="2" xfId="2" applyNumberFormat="1" applyFont="1" applyFill="1" applyBorder="1" applyAlignment="1" applyProtection="1">
      <alignment horizontal="center"/>
    </xf>
    <xf numFmtId="165" fontId="12" fillId="5" borderId="2" xfId="2" applyNumberFormat="1" applyFont="1" applyFill="1" applyBorder="1" applyAlignment="1" applyProtection="1">
      <alignment horizontal="center"/>
    </xf>
    <xf numFmtId="165" fontId="8" fillId="5" borderId="6" xfId="4" applyNumberFormat="1" applyFont="1" applyFill="1" applyBorder="1" applyAlignment="1" applyProtection="1">
      <alignment horizontal="center"/>
      <protection locked="0"/>
    </xf>
    <xf numFmtId="171" fontId="12" fillId="5" borderId="2" xfId="2" applyNumberFormat="1" applyFont="1" applyFill="1" applyBorder="1" applyAlignment="1" applyProtection="1">
      <alignment horizontal="right"/>
    </xf>
    <xf numFmtId="173" fontId="8" fillId="5" borderId="6" xfId="2" applyNumberFormat="1" applyFont="1" applyFill="1" applyBorder="1" applyAlignment="1" applyProtection="1">
      <alignment horizontal="right"/>
    </xf>
    <xf numFmtId="172" fontId="8" fillId="5" borderId="6" xfId="2" applyNumberFormat="1" applyFont="1" applyFill="1" applyBorder="1" applyAlignment="1" applyProtection="1">
      <alignment horizontal="right"/>
    </xf>
    <xf numFmtId="179" fontId="8" fillId="0" borderId="2" xfId="2" quotePrefix="1" applyNumberFormat="1" applyFont="1" applyFill="1" applyBorder="1" applyAlignment="1" applyProtection="1">
      <alignment horizontal="right"/>
    </xf>
    <xf numFmtId="0" fontId="26" fillId="0" borderId="0" xfId="4" applyFont="1" applyBorder="1" applyAlignment="1"/>
    <xf numFmtId="177" fontId="7" fillId="7" borderId="0" xfId="1" applyNumberFormat="1" applyFont="1" applyFill="1" applyBorder="1" applyAlignment="1"/>
    <xf numFmtId="0" fontId="4" fillId="5" borderId="0" xfId="5" applyFont="1" applyFill="1" applyAlignment="1">
      <alignment horizontal="center" wrapText="1"/>
    </xf>
    <xf numFmtId="3" fontId="7" fillId="0" borderId="0" xfId="5" applyNumberFormat="1" applyFont="1" applyBorder="1" applyAlignment="1"/>
    <xf numFmtId="3" fontId="7" fillId="5" borderId="0" xfId="5" applyNumberFormat="1" applyFont="1" applyFill="1" applyBorder="1" applyAlignment="1"/>
    <xf numFmtId="166" fontId="6" fillId="3" borderId="2" xfId="4" applyNumberFormat="1" applyFont="1" applyFill="1" applyBorder="1" applyAlignment="1">
      <alignment horizontal="center" wrapText="1"/>
    </xf>
    <xf numFmtId="0" fontId="6" fillId="0" borderId="7" xfId="4" applyFont="1" applyFill="1" applyBorder="1" applyAlignment="1">
      <alignment horizontal="center"/>
    </xf>
    <xf numFmtId="0" fontId="6" fillId="3" borderId="7" xfId="4" applyFont="1" applyFill="1" applyBorder="1" applyAlignment="1">
      <alignment horizontal="center"/>
    </xf>
    <xf numFmtId="0" fontId="6" fillId="3" borderId="0" xfId="4" applyFont="1" applyFill="1" applyBorder="1" applyAlignment="1">
      <alignment horizontal="center"/>
    </xf>
    <xf numFmtId="0" fontId="6" fillId="3" borderId="1" xfId="4" applyFont="1" applyFill="1" applyBorder="1" applyAlignment="1">
      <alignment horizontal="center"/>
    </xf>
    <xf numFmtId="7" fontId="6" fillId="3" borderId="12" xfId="4" applyNumberFormat="1" applyFont="1" applyFill="1" applyBorder="1" applyAlignment="1">
      <alignment horizontal="center" wrapText="1"/>
    </xf>
    <xf numFmtId="0" fontId="6" fillId="3" borderId="1" xfId="4" applyFont="1" applyFill="1" applyBorder="1" applyAlignment="1">
      <alignment horizontal="center" wrapText="1"/>
    </xf>
    <xf numFmtId="0" fontId="0" fillId="0" borderId="6" xfId="0" applyBorder="1"/>
    <xf numFmtId="0" fontId="0" fillId="0" borderId="6" xfId="0" applyBorder="1" applyAlignment="1">
      <alignment wrapText="1"/>
    </xf>
    <xf numFmtId="0" fontId="0" fillId="6" borderId="6" xfId="0" applyFill="1" applyBorder="1" applyAlignment="1">
      <alignment wrapText="1"/>
    </xf>
    <xf numFmtId="0" fontId="0" fillId="0" borderId="9" xfId="0" applyBorder="1"/>
    <xf numFmtId="0" fontId="0" fillId="0" borderId="9" xfId="0" applyBorder="1" applyAlignment="1">
      <alignment wrapText="1"/>
    </xf>
    <xf numFmtId="0" fontId="27" fillId="0" borderId="15" xfId="0" applyFont="1" applyBorder="1"/>
    <xf numFmtId="0" fontId="27" fillId="0" borderId="16" xfId="0" applyFont="1" applyBorder="1" applyAlignment="1">
      <alignment wrapText="1"/>
    </xf>
    <xf numFmtId="0" fontId="27" fillId="0" borderId="17" xfId="0" applyFont="1" applyBorder="1" applyAlignment="1">
      <alignment wrapText="1"/>
    </xf>
    <xf numFmtId="0" fontId="27" fillId="0" borderId="0" xfId="0" applyFont="1" applyFill="1" applyBorder="1" applyAlignment="1">
      <alignment wrapText="1"/>
    </xf>
    <xf numFmtId="0" fontId="0" fillId="0" borderId="14" xfId="0" applyFill="1" applyBorder="1" applyAlignment="1">
      <alignment wrapText="1"/>
    </xf>
    <xf numFmtId="0" fontId="0" fillId="6" borderId="6" xfId="0" applyFill="1" applyBorder="1"/>
    <xf numFmtId="0" fontId="0" fillId="6" borderId="0" xfId="0" applyFill="1"/>
    <xf numFmtId="166" fontId="6" fillId="11" borderId="2" xfId="4" applyNumberFormat="1" applyFont="1" applyFill="1" applyBorder="1" applyAlignment="1">
      <alignment horizontal="center" wrapText="1"/>
    </xf>
    <xf numFmtId="166" fontId="6" fillId="11" borderId="6" xfId="4" applyNumberFormat="1" applyFont="1" applyFill="1" applyBorder="1" applyAlignment="1">
      <alignment horizontal="center" wrapText="1"/>
    </xf>
    <xf numFmtId="9" fontId="6" fillId="9" borderId="8" xfId="3" applyFont="1" applyFill="1" applyBorder="1" applyAlignment="1">
      <alignment horizontal="center" wrapText="1"/>
    </xf>
    <xf numFmtId="9" fontId="6" fillId="9" borderId="1" xfId="3" applyFont="1" applyFill="1" applyBorder="1" applyAlignment="1">
      <alignment horizontal="center"/>
    </xf>
    <xf numFmtId="165" fontId="6" fillId="9" borderId="8" xfId="4" applyNumberFormat="1" applyFont="1" applyFill="1" applyBorder="1" applyAlignment="1">
      <alignment horizontal="center" wrapText="1"/>
    </xf>
    <xf numFmtId="7" fontId="6" fillId="8" borderId="13" xfId="4" applyNumberFormat="1" applyFont="1" applyFill="1" applyBorder="1" applyAlignment="1">
      <alignment horizontal="center" wrapText="1"/>
    </xf>
    <xf numFmtId="7" fontId="6" fillId="8" borderId="12" xfId="4" applyNumberFormat="1" applyFont="1" applyFill="1" applyBorder="1" applyAlignment="1">
      <alignment horizontal="center" wrapText="1"/>
    </xf>
    <xf numFmtId="7" fontId="6" fillId="8" borderId="4" xfId="4" applyNumberFormat="1" applyFont="1" applyFill="1" applyBorder="1" applyAlignment="1">
      <alignment horizontal="center" wrapText="1"/>
    </xf>
    <xf numFmtId="49" fontId="6" fillId="8" borderId="2" xfId="4" applyNumberFormat="1" applyFont="1" applyFill="1" applyBorder="1" applyAlignment="1">
      <alignment horizontal="center" wrapText="1"/>
    </xf>
    <xf numFmtId="168" fontId="6" fillId="8" borderId="8" xfId="4" applyNumberFormat="1" applyFont="1" applyFill="1" applyBorder="1" applyAlignment="1">
      <alignment horizontal="center"/>
    </xf>
    <xf numFmtId="168" fontId="6" fillId="8" borderId="1" xfId="4" applyNumberFormat="1" applyFont="1" applyFill="1" applyBorder="1" applyAlignment="1">
      <alignment horizontal="center"/>
    </xf>
    <xf numFmtId="166" fontId="6" fillId="11" borderId="14" xfId="4" applyNumberFormat="1" applyFont="1" applyFill="1" applyBorder="1" applyAlignment="1">
      <alignment horizontal="center" wrapText="1"/>
    </xf>
    <xf numFmtId="7" fontId="6" fillId="12" borderId="11" xfId="4" applyNumberFormat="1" applyFont="1" applyFill="1" applyBorder="1" applyAlignment="1">
      <alignment horizontal="center" wrapText="1"/>
    </xf>
    <xf numFmtId="7" fontId="6" fillId="13" borderId="0" xfId="4" applyNumberFormat="1" applyFont="1" applyFill="1" applyBorder="1" applyAlignment="1">
      <alignment horizontal="center" wrapText="1"/>
    </xf>
    <xf numFmtId="166" fontId="6" fillId="13" borderId="7" xfId="4" applyNumberFormat="1" applyFont="1" applyFill="1" applyBorder="1" applyAlignment="1">
      <alignment horizontal="center" wrapText="1"/>
    </xf>
    <xf numFmtId="7" fontId="6" fillId="11" borderId="0" xfId="4" applyNumberFormat="1" applyFont="1" applyFill="1" applyBorder="1" applyAlignment="1">
      <alignment horizontal="center" wrapText="1"/>
    </xf>
    <xf numFmtId="7" fontId="6" fillId="11" borderId="7" xfId="4" applyNumberFormat="1" applyFont="1" applyFill="1" applyBorder="1" applyAlignment="1">
      <alignment horizontal="center" wrapText="1"/>
    </xf>
    <xf numFmtId="166" fontId="6" fillId="11" borderId="7" xfId="4" applyNumberFormat="1" applyFont="1" applyFill="1" applyBorder="1" applyAlignment="1">
      <alignment horizontal="center" wrapText="1"/>
    </xf>
    <xf numFmtId="7" fontId="6" fillId="11" borderId="12" xfId="4" applyNumberFormat="1" applyFont="1" applyFill="1" applyBorder="1" applyAlignment="1">
      <alignment horizontal="center" wrapText="1"/>
    </xf>
    <xf numFmtId="7" fontId="6" fillId="11" borderId="2" xfId="4" applyNumberFormat="1" applyFont="1" applyFill="1" applyBorder="1" applyAlignment="1">
      <alignment horizontal="center" wrapText="1"/>
    </xf>
    <xf numFmtId="9" fontId="6" fillId="10" borderId="0" xfId="4" applyNumberFormat="1" applyFont="1" applyFill="1" applyBorder="1" applyAlignment="1">
      <alignment horizontal="center"/>
    </xf>
    <xf numFmtId="9" fontId="6" fillId="6" borderId="7" xfId="4" applyNumberFormat="1" applyFont="1" applyFill="1" applyBorder="1" applyAlignment="1">
      <alignment horizontal="center"/>
    </xf>
    <xf numFmtId="7" fontId="6" fillId="6" borderId="2" xfId="4" applyNumberFormat="1" applyFont="1" applyFill="1" applyBorder="1" applyAlignment="1">
      <alignment horizontal="center" wrapText="1"/>
    </xf>
    <xf numFmtId="7" fontId="6" fillId="6" borderId="0" xfId="4" applyNumberFormat="1" applyFont="1" applyFill="1" applyBorder="1" applyAlignment="1">
      <alignment horizontal="center" wrapText="1"/>
    </xf>
    <xf numFmtId="0" fontId="0" fillId="6" borderId="0" xfId="0" applyFill="1" applyAlignment="1">
      <alignment wrapText="1"/>
    </xf>
    <xf numFmtId="0" fontId="0" fillId="0" borderId="0" xfId="0" applyFill="1" applyBorder="1" applyAlignment="1">
      <alignment wrapText="1"/>
    </xf>
    <xf numFmtId="0" fontId="0" fillId="0" borderId="0" xfId="0" applyAlignment="1">
      <alignment wrapText="1"/>
    </xf>
    <xf numFmtId="0" fontId="0" fillId="0" borderId="6" xfId="0" applyFill="1" applyBorder="1"/>
    <xf numFmtId="0" fontId="0" fillId="0" borderId="6" xfId="0" applyFill="1" applyBorder="1" applyAlignment="1">
      <alignment wrapText="1"/>
    </xf>
    <xf numFmtId="0" fontId="0" fillId="0" borderId="0" xfId="0" applyFill="1" applyAlignment="1">
      <alignment wrapText="1"/>
    </xf>
    <xf numFmtId="0" fontId="0" fillId="0" borderId="0" xfId="0" applyFill="1"/>
    <xf numFmtId="165" fontId="31" fillId="14" borderId="8" xfId="30" applyNumberFormat="1" applyBorder="1" applyAlignment="1">
      <alignment horizontal="center" wrapText="1"/>
    </xf>
    <xf numFmtId="9" fontId="31" fillId="14" borderId="7" xfId="30" applyNumberFormat="1" applyBorder="1" applyAlignment="1">
      <alignment horizontal="center" wrapText="1"/>
    </xf>
    <xf numFmtId="166" fontId="31" fillId="14" borderId="7" xfId="30" applyNumberFormat="1" applyBorder="1" applyAlignment="1">
      <alignment horizontal="center" wrapText="1"/>
    </xf>
    <xf numFmtId="7" fontId="31" fillId="14" borderId="13" xfId="30" applyNumberFormat="1" applyBorder="1" applyAlignment="1">
      <alignment horizontal="center" wrapText="1"/>
    </xf>
    <xf numFmtId="7" fontId="31" fillId="14" borderId="2" xfId="30" applyNumberFormat="1" applyBorder="1" applyAlignment="1">
      <alignment horizontal="center" wrapText="1"/>
    </xf>
    <xf numFmtId="49" fontId="31" fillId="14" borderId="2" xfId="30" applyNumberFormat="1" applyBorder="1" applyAlignment="1">
      <alignment horizontal="center" wrapText="1"/>
    </xf>
    <xf numFmtId="168" fontId="31" fillId="14" borderId="8" xfId="30" applyNumberFormat="1" applyBorder="1" applyAlignment="1">
      <alignment horizontal="center" wrapText="1"/>
    </xf>
    <xf numFmtId="166" fontId="31" fillId="14" borderId="9" xfId="30" applyNumberFormat="1" applyBorder="1" applyAlignment="1">
      <alignment horizontal="center" wrapText="1"/>
    </xf>
    <xf numFmtId="166" fontId="31" fillId="14" borderId="2" xfId="30" applyNumberFormat="1" applyBorder="1" applyAlignment="1">
      <alignment horizontal="center" wrapText="1"/>
    </xf>
    <xf numFmtId="165" fontId="32" fillId="15" borderId="0" xfId="31" applyNumberFormat="1" applyBorder="1" applyAlignment="1"/>
    <xf numFmtId="15" fontId="31" fillId="14" borderId="0" xfId="30" applyNumberFormat="1" applyBorder="1" applyAlignment="1">
      <alignment horizontal="left"/>
    </xf>
    <xf numFmtId="7" fontId="31" fillId="14" borderId="6" xfId="30" applyNumberFormat="1" applyBorder="1" applyAlignment="1">
      <alignment horizontal="center" wrapText="1"/>
    </xf>
    <xf numFmtId="0" fontId="27" fillId="0" borderId="0" xfId="0" applyFont="1" applyProtection="1">
      <protection locked="0"/>
    </xf>
    <xf numFmtId="0" fontId="0" fillId="0" borderId="0" xfId="0" applyProtection="1">
      <protection locked="0"/>
    </xf>
    <xf numFmtId="0" fontId="0" fillId="0" borderId="0" xfId="0" applyAlignment="1" applyProtection="1">
      <alignment wrapText="1"/>
      <protection locked="0"/>
    </xf>
    <xf numFmtId="0" fontId="0" fillId="6" borderId="6" xfId="0" applyFill="1" applyBorder="1" applyAlignment="1" applyProtection="1">
      <alignment wrapText="1"/>
      <protection locked="0"/>
    </xf>
    <xf numFmtId="0" fontId="0" fillId="6" borderId="6" xfId="0" applyFill="1" applyBorder="1" applyProtection="1">
      <protection locked="0"/>
    </xf>
    <xf numFmtId="9" fontId="6" fillId="6" borderId="6" xfId="29" applyFont="1" applyFill="1" applyBorder="1" applyAlignment="1" applyProtection="1">
      <alignment horizontal="center" wrapText="1"/>
    </xf>
    <xf numFmtId="0" fontId="4" fillId="0" borderId="0" xfId="5" applyFont="1" applyAlignment="1">
      <alignment horizontal="left" wrapText="1"/>
    </xf>
    <xf numFmtId="0" fontId="4" fillId="5" borderId="0" xfId="5" applyFont="1" applyFill="1" applyAlignment="1">
      <alignment horizontal="left" wrapText="1"/>
    </xf>
    <xf numFmtId="0" fontId="31" fillId="14" borderId="0" xfId="30" applyAlignment="1">
      <alignment horizontal="left"/>
    </xf>
    <xf numFmtId="167" fontId="6" fillId="11" borderId="2" xfId="4" applyNumberFormat="1" applyFont="1" applyFill="1" applyBorder="1" applyAlignment="1">
      <alignment horizontal="center" wrapText="1"/>
    </xf>
    <xf numFmtId="167" fontId="6" fillId="11" borderId="14" xfId="4" applyNumberFormat="1" applyFont="1" applyFill="1" applyBorder="1" applyAlignment="1">
      <alignment horizontal="center" wrapText="1"/>
    </xf>
    <xf numFmtId="167" fontId="6" fillId="11" borderId="9" xfId="4" applyNumberFormat="1" applyFont="1" applyFill="1" applyBorder="1" applyAlignment="1">
      <alignment horizontal="center" wrapText="1"/>
    </xf>
    <xf numFmtId="166" fontId="31" fillId="14" borderId="6" xfId="30" applyNumberFormat="1" applyBorder="1" applyAlignment="1">
      <alignment horizontal="center" wrapText="1"/>
    </xf>
    <xf numFmtId="0" fontId="8" fillId="0" borderId="0" xfId="4" applyFont="1" applyBorder="1" applyAlignment="1">
      <alignment wrapText="1"/>
    </xf>
    <xf numFmtId="0" fontId="0" fillId="0" borderId="0" xfId="0" applyAlignment="1"/>
    <xf numFmtId="9" fontId="6" fillId="9" borderId="3" xfId="3" applyFont="1" applyFill="1" applyBorder="1" applyAlignment="1">
      <alignment horizontal="center"/>
    </xf>
    <xf numFmtId="9" fontId="6" fillId="9" borderId="5" xfId="3" applyFont="1" applyFill="1" applyBorder="1" applyAlignment="1">
      <alignment horizontal="center"/>
    </xf>
    <xf numFmtId="9" fontId="6" fillId="3" borderId="3" xfId="4" applyNumberFormat="1" applyFont="1" applyFill="1" applyBorder="1" applyAlignment="1">
      <alignment horizontal="center"/>
    </xf>
    <xf numFmtId="9" fontId="6" fillId="3" borderId="4" xfId="4" applyNumberFormat="1" applyFont="1" applyFill="1" applyBorder="1" applyAlignment="1">
      <alignment horizontal="center"/>
    </xf>
    <xf numFmtId="9" fontId="6" fillId="3" borderId="5" xfId="4" applyNumberFormat="1" applyFont="1" applyFill="1" applyBorder="1" applyAlignment="1">
      <alignment horizontal="center"/>
    </xf>
    <xf numFmtId="7" fontId="6" fillId="3" borderId="3" xfId="4" applyNumberFormat="1" applyFont="1" applyFill="1" applyBorder="1" applyAlignment="1">
      <alignment horizontal="center" wrapText="1"/>
    </xf>
    <xf numFmtId="7" fontId="6" fillId="3" borderId="4" xfId="4" applyNumberFormat="1" applyFont="1" applyFill="1" applyBorder="1" applyAlignment="1">
      <alignment horizontal="center" wrapText="1"/>
    </xf>
    <xf numFmtId="7" fontId="6" fillId="3" borderId="5" xfId="4" applyNumberFormat="1" applyFont="1" applyFill="1" applyBorder="1" applyAlignment="1">
      <alignment horizontal="center" wrapText="1"/>
    </xf>
    <xf numFmtId="0" fontId="0" fillId="0" borderId="0" xfId="0"/>
    <xf numFmtId="7" fontId="31" fillId="14" borderId="3" xfId="30" applyNumberFormat="1" applyBorder="1" applyAlignment="1">
      <alignment horizontal="center" wrapText="1"/>
    </xf>
    <xf numFmtId="7" fontId="31" fillId="14" borderId="4" xfId="30" applyNumberFormat="1" applyBorder="1" applyAlignment="1">
      <alignment horizontal="center" wrapText="1"/>
    </xf>
    <xf numFmtId="7" fontId="31" fillId="14" borderId="5" xfId="30" applyNumberFormat="1" applyBorder="1" applyAlignment="1">
      <alignment horizontal="center" wrapText="1"/>
    </xf>
    <xf numFmtId="168" fontId="31" fillId="14" borderId="3" xfId="30" applyNumberFormat="1" applyBorder="1" applyAlignment="1">
      <alignment horizontal="center"/>
    </xf>
    <xf numFmtId="168" fontId="31" fillId="14" borderId="4" xfId="30" applyNumberFormat="1" applyBorder="1" applyAlignment="1">
      <alignment horizontal="center"/>
    </xf>
    <xf numFmtId="168" fontId="31" fillId="14" borderId="5" xfId="30" applyNumberFormat="1" applyBorder="1" applyAlignment="1">
      <alignment horizontal="center"/>
    </xf>
    <xf numFmtId="7" fontId="31" fillId="14" borderId="2" xfId="30" applyNumberFormat="1" applyBorder="1" applyAlignment="1">
      <alignment horizontal="center" wrapText="1"/>
    </xf>
    <xf numFmtId="7" fontId="31" fillId="14" borderId="14" xfId="30" applyNumberFormat="1" applyBorder="1" applyAlignment="1">
      <alignment horizontal="center" wrapText="1"/>
    </xf>
    <xf numFmtId="7" fontId="31" fillId="14" borderId="9" xfId="30" applyNumberFormat="1" applyBorder="1" applyAlignment="1">
      <alignment horizontal="center" wrapText="1"/>
    </xf>
    <xf numFmtId="0" fontId="31" fillId="14" borderId="6" xfId="30" applyBorder="1" applyAlignment="1">
      <alignment horizontal="center" wrapText="1"/>
    </xf>
  </cellXfs>
  <cellStyles count="32">
    <cellStyle name="60% - Accent2" xfId="31" builtinId="36"/>
    <cellStyle name="Bad" xfId="30" builtinId="27"/>
    <cellStyle name="Comma" xfId="1" builtinId="3"/>
    <cellStyle name="Comma0" xfId="7"/>
    <cellStyle name="Currency" xfId="2" builtinId="4"/>
    <cellStyle name="Currency 2" xfId="28"/>
    <cellStyle name="Currency0" xfId="8"/>
    <cellStyle name="Date" xfId="9"/>
    <cellStyle name="F2" xfId="10"/>
    <cellStyle name="F3" xfId="11"/>
    <cellStyle name="F4" xfId="12"/>
    <cellStyle name="F5" xfId="13"/>
    <cellStyle name="F6" xfId="14"/>
    <cellStyle name="F7" xfId="15"/>
    <cellStyle name="F8" xfId="16"/>
    <cellStyle name="Fixed" xfId="17"/>
    <cellStyle name="HUD Forms" xfId="24"/>
    <cellStyle name="leases" xfId="18"/>
    <cellStyle name="Memo" xfId="25"/>
    <cellStyle name="Memo 2" xfId="27"/>
    <cellStyle name="Normal" xfId="0" builtinId="0"/>
    <cellStyle name="Normal 2" xfId="26"/>
    <cellStyle name="Normal 3" xfId="23"/>
    <cellStyle name="Normal_HUD Schedule of REO Sal" xfId="5"/>
    <cellStyle name="Normal_Schedule &quot;A&quot;" xfId="4"/>
    <cellStyle name="Percent" xfId="3" builtinId="5"/>
    <cellStyle name="Percent 2" xfId="19"/>
    <cellStyle name="Percent 3" xfId="29"/>
    <cellStyle name="Percent_Schedule &quot;A&quot;" xfId="6"/>
    <cellStyle name="Percent0" xfId="20"/>
    <cellStyle name="Spreadsheet" xfId="21"/>
    <cellStyle name="Text" xfId="22"/>
  </cellStyles>
  <dxfs count="0"/>
  <tableStyles count="0" defaultTableStyle="TableStyleMedium2" defaultPivotStyle="PivotStyleLight16"/>
  <colors>
    <mruColors>
      <color rgb="FF4A3E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95\5151.CAV\CAV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98\8218.yk8\Expens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95\5167.BP\BELPLAC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98\8057.BLA\805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96\6095.YER\YERGLAN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1\Jobs\2002%20Jobs\D020531%20Neighborhood%20Ctr,%20Stockton,%20CA,%20San%20Joaquin%20Cnty,%20Slf%20Cntd\AA_Normandy%20Village_01020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96\6040.HAR\604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1999%20JOBS\100-150\99-118\9-118%20FLAMINGO%20MH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EVERS\SYS\USERS\JIM\EXCEL\PROJECTS\IndustrialBldgComp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6020.S8R\REDMOND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94\4077.LAN\LANDMARK.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NAL"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goldmine\mailbox\attach\BOB\2013\01\Copy%20of%20EHDOC%20-%20REO%20and%20Debt%20Schedule%20w%20AGM%20Analysis%2001%2021%202013%20(working%20copy)(1).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Documents%20and%20Settings\bbens\Local%20Settings\Temporary%20Internet%20Files\OLK5\SalesRentCompsSpre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96\6167.HS\HARBSTE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93\3127.S8\ASHL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6029.JOE\STJOEMO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96\6149.BOX\614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5009.FID\FIDIN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WINDOWS\Temporary%20Internet%20Files\OLK2140\Wellington%20Estates%20-%20UW%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Jobs\2002%20Jobs\D020531%20Neighborhood%20Ctr,%20Stockton,%20CA,%20San%20Joaquin%20Cnty,%20Slf%20Cntd\D020531.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
      <sheetName val="cap comp"/>
      <sheetName val="Cost"/>
      <sheetName val="salecomps"/>
      <sheetName val="Room Sizes"/>
      <sheetName val="rent comps"/>
      <sheetName val="breakdown"/>
      <sheetName val="revhist"/>
      <sheetName val="exphist"/>
      <sheetName val="Fair Share"/>
      <sheetName val="EXCOMP"/>
      <sheetName val="Direct Cap"/>
      <sheetName val="TAXHIST"/>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hland-Exp"/>
      <sheetName val="Bend-Exp"/>
      <sheetName val="Bremerton-Exp"/>
      <sheetName val="Ellensburg-Exp"/>
      <sheetName val="Kennewick-Exp"/>
      <sheetName val="Moses-Exp "/>
      <sheetName val="Yakima-Exp"/>
      <sheetName val="Expense-Template"/>
      <sheetName val="Sheet1"/>
      <sheetName val="Sheet2"/>
      <sheetName val="Sheet3"/>
      <sheetName val="Exp. Comp"/>
      <sheetName val="Ellensburg"/>
      <sheetName val="Kennewick"/>
      <sheetName val="Moses  "/>
      <sheetName val="Yaki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r comps"/>
      <sheetName val="ROLLS"/>
      <sheetName val="new land sales"/>
      <sheetName val="BLDGAREA"/>
      <sheetName val="MKTSVY"/>
      <sheetName val="Pop stats"/>
      <sheetName val="robin leases"/>
      <sheetName val="Rest Leases"/>
      <sheetName val="Final"/>
      <sheetName val="new sales"/>
      <sheetName val="CAPANAL"/>
      <sheetName val="Lease comps"/>
      <sheetName val="AVALTAX"/>
      <sheetName val="Recent leases"/>
      <sheetName val="MKTVIEW"/>
      <sheetName val="RENTSUM"/>
      <sheetName val="RENTDET"/>
      <sheetName val="EXPCOMPS"/>
      <sheetName val="I&amp;E Hist"/>
      <sheetName val="Module1"/>
      <sheetName val="EXADDEN"/>
      <sheetName val="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Leases"/>
      <sheetName val="Expense Comps"/>
      <sheetName val="Final Sales"/>
      <sheetName val="lease Summary"/>
      <sheetName val="Subject Info"/>
      <sheetName val="Land Sales"/>
      <sheetName val="Phase III Exp "/>
      <sheetName val="Phase V Exp"/>
      <sheetName val="Mkt Survey"/>
      <sheetName val="CPI indications"/>
      <sheetName val="MKTVIEW"/>
      <sheetName val="Westcoast Lease"/>
      <sheetName val="Execton"/>
      <sheetName val="CCH"/>
      <sheetName val="Atkinson"/>
      <sheetName val="Encore"/>
      <sheetName val="Rock Int."/>
      <sheetName val="Phillip Enviro"/>
      <sheetName val="Analytic Lease"/>
      <sheetName val="Lease Comps1"/>
      <sheetName val="Rent Co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ADJ"/>
      <sheetName val="LANDADJ"/>
      <sheetName val="YERGLAND"/>
    </sheetNames>
    <sheetDataSet>
      <sheetData sheetId="0" refreshError="1"/>
      <sheetData sheetId="1" refreshError="1">
        <row r="49">
          <cell r="D49" t="str">
            <v>Superior</v>
          </cell>
        </row>
        <row r="50">
          <cell r="D50" t="str">
            <v>Similar</v>
          </cell>
        </row>
        <row r="52">
          <cell r="D52" t="str">
            <v>acre</v>
          </cell>
        </row>
        <row r="53">
          <cell r="D53" t="str">
            <v>/acre</v>
          </cell>
        </row>
      </sheetData>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BASE 2"/>
      <sheetName val="Opening"/>
      <sheetName val="Main"/>
      <sheetName val="Open Issues"/>
      <sheetName val="Exec Sum"/>
      <sheetName val="Rent Roll MF"/>
      <sheetName val="Rent Roll"/>
      <sheetName val="TIs &amp; LCs"/>
      <sheetName val="Trend Comm"/>
      <sheetName val="Trend MF"/>
      <sheetName val="Trend Hotel"/>
      <sheetName val="Trend HC"/>
      <sheetName val="Comments"/>
      <sheetName val="Tenant Data"/>
      <sheetName val="Amort"/>
      <sheetName val="Comps Comm"/>
      <sheetName val="Comps MF"/>
      <sheetName val="Comps Hotel"/>
      <sheetName val="Comps HC"/>
      <sheetName val="3rd Party"/>
      <sheetName val="Ownership"/>
      <sheetName val="MLS-1"/>
      <sheetName val="MLS-2"/>
      <sheetName val="MLS-3"/>
      <sheetName val="MLS-4"/>
      <sheetName val="MLS-5"/>
      <sheetName val="Rate Lock Line Items"/>
      <sheetName val="Module1"/>
      <sheetName val="Module2"/>
      <sheetName val="Module3"/>
      <sheetName val="Module5"/>
    </sheetNames>
    <sheetDataSet>
      <sheetData sheetId="0" refreshError="1"/>
      <sheetData sheetId="1" refreshError="1"/>
      <sheetData sheetId="2" refreshError="1">
        <row r="7">
          <cell r="J7" t="str">
            <v>03-812867</v>
          </cell>
          <cell r="L7">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sheetName val="Tax"/>
      <sheetName val="R R"/>
      <sheetName val="LL-2"/>
      <sheetName val="LL-1"/>
      <sheetName val="Rnt-L"/>
      <sheetName val="I-2"/>
      <sheetName val="I-H"/>
      <sheetName val="Lnd"/>
      <sheetName val="Cost"/>
      <sheetName val="Cap"/>
      <sheetName val="Sheet1"/>
      <sheetName val="Marina"/>
      <sheetName val="Mkt"/>
      <sheetName val="Anchor"/>
      <sheetName val="MStudy"/>
      <sheetName val="Moorage"/>
      <sheetName val="HI 91-93"/>
      <sheetName val="RR1"/>
      <sheetName val="Rnt"/>
    </sheetNames>
    <sheetDataSet>
      <sheetData sheetId="0" refreshError="1">
        <row r="32">
          <cell r="B32" t="str">
            <v>Prepared by McKee &amp; Schalka</v>
          </cell>
        </row>
        <row r="34">
          <cell r="B34" t="str">
            <v>Vacant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LAND"/>
      <sheetName val="RENTS"/>
      <sheetName val="COST"/>
      <sheetName val="INCOME"/>
      <sheetName val="asisincom"/>
      <sheetName val="DCF"/>
      <sheetName val="SUBJEXP"/>
      <sheetName val="EXPCOMP"/>
      <sheetName val="SALES"/>
      <sheetName val="RENT RO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SALESDATA"/>
      <sheetName val="#REF"/>
      <sheetName val="UNITS"/>
      <sheetName val="IndustrialBldgComps"/>
      <sheetName val="LANDSALESADJGRID"/>
      <sheetName val="PROFORMA"/>
      <sheetName val="OVERVIEW"/>
      <sheetName val="INCOME"/>
      <sheetName val="SUBJEXP"/>
      <sheetName val="EXPS COMPS"/>
      <sheetName val="RENT ROLL"/>
      <sheetName val="RENTS"/>
      <sheetName val="RV RENTS"/>
      <sheetName val="SALES"/>
      <sheetName val="INSPECTION 1 (2)"/>
      <sheetName val="INSPECTION 1 (3)"/>
      <sheetName val="INSPECTION 1 (4)"/>
      <sheetName val="INSPECTION 2"/>
      <sheetName val="INSPECTION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IR"/>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LANDADJ"/>
      <sheetName val="DCF (2)"/>
      <sheetName val="dcf"/>
      <sheetName val="tax history"/>
      <sheetName val="expcomps"/>
      <sheetName val="SALEADJ"/>
      <sheetName val="revenue"/>
      <sheetName val="inexfrcs"/>
      <sheetName val="12 month rev"/>
      <sheetName val="revhist"/>
      <sheetName val="expcomp"/>
      <sheetName val="expense history"/>
      <sheetName val="SALE"/>
      <sheetName val="RENT"/>
      <sheetName val="lands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O Schedule"/>
      <sheetName val="AGM Analysis"/>
      <sheetName val="202-HUD insured-PRAC"/>
      <sheetName val="Comparison of Values"/>
      <sheetName val="202 refis"/>
      <sheetName val="Compare to Financials"/>
      <sheetName val="Disribution by States"/>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Add. 1 Sources &amp; Uses"/>
      <sheetName val="Financial Analysis"/>
      <sheetName val="Add. 3 Rent Analysis"/>
      <sheetName val="Add. 4 PNA (Schedule B-1)"/>
      <sheetName val="Add. 5 Value Analysis"/>
      <sheetName val="Add. 6 Schedule C1 Data"/>
      <sheetName val="Add. 6 Schedule C2 Hist. Exp."/>
      <sheetName val="Add. 6 Schedule C3 Op. Summary"/>
      <sheetName val="Add. 6 Expense Analysis"/>
      <sheetName val="Add. 6 Schedule C4 Exit"/>
      <sheetName val="Financing Comparison"/>
    </sheetNames>
    <sheetDataSet>
      <sheetData sheetId="0"/>
      <sheetData sheetId="1"/>
      <sheetData sheetId="2"/>
      <sheetData sheetId="3"/>
      <sheetData sheetId="4"/>
      <sheetData sheetId="5"/>
      <sheetData sheetId="6" refreshError="1">
        <row r="41">
          <cell r="B41">
            <v>180</v>
          </cell>
        </row>
      </sheetData>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
      <sheetName val="CapRateSum"/>
      <sheetName val="BldgAreaSumm"/>
      <sheetName val="West Units"/>
      <sheetName val="East Units"/>
      <sheetName val="inventory"/>
      <sheetName val="Rent Comps"/>
      <sheetName val="Rent $$$"/>
      <sheetName val="APT salecomps"/>
      <sheetName val="Retail Sale Comps"/>
      <sheetName val="I&amp;E History"/>
      <sheetName val="I&amp;E Forecast"/>
      <sheetName val="I&amp;E History (2)"/>
      <sheetName val="exp comps"/>
      <sheetName val="LEASUM"/>
      <sheetName val="Retail Rent"/>
      <sheetName val="DCF"/>
      <sheetName val="Cap Anal"/>
      <sheetName val="DCF as is"/>
      <sheetName val="DCF as is (2)"/>
      <sheetName val="Cash Flow"/>
      <sheetName val="OrigUnitDesc"/>
      <sheetName val="Sale Co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aleadj"/>
      <sheetName val="leasedet"/>
      <sheetName val="landlease"/>
      <sheetName val="reconcil"/>
      <sheetName val="sale comps (4)"/>
      <sheetName val="sale comps (3)"/>
      <sheetName val="sale comps (2)"/>
      <sheetName val="income"/>
      <sheetName val="expense history"/>
      <sheetName val="sale comps"/>
      <sheetName val="tax history"/>
      <sheetName val="revenue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 (3)"/>
      <sheetName val="EXPCOMPS"/>
      <sheetName val="SALE (2)"/>
      <sheetName val="SALE"/>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sheetName val="RR"/>
      <sheetName val="Lnd"/>
      <sheetName val="Cost"/>
      <sheetName val="Sales"/>
      <sheetName val="Rnt"/>
      <sheetName val="CostC"/>
      <sheetName val="Dcap"/>
      <sheetName val="M-Cap"/>
      <sheetName val="R-blend"/>
      <sheetName val="Cap-leased"/>
      <sheetName val="SCC Park"/>
      <sheetName val="SSCP"/>
      <sheetName val="Sheet14"/>
      <sheetName val="Sheet15"/>
      <sheetName val="Sheet16"/>
    </sheetNames>
    <sheetDataSet>
      <sheetData sheetId="0" refreshError="1">
        <row r="17">
          <cell r="C17">
            <v>103125</v>
          </cell>
        </row>
        <row r="23">
          <cell r="C23">
            <v>5646.125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sheetName val="INFOR"/>
      <sheetName val="revcomp"/>
      <sheetName val="cap comp"/>
      <sheetName val="Survey"/>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 Detail"/>
      <sheetName val="Main"/>
      <sheetName val="Variance"/>
      <sheetName val="Quote Sheet"/>
      <sheetName val="Fannie Mae Stress Tests"/>
    </sheetNames>
    <sheetDataSet>
      <sheetData sheetId="0" refreshError="1"/>
      <sheetData sheetId="1" refreshError="1">
        <row r="4">
          <cell r="AN4">
            <v>0.8</v>
          </cell>
        </row>
        <row r="7">
          <cell r="F7" t="str">
            <v>Atlanta</v>
          </cell>
        </row>
        <row r="8">
          <cell r="C8" t="str">
            <v>Wellington Estates</v>
          </cell>
        </row>
        <row r="9">
          <cell r="F9" t="str">
            <v>Joiner, Gerald</v>
          </cell>
        </row>
        <row r="12">
          <cell r="O12" t="str">
            <v>GMAC Birmingham</v>
          </cell>
        </row>
        <row r="13">
          <cell r="AN13">
            <v>1.6E-2</v>
          </cell>
        </row>
        <row r="14">
          <cell r="F14" t="str">
            <v>Taylor</v>
          </cell>
        </row>
        <row r="15">
          <cell r="F15" t="str">
            <v>MI</v>
          </cell>
        </row>
        <row r="16">
          <cell r="AN16">
            <v>0.05</v>
          </cell>
        </row>
        <row r="34">
          <cell r="AN34">
            <v>11600000</v>
          </cell>
        </row>
      </sheetData>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nt Roll"/>
      <sheetName val="RENTCOMPS"/>
      <sheetName val="rentroll Summary"/>
      <sheetName val="INCOME"/>
      <sheetName val="SALES"/>
      <sheetName val="expenses"/>
      <sheetName val="Opertng Statmnts"/>
      <sheetName val="Comp. Exp."/>
      <sheetName val="Insur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3" tint="0.39997558519241921"/>
    <pageSetUpPr fitToPage="1"/>
  </sheetPr>
  <dimension ref="A1:DO53"/>
  <sheetViews>
    <sheetView showGridLines="0" tabSelected="1" topLeftCell="A2" zoomScaleNormal="100" zoomScaleSheetLayoutView="50" workbookViewId="0">
      <pane xSplit="2" ySplit="3" topLeftCell="D5" activePane="bottomRight" state="frozen"/>
      <selection activeCell="A2" sqref="A2"/>
      <selection pane="topRight" activeCell="C2" sqref="C2"/>
      <selection pane="bottomLeft" activeCell="A4" sqref="A4"/>
      <selection pane="bottomRight" activeCell="G5" sqref="G5"/>
    </sheetView>
  </sheetViews>
  <sheetFormatPr defaultColWidth="9.140625" defaultRowHeight="15"/>
  <cols>
    <col min="1" max="1" width="3.7109375" style="10" customWidth="1"/>
    <col min="2" max="2" width="23.140625" style="10" customWidth="1"/>
    <col min="3" max="3" width="25.42578125" style="10" customWidth="1"/>
    <col min="4" max="4" width="25.5703125" style="10" customWidth="1"/>
    <col min="5" max="5" width="7.5703125" style="23" customWidth="1"/>
    <col min="6" max="6" width="16" style="10" customWidth="1"/>
    <col min="7" max="8" width="13.5703125" style="10" customWidth="1"/>
    <col min="9" max="9" width="6.85546875" style="10" customWidth="1"/>
    <col min="10" max="10" width="10.42578125" style="10" customWidth="1"/>
    <col min="11" max="11" width="13.42578125" style="11" customWidth="1"/>
    <col min="12" max="12" width="9.5703125" style="11" customWidth="1"/>
    <col min="13" max="14" width="10" style="13" customWidth="1"/>
    <col min="15" max="15" width="11.7109375" style="13" customWidth="1"/>
    <col min="16" max="16" width="12.42578125" style="14" bestFit="1" customWidth="1"/>
    <col min="17" max="18" width="11.140625" style="14" customWidth="1"/>
    <col min="19" max="19" width="11.28515625" style="15" bestFit="1" customWidth="1"/>
    <col min="20" max="20" width="8.5703125" style="15" customWidth="1"/>
    <col min="21" max="21" width="14.5703125" style="15" customWidth="1"/>
    <col min="22" max="22" width="11.140625" style="15" customWidth="1"/>
    <col min="23" max="23" width="14.42578125" style="16" customWidth="1"/>
    <col min="24" max="24" width="12.5703125" style="15" customWidth="1"/>
    <col min="25" max="25" width="7.85546875" style="15" customWidth="1"/>
    <col min="26" max="26" width="10.5703125" style="17" customWidth="1"/>
    <col min="27" max="27" width="15.42578125" style="14" customWidth="1"/>
    <col min="28" max="28" width="15.140625" style="14" customWidth="1"/>
    <col min="29" max="29" width="12.42578125" style="14" bestFit="1" customWidth="1"/>
    <col min="30" max="30" width="10.42578125" style="14" customWidth="1"/>
    <col min="31" max="31" width="12.7109375" style="14" bestFit="1" customWidth="1"/>
    <col min="32" max="32" width="10.140625" style="21" customWidth="1"/>
    <col min="33" max="33" width="11.42578125" style="22" customWidth="1"/>
    <col min="34" max="34" width="10.5703125" style="21" customWidth="1"/>
    <col min="35" max="35" width="13.7109375" style="14" customWidth="1"/>
    <col min="36" max="36" width="9.7109375" style="21" customWidth="1"/>
    <col min="37" max="37" width="10.42578125" style="21" customWidth="1"/>
    <col min="38" max="38" width="9.42578125" style="21" customWidth="1"/>
    <col min="39" max="39" width="12.5703125" style="21" customWidth="1"/>
    <col min="40" max="40" width="8.140625" style="14" customWidth="1"/>
    <col min="41" max="41" width="10.42578125" style="14" customWidth="1"/>
    <col min="42" max="42" width="8.5703125" style="14" customWidth="1"/>
    <col min="43" max="43" width="8.85546875" style="14" customWidth="1"/>
    <col min="44" max="44" width="11.140625" style="15" customWidth="1"/>
    <col min="45" max="45" width="9.85546875" style="15" customWidth="1"/>
    <col min="46" max="46" width="11.28515625" style="14" customWidth="1"/>
    <col min="47" max="47" width="14.42578125" style="2" customWidth="1"/>
    <col min="48" max="48" width="50.140625" style="2" customWidth="1"/>
    <col min="49" max="54" width="9.28515625" style="2" customWidth="1"/>
    <col min="55" max="55" width="8.7109375" style="2" customWidth="1"/>
    <col min="56" max="56" width="12" style="2" customWidth="1"/>
    <col min="57" max="58" width="10.85546875" style="2" customWidth="1"/>
    <col min="59" max="59" width="11.5703125" style="2" customWidth="1"/>
    <col min="60" max="60" width="9.28515625" style="2" customWidth="1"/>
    <col min="61" max="61" width="10.85546875" style="2" customWidth="1"/>
    <col min="62" max="62" width="9.28515625" style="2" customWidth="1"/>
    <col min="63" max="119" width="8.85546875" style="2" customWidth="1"/>
    <col min="120" max="16384" width="9.140625" style="10"/>
  </cols>
  <sheetData>
    <row r="1" spans="1:119" s="1" customFormat="1">
      <c r="A1" s="26"/>
      <c r="B1" s="26"/>
      <c r="C1" s="27"/>
      <c r="D1" s="27"/>
      <c r="E1" s="28"/>
      <c r="F1" s="27"/>
      <c r="G1" s="27"/>
      <c r="H1" s="27"/>
      <c r="I1" s="27"/>
      <c r="J1" s="27" t="s">
        <v>0</v>
      </c>
      <c r="K1" s="29"/>
      <c r="L1" s="29"/>
      <c r="M1" s="30"/>
      <c r="N1" s="30"/>
      <c r="O1" s="30"/>
      <c r="P1" s="31"/>
      <c r="Q1" s="31"/>
      <c r="R1" s="31"/>
      <c r="S1" s="32"/>
      <c r="T1" s="32"/>
      <c r="U1" s="32"/>
      <c r="V1" s="32"/>
      <c r="W1" s="33"/>
      <c r="X1" s="32"/>
      <c r="Y1" s="32"/>
      <c r="Z1" s="34"/>
      <c r="AA1" s="31"/>
      <c r="AB1" s="31"/>
      <c r="AC1" s="31"/>
      <c r="AD1" s="31"/>
      <c r="AE1" s="31"/>
      <c r="AF1" s="35"/>
      <c r="AG1" s="36"/>
      <c r="AH1" s="35"/>
      <c r="AI1" s="31"/>
      <c r="AJ1" s="35"/>
      <c r="AK1" s="35"/>
      <c r="AL1" s="35"/>
      <c r="AM1" s="35"/>
      <c r="AN1" s="31"/>
      <c r="AO1" s="31"/>
      <c r="AP1" s="31"/>
      <c r="AQ1" s="31"/>
      <c r="AR1" s="32"/>
      <c r="AS1" s="32"/>
      <c r="AT1" s="31"/>
      <c r="AU1" s="37" t="s">
        <v>232</v>
      </c>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row>
    <row r="2" spans="1:119" s="4" customFormat="1">
      <c r="A2" s="38"/>
      <c r="B2" s="39" t="s">
        <v>1</v>
      </c>
      <c r="C2" s="40"/>
      <c r="D2" s="40"/>
      <c r="E2" s="40"/>
      <c r="F2" s="40"/>
      <c r="G2" s="40"/>
      <c r="H2" s="40"/>
      <c r="I2" s="40"/>
      <c r="J2" s="41"/>
      <c r="K2" s="257" t="s">
        <v>2</v>
      </c>
      <c r="L2" s="258"/>
      <c r="M2" s="259" t="s">
        <v>3</v>
      </c>
      <c r="N2" s="260"/>
      <c r="O2" s="261"/>
      <c r="P2" s="262" t="s">
        <v>4</v>
      </c>
      <c r="Q2" s="263"/>
      <c r="R2" s="263"/>
      <c r="S2" s="263"/>
      <c r="T2" s="263"/>
      <c r="U2" s="264"/>
      <c r="V2" s="265" t="s">
        <v>5</v>
      </c>
      <c r="W2" s="251" t="s">
        <v>6</v>
      </c>
      <c r="X2" s="254" t="s">
        <v>7</v>
      </c>
      <c r="Y2" s="254"/>
      <c r="Z2" s="254"/>
      <c r="AA2" s="266" t="s">
        <v>8</v>
      </c>
      <c r="AB2" s="267"/>
      <c r="AC2" s="267"/>
      <c r="AD2" s="267"/>
      <c r="AE2" s="266" t="s">
        <v>9</v>
      </c>
      <c r="AF2" s="267"/>
      <c r="AG2" s="267"/>
      <c r="AH2" s="267"/>
      <c r="AI2" s="267"/>
      <c r="AJ2" s="267"/>
      <c r="AK2" s="267"/>
      <c r="AL2" s="267"/>
      <c r="AM2" s="268"/>
      <c r="AN2" s="269" t="s">
        <v>10</v>
      </c>
      <c r="AO2" s="270"/>
      <c r="AP2" s="270"/>
      <c r="AQ2" s="271"/>
      <c r="AR2" s="199"/>
      <c r="AS2" s="199"/>
      <c r="AT2" s="272" t="s">
        <v>11</v>
      </c>
      <c r="AU2" s="275" t="s">
        <v>12</v>
      </c>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row>
    <row r="3" spans="1:119" s="4" customFormat="1" ht="94.5" customHeight="1">
      <c r="A3" s="181"/>
      <c r="B3" s="182" t="s">
        <v>200</v>
      </c>
      <c r="C3" s="183" t="s">
        <v>201</v>
      </c>
      <c r="D3" s="183" t="s">
        <v>202</v>
      </c>
      <c r="E3" s="184" t="s">
        <v>203</v>
      </c>
      <c r="F3" s="184" t="s">
        <v>204</v>
      </c>
      <c r="G3" s="184" t="s">
        <v>205</v>
      </c>
      <c r="H3" s="184" t="s">
        <v>206</v>
      </c>
      <c r="I3" s="186" t="s">
        <v>207</v>
      </c>
      <c r="J3" s="184" t="s">
        <v>208</v>
      </c>
      <c r="K3" s="201" t="s">
        <v>210</v>
      </c>
      <c r="L3" s="202" t="s">
        <v>209</v>
      </c>
      <c r="M3" s="220" t="s">
        <v>211</v>
      </c>
      <c r="N3" s="219" t="s">
        <v>189</v>
      </c>
      <c r="O3" s="219" t="s">
        <v>212</v>
      </c>
      <c r="P3" s="233" t="s">
        <v>216</v>
      </c>
      <c r="Q3" s="217"/>
      <c r="R3" s="214"/>
      <c r="S3" s="214"/>
      <c r="T3" s="222" t="s">
        <v>214</v>
      </c>
      <c r="U3" s="212" t="s">
        <v>215</v>
      </c>
      <c r="V3" s="265"/>
      <c r="W3" s="252"/>
      <c r="X3" s="200"/>
      <c r="Y3" s="180" t="s">
        <v>217</v>
      </c>
      <c r="Z3" s="199"/>
      <c r="AA3" s="204" t="s">
        <v>220</v>
      </c>
      <c r="AB3" s="205" t="s">
        <v>219</v>
      </c>
      <c r="AC3" s="205" t="s">
        <v>221</v>
      </c>
      <c r="AD3" s="206" t="s">
        <v>222</v>
      </c>
      <c r="AE3" s="204" t="s">
        <v>218</v>
      </c>
      <c r="AF3" s="205" t="s">
        <v>223</v>
      </c>
      <c r="AG3" s="205" t="s">
        <v>218</v>
      </c>
      <c r="AH3" s="205" t="s">
        <v>224</v>
      </c>
      <c r="AI3" s="185" t="s">
        <v>225</v>
      </c>
      <c r="AJ3" s="205" t="s">
        <v>226</v>
      </c>
      <c r="AK3" s="205" t="s">
        <v>227</v>
      </c>
      <c r="AL3" s="205" t="s">
        <v>228</v>
      </c>
      <c r="AM3" s="211" t="s">
        <v>229</v>
      </c>
      <c r="AN3" s="208" t="s">
        <v>230</v>
      </c>
      <c r="AO3" s="209" t="s">
        <v>231</v>
      </c>
      <c r="AP3" s="209" t="s">
        <v>231</v>
      </c>
      <c r="AQ3" s="209" t="s">
        <v>231</v>
      </c>
      <c r="AR3" s="210"/>
      <c r="AS3" s="210"/>
      <c r="AT3" s="273"/>
      <c r="AU3" s="275"/>
      <c r="AV3" s="3"/>
      <c r="AW3" s="250" t="s">
        <v>213</v>
      </c>
      <c r="AX3" s="250"/>
      <c r="AY3" s="250"/>
      <c r="AZ3" s="250"/>
      <c r="BA3" s="250"/>
      <c r="BB3" s="250"/>
      <c r="BC3" s="250"/>
      <c r="BD3" s="250"/>
      <c r="BE3" s="250"/>
      <c r="BF3" s="250"/>
      <c r="BG3" s="250"/>
      <c r="BH3" s="250"/>
      <c r="BI3" s="250"/>
      <c r="BJ3" s="250"/>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row>
    <row r="4" spans="1:119" s="6" customFormat="1" ht="75.75" thickBot="1">
      <c r="A4" s="42"/>
      <c r="B4" s="43" t="s">
        <v>13</v>
      </c>
      <c r="C4" s="43" t="s">
        <v>14</v>
      </c>
      <c r="D4" s="43" t="s">
        <v>15</v>
      </c>
      <c r="E4" s="44" t="s">
        <v>16</v>
      </c>
      <c r="F4" s="44" t="s">
        <v>125</v>
      </c>
      <c r="G4" s="44" t="s">
        <v>126</v>
      </c>
      <c r="H4" s="44" t="s">
        <v>122</v>
      </c>
      <c r="I4" s="44" t="s">
        <v>17</v>
      </c>
      <c r="J4" s="230" t="s">
        <v>18</v>
      </c>
      <c r="K4" s="203" t="s">
        <v>19</v>
      </c>
      <c r="L4" s="203" t="s">
        <v>20</v>
      </c>
      <c r="M4" s="231" t="s">
        <v>188</v>
      </c>
      <c r="N4" s="231" t="s">
        <v>189</v>
      </c>
      <c r="O4" s="231" t="s">
        <v>190</v>
      </c>
      <c r="P4" s="221" t="s">
        <v>171</v>
      </c>
      <c r="Q4" s="218" t="s">
        <v>110</v>
      </c>
      <c r="R4" s="215" t="s">
        <v>21</v>
      </c>
      <c r="S4" s="216" t="s">
        <v>172</v>
      </c>
      <c r="T4" s="232" t="s">
        <v>22</v>
      </c>
      <c r="U4" s="213" t="s">
        <v>23</v>
      </c>
      <c r="V4" s="265"/>
      <c r="W4" s="253"/>
      <c r="X4" s="200" t="s">
        <v>24</v>
      </c>
      <c r="Y4" s="238" t="s">
        <v>25</v>
      </c>
      <c r="Z4" s="199" t="s">
        <v>26</v>
      </c>
      <c r="AA4" s="234" t="s">
        <v>27</v>
      </c>
      <c r="AB4" s="234" t="s">
        <v>28</v>
      </c>
      <c r="AC4" s="234" t="s">
        <v>29</v>
      </c>
      <c r="AD4" s="241" t="s">
        <v>30</v>
      </c>
      <c r="AE4" s="234" t="s">
        <v>169</v>
      </c>
      <c r="AF4" s="207" t="s">
        <v>31</v>
      </c>
      <c r="AG4" s="234" t="s">
        <v>32</v>
      </c>
      <c r="AH4" s="207" t="s">
        <v>31</v>
      </c>
      <c r="AI4" s="45" t="s">
        <v>33</v>
      </c>
      <c r="AJ4" s="235" t="s">
        <v>34</v>
      </c>
      <c r="AK4" s="235" t="s">
        <v>35</v>
      </c>
      <c r="AL4" s="235" t="s">
        <v>36</v>
      </c>
      <c r="AM4" s="235" t="s">
        <v>37</v>
      </c>
      <c r="AN4" s="236" t="s">
        <v>38</v>
      </c>
      <c r="AO4" s="236" t="s">
        <v>39</v>
      </c>
      <c r="AP4" s="236" t="s">
        <v>40</v>
      </c>
      <c r="AQ4" s="236" t="s">
        <v>41</v>
      </c>
      <c r="AR4" s="237" t="s">
        <v>42</v>
      </c>
      <c r="AS4" s="237" t="s">
        <v>43</v>
      </c>
      <c r="AT4" s="274"/>
      <c r="AU4" s="275"/>
      <c r="AV4" s="5"/>
      <c r="AW4" s="5" t="s">
        <v>103</v>
      </c>
      <c r="AX4" s="5" t="s">
        <v>104</v>
      </c>
      <c r="AY4" s="5" t="s">
        <v>105</v>
      </c>
      <c r="AZ4" s="5" t="s">
        <v>106</v>
      </c>
      <c r="BA4" s="5" t="s">
        <v>192</v>
      </c>
      <c r="BB4" s="5" t="s">
        <v>107</v>
      </c>
      <c r="BC4" s="177" t="s">
        <v>108</v>
      </c>
      <c r="BD4" s="5" t="s">
        <v>109</v>
      </c>
      <c r="BE4" s="5" t="s">
        <v>95</v>
      </c>
      <c r="BF4" s="5" t="s">
        <v>193</v>
      </c>
      <c r="BG4" s="5" t="s">
        <v>110</v>
      </c>
      <c r="BH4" s="5" t="s">
        <v>111</v>
      </c>
      <c r="BI4" s="5" t="s">
        <v>112</v>
      </c>
      <c r="BJ4" s="5" t="s">
        <v>113</v>
      </c>
      <c r="BK4" s="5" t="s">
        <v>194</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row>
    <row r="5" spans="1:119" s="8" customFormat="1" ht="27" thickTop="1">
      <c r="A5" s="46">
        <v>1</v>
      </c>
      <c r="B5" s="109" t="s">
        <v>44</v>
      </c>
      <c r="C5" s="48" t="s">
        <v>45</v>
      </c>
      <c r="D5" s="48" t="s">
        <v>46</v>
      </c>
      <c r="E5" s="49" t="s">
        <v>47</v>
      </c>
      <c r="F5" s="50">
        <v>1999</v>
      </c>
      <c r="G5" s="50" t="s">
        <v>94</v>
      </c>
      <c r="H5" s="50">
        <f>F5+15-1</f>
        <v>2013</v>
      </c>
      <c r="I5" s="51">
        <v>84</v>
      </c>
      <c r="J5" s="52">
        <f>DATE(1998,5,28)</f>
        <v>35943</v>
      </c>
      <c r="K5" s="150" t="s">
        <v>48</v>
      </c>
      <c r="L5" s="151">
        <f>0.01%*0.5</f>
        <v>5.0000000000000002E-5</v>
      </c>
      <c r="M5" s="165">
        <v>0.98899999999999999</v>
      </c>
      <c r="N5" s="165">
        <v>0.94</v>
      </c>
      <c r="O5" s="171" t="s">
        <v>185</v>
      </c>
      <c r="P5" s="56">
        <v>523524</v>
      </c>
      <c r="Q5" s="56">
        <f>BG5</f>
        <v>392258</v>
      </c>
      <c r="R5" s="57">
        <f>+Q5/P5</f>
        <v>0.74926459913967647</v>
      </c>
      <c r="S5" s="56">
        <f>+P5-Q5</f>
        <v>131266</v>
      </c>
      <c r="T5" s="157">
        <v>42735</v>
      </c>
      <c r="U5" s="158" t="s">
        <v>182</v>
      </c>
      <c r="V5" s="58">
        <f>BJ5</f>
        <v>17495</v>
      </c>
      <c r="W5" s="59">
        <f t="shared" ref="W5:W16" si="0">IF(S5&gt;0,S5/V5,0)</f>
        <v>7.5030580165761647</v>
      </c>
      <c r="X5" s="58">
        <f>S5/Y5</f>
        <v>2187766.666666667</v>
      </c>
      <c r="Y5" s="60">
        <f>exit_cap_rate</f>
        <v>0.06</v>
      </c>
      <c r="Z5" s="55">
        <f>T5</f>
        <v>42735</v>
      </c>
      <c r="AA5" s="61" t="s">
        <v>49</v>
      </c>
      <c r="AB5" s="62" t="s">
        <v>50</v>
      </c>
      <c r="AC5" s="58">
        <v>200000</v>
      </c>
      <c r="AD5" s="63">
        <f>DATE(1999,4,1)</f>
        <v>36251</v>
      </c>
      <c r="AE5" s="56">
        <f>97547+9119</f>
        <v>106666</v>
      </c>
      <c r="AF5" s="115">
        <f>DATE(1998,5,28)+365*40+15*30.5</f>
        <v>51000.5</v>
      </c>
      <c r="AG5" s="56">
        <f>1292442+650000+106680+612625</f>
        <v>2661747</v>
      </c>
      <c r="AH5" s="115">
        <f>DATE(2039,7,1)</f>
        <v>50952</v>
      </c>
      <c r="AI5" s="58">
        <f>+AE5+AG5</f>
        <v>2768413</v>
      </c>
      <c r="AJ5" s="77" t="s">
        <v>94</v>
      </c>
      <c r="AK5" s="77" t="s">
        <v>94</v>
      </c>
      <c r="AL5" s="64">
        <v>0</v>
      </c>
      <c r="AM5" s="65" t="s">
        <v>51</v>
      </c>
      <c r="AN5" s="66">
        <v>5.5E-2</v>
      </c>
      <c r="AO5" s="66"/>
      <c r="AP5" s="66"/>
      <c r="AQ5" s="67"/>
      <c r="AR5" s="68">
        <f>S5-V5</f>
        <v>113771</v>
      </c>
      <c r="AS5" s="68">
        <f t="shared" ref="AS5:AS28" si="1">AR5*L5</f>
        <v>5.6885500000000002</v>
      </c>
      <c r="AT5" s="174">
        <f>+L5*(X5-AI5)</f>
        <v>-29.032316666666652</v>
      </c>
      <c r="AU5" s="69" t="s">
        <v>52</v>
      </c>
      <c r="AV5" s="7"/>
      <c r="AW5" s="178">
        <v>140009</v>
      </c>
      <c r="AX5" s="178">
        <v>28283</v>
      </c>
      <c r="AY5" s="178">
        <v>145725</v>
      </c>
      <c r="AZ5" s="178">
        <v>78241</v>
      </c>
      <c r="BA5" s="179">
        <v>7977</v>
      </c>
      <c r="BB5" s="178">
        <f>55899+42250</f>
        <v>98149</v>
      </c>
      <c r="BC5" s="179">
        <v>0</v>
      </c>
      <c r="BD5" s="178">
        <v>147775</v>
      </c>
      <c r="BE5" s="178">
        <f>SUM(AW5:BD5)</f>
        <v>646159</v>
      </c>
      <c r="BF5" s="178"/>
      <c r="BG5" s="178">
        <f>BE5-BD5-BB5-BA5</f>
        <v>392258</v>
      </c>
      <c r="BH5" s="178">
        <f>BA5</f>
        <v>7977</v>
      </c>
      <c r="BI5" s="179">
        <v>9518</v>
      </c>
      <c r="BJ5" s="178">
        <f>BI5+BH5</f>
        <v>17495</v>
      </c>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row>
    <row r="6" spans="1:119" s="8" customFormat="1" ht="26.25">
      <c r="A6" s="46">
        <f>A5+1</f>
        <v>2</v>
      </c>
      <c r="B6" s="108" t="s">
        <v>55</v>
      </c>
      <c r="C6" s="48" t="s">
        <v>56</v>
      </c>
      <c r="D6" s="48" t="s">
        <v>57</v>
      </c>
      <c r="E6" s="49" t="s">
        <v>47</v>
      </c>
      <c r="F6" s="72">
        <v>2004</v>
      </c>
      <c r="G6" s="50" t="s">
        <v>94</v>
      </c>
      <c r="H6" s="50">
        <f t="shared" ref="H5:H11" si="2">F6+15-1</f>
        <v>2018</v>
      </c>
      <c r="I6" s="73">
        <v>110</v>
      </c>
      <c r="J6" s="74">
        <f>DATE(2003,11,21)</f>
        <v>37946</v>
      </c>
      <c r="K6" s="75" t="s">
        <v>48</v>
      </c>
      <c r="L6" s="76">
        <f>0.01%*0.5</f>
        <v>5.0000000000000002E-5</v>
      </c>
      <c r="M6" s="165">
        <v>0.96799999999999997</v>
      </c>
      <c r="N6" s="165">
        <v>0.94</v>
      </c>
      <c r="O6" s="171" t="s">
        <v>185</v>
      </c>
      <c r="P6" s="56">
        <v>958262</v>
      </c>
      <c r="Q6" s="56">
        <f t="shared" ref="Q6:Q18" si="3">BG6</f>
        <v>662197</v>
      </c>
      <c r="R6" s="57">
        <f t="shared" ref="R6:R16" si="4">+Q6/P6</f>
        <v>0.69103961129628433</v>
      </c>
      <c r="S6" s="56">
        <f t="shared" ref="S6:S17" si="5">+P6-Q6</f>
        <v>296065</v>
      </c>
      <c r="T6" s="157">
        <v>42735</v>
      </c>
      <c r="U6" s="158" t="s">
        <v>182</v>
      </c>
      <c r="V6" s="58">
        <f t="shared" ref="V6:V17" si="6">BJ6</f>
        <v>187461</v>
      </c>
      <c r="W6" s="59">
        <f t="shared" si="0"/>
        <v>1.5793418364353118</v>
      </c>
      <c r="X6" s="58">
        <f t="shared" ref="X6:X17" si="7">S6/Y6</f>
        <v>4934416.666666667</v>
      </c>
      <c r="Y6" s="60">
        <f t="shared" ref="Y6:Y13" si="8">exit_cap_rate</f>
        <v>0.06</v>
      </c>
      <c r="Z6" s="55">
        <f t="shared" ref="Z6:Z28" si="9">T6</f>
        <v>42735</v>
      </c>
      <c r="AA6" s="61" t="s">
        <v>49</v>
      </c>
      <c r="AB6" s="61" t="s">
        <v>50</v>
      </c>
      <c r="AC6" s="58">
        <v>2150000</v>
      </c>
      <c r="AD6" s="63">
        <f>DATE(2005,7,1)</f>
        <v>38534</v>
      </c>
      <c r="AE6" s="56">
        <f>1800920+47858</f>
        <v>1848778</v>
      </c>
      <c r="AF6" s="115">
        <f>DATE(2025,6,1)</f>
        <v>45809</v>
      </c>
      <c r="AG6" s="56">
        <f>900000+475000+428301</f>
        <v>1803301</v>
      </c>
      <c r="AH6" s="115">
        <f>DATE(2045,6,1)</f>
        <v>53114</v>
      </c>
      <c r="AI6" s="58">
        <f>+AE6+AG6</f>
        <v>3652079</v>
      </c>
      <c r="AJ6" s="77" t="s">
        <v>94</v>
      </c>
      <c r="AK6" s="77" t="s">
        <v>94</v>
      </c>
      <c r="AL6" s="78">
        <v>0</v>
      </c>
      <c r="AM6" s="79" t="s">
        <v>51</v>
      </c>
      <c r="AN6" s="54">
        <v>7.4999999999999997E-2</v>
      </c>
      <c r="AO6" s="54"/>
      <c r="AP6" s="54"/>
      <c r="AQ6" s="80"/>
      <c r="AR6" s="58">
        <f t="shared" ref="AR6:AR18" si="10">S6-V6</f>
        <v>108604</v>
      </c>
      <c r="AS6" s="68">
        <f t="shared" si="1"/>
        <v>5.4302000000000001</v>
      </c>
      <c r="AT6" s="68">
        <f t="shared" ref="AT6:AT28" si="11">+L6*(X6-AI6)</f>
        <v>64.116883333333348</v>
      </c>
      <c r="AU6" s="81" t="s">
        <v>52</v>
      </c>
      <c r="AV6" s="147" t="e">
        <f>#REF!*12</f>
        <v>#REF!</v>
      </c>
      <c r="AW6" s="149">
        <v>208471</v>
      </c>
      <c r="AX6" s="149">
        <v>87847</v>
      </c>
      <c r="AY6" s="149">
        <v>221945</v>
      </c>
      <c r="AZ6" s="149">
        <v>139092</v>
      </c>
      <c r="BA6" s="149">
        <v>144650</v>
      </c>
      <c r="BB6" s="149">
        <v>55000</v>
      </c>
      <c r="BC6" s="149">
        <f>492+4350</f>
        <v>4842</v>
      </c>
      <c r="BD6" s="149">
        <v>255783</v>
      </c>
      <c r="BE6" s="149">
        <f t="shared" ref="BE6:BE29" si="12">SUM(AW6:BD6)</f>
        <v>1117630</v>
      </c>
      <c r="BF6" s="149"/>
      <c r="BG6" s="149">
        <f t="shared" ref="BG6:BG29" si="13">BE6-BD6-BB6-BA6</f>
        <v>662197</v>
      </c>
      <c r="BH6" s="149">
        <f t="shared" ref="BH6:BH18" si="14">BA6</f>
        <v>144650</v>
      </c>
      <c r="BI6" s="149">
        <v>42811</v>
      </c>
      <c r="BJ6" s="149">
        <f t="shared" ref="BJ6:BJ29" si="15">BI6+BH6</f>
        <v>187461</v>
      </c>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row>
    <row r="7" spans="1:119" s="110" customFormat="1" ht="26.25">
      <c r="A7" s="46">
        <f t="shared" ref="A7:A28" si="16">A6+1</f>
        <v>3</v>
      </c>
      <c r="B7" s="108" t="s">
        <v>166</v>
      </c>
      <c r="C7" s="48" t="s">
        <v>167</v>
      </c>
      <c r="D7" s="48" t="s">
        <v>168</v>
      </c>
      <c r="E7" s="49" t="s">
        <v>47</v>
      </c>
      <c r="F7" s="72">
        <v>2009</v>
      </c>
      <c r="G7" s="50" t="s">
        <v>94</v>
      </c>
      <c r="H7" s="50">
        <f t="shared" si="2"/>
        <v>2023</v>
      </c>
      <c r="I7" s="73">
        <v>85</v>
      </c>
      <c r="J7" s="74">
        <v>39342</v>
      </c>
      <c r="K7" s="75" t="s">
        <v>48</v>
      </c>
      <c r="L7" s="76">
        <f>0.01%*0.5</f>
        <v>5.0000000000000002E-5</v>
      </c>
      <c r="M7" s="165">
        <v>0.98399999999999999</v>
      </c>
      <c r="N7" s="165">
        <v>0.99</v>
      </c>
      <c r="O7" s="171" t="s">
        <v>185</v>
      </c>
      <c r="P7" s="56">
        <v>611393</v>
      </c>
      <c r="Q7" s="56">
        <f t="shared" si="3"/>
        <v>480023</v>
      </c>
      <c r="R7" s="57">
        <f t="shared" si="4"/>
        <v>0.7851300227513236</v>
      </c>
      <c r="S7" s="56">
        <f t="shared" si="5"/>
        <v>131370</v>
      </c>
      <c r="T7" s="157">
        <v>42735</v>
      </c>
      <c r="U7" s="158" t="s">
        <v>182</v>
      </c>
      <c r="V7" s="58">
        <f t="shared" si="6"/>
        <v>104426</v>
      </c>
      <c r="W7" s="59">
        <f t="shared" si="0"/>
        <v>1.258020033325034</v>
      </c>
      <c r="X7" s="58">
        <f t="shared" si="7"/>
        <v>2189500</v>
      </c>
      <c r="Y7" s="60">
        <f>exit_cap_rate</f>
        <v>0.06</v>
      </c>
      <c r="Z7" s="55">
        <f t="shared" si="9"/>
        <v>42735</v>
      </c>
      <c r="AA7" s="61" t="s">
        <v>49</v>
      </c>
      <c r="AB7" s="61" t="s">
        <v>50</v>
      </c>
      <c r="AC7" s="58">
        <v>1200000</v>
      </c>
      <c r="AD7" s="63">
        <f>AF7-20*365-5</f>
        <v>39722</v>
      </c>
      <c r="AE7" s="56">
        <f>1076973+22195</f>
        <v>1099168</v>
      </c>
      <c r="AF7" s="115">
        <v>47027</v>
      </c>
      <c r="AG7" s="56">
        <f>1767902+1600000+668780</f>
        <v>4036682</v>
      </c>
      <c r="AH7" s="115">
        <f>AD7+40*365+10</f>
        <v>54332</v>
      </c>
      <c r="AI7" s="58">
        <f>+AE7+AG7</f>
        <v>5135850</v>
      </c>
      <c r="AJ7" s="77"/>
      <c r="AK7" s="148"/>
      <c r="AL7" s="78">
        <v>0</v>
      </c>
      <c r="AM7" s="79" t="s">
        <v>51</v>
      </c>
      <c r="AN7" s="54">
        <v>7.46E-2</v>
      </c>
      <c r="AO7" s="54"/>
      <c r="AP7" s="54"/>
      <c r="AQ7" s="80"/>
      <c r="AR7" s="58">
        <f t="shared" si="10"/>
        <v>26944</v>
      </c>
      <c r="AS7" s="68">
        <f t="shared" si="1"/>
        <v>1.3472000000000002</v>
      </c>
      <c r="AT7" s="68">
        <f t="shared" si="11"/>
        <v>-147.3175</v>
      </c>
      <c r="AU7" s="81" t="s">
        <v>52</v>
      </c>
      <c r="AV7" s="25"/>
      <c r="AW7" s="149">
        <v>146134</v>
      </c>
      <c r="AX7" s="149">
        <v>68677</v>
      </c>
      <c r="AY7" s="149">
        <v>156717</v>
      </c>
      <c r="AZ7" s="149">
        <v>105401</v>
      </c>
      <c r="BA7" s="149">
        <v>85821</v>
      </c>
      <c r="BB7" s="149">
        <v>134716</v>
      </c>
      <c r="BC7" s="149">
        <f>339+2755</f>
        <v>3094</v>
      </c>
      <c r="BD7" s="149">
        <v>386798</v>
      </c>
      <c r="BE7" s="149">
        <f t="shared" ref="BE7" si="17">SUM(AW7:BD7)</f>
        <v>1087358</v>
      </c>
      <c r="BF7" s="149"/>
      <c r="BG7" s="149">
        <f t="shared" si="13"/>
        <v>480023</v>
      </c>
      <c r="BH7" s="149">
        <f t="shared" si="14"/>
        <v>85821</v>
      </c>
      <c r="BI7" s="149">
        <v>18605</v>
      </c>
      <c r="BJ7" s="149">
        <f t="shared" si="15"/>
        <v>104426</v>
      </c>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row>
    <row r="8" spans="1:119" s="8" customFormat="1" ht="26.25">
      <c r="A8" s="46">
        <f t="shared" si="16"/>
        <v>4</v>
      </c>
      <c r="B8" s="108" t="s">
        <v>58</v>
      </c>
      <c r="C8" s="48" t="s">
        <v>59</v>
      </c>
      <c r="D8" s="48" t="s">
        <v>60</v>
      </c>
      <c r="E8" s="49" t="s">
        <v>47</v>
      </c>
      <c r="F8" s="72">
        <v>2011</v>
      </c>
      <c r="G8" s="50" t="s">
        <v>94</v>
      </c>
      <c r="H8" s="50">
        <f t="shared" si="2"/>
        <v>2025</v>
      </c>
      <c r="I8" s="73">
        <v>90</v>
      </c>
      <c r="J8" s="74">
        <f>DATE(2010,8,19)</f>
        <v>40409</v>
      </c>
      <c r="K8" s="75" t="s">
        <v>48</v>
      </c>
      <c r="L8" s="76">
        <v>1E-4</v>
      </c>
      <c r="M8" s="165">
        <v>0.99</v>
      </c>
      <c r="N8" s="165">
        <v>0.99</v>
      </c>
      <c r="O8" s="171" t="s">
        <v>185</v>
      </c>
      <c r="P8" s="56">
        <v>865952</v>
      </c>
      <c r="Q8" s="56">
        <f t="shared" si="3"/>
        <v>510462</v>
      </c>
      <c r="R8" s="57">
        <f t="shared" si="4"/>
        <v>0.58948071024721926</v>
      </c>
      <c r="S8" s="56">
        <f t="shared" si="5"/>
        <v>355490</v>
      </c>
      <c r="T8" s="157">
        <v>42735</v>
      </c>
      <c r="U8" s="158" t="s">
        <v>182</v>
      </c>
      <c r="V8" s="58">
        <f t="shared" si="6"/>
        <v>285818</v>
      </c>
      <c r="W8" s="59">
        <f t="shared" si="0"/>
        <v>1.2437635138444745</v>
      </c>
      <c r="X8" s="58">
        <f t="shared" si="7"/>
        <v>5924833.333333334</v>
      </c>
      <c r="Y8" s="60">
        <f t="shared" si="8"/>
        <v>0.06</v>
      </c>
      <c r="Z8" s="55">
        <f t="shared" si="9"/>
        <v>42735</v>
      </c>
      <c r="AA8" s="61" t="s">
        <v>61</v>
      </c>
      <c r="AB8" s="61" t="s">
        <v>50</v>
      </c>
      <c r="AC8" s="58">
        <v>2930000</v>
      </c>
      <c r="AD8" s="63">
        <f>DATE(2012,8,3)</f>
        <v>41124</v>
      </c>
      <c r="AE8" s="56">
        <f>2786319+37702</f>
        <v>2824021</v>
      </c>
      <c r="AF8" s="115">
        <f>DATE(2027,7,31)</f>
        <v>46599</v>
      </c>
      <c r="AG8" s="56">
        <f>800000+232583</f>
        <v>1032583</v>
      </c>
      <c r="AH8" s="115">
        <f>DATE(2043,4,1)</f>
        <v>52322</v>
      </c>
      <c r="AI8" s="58">
        <f t="shared" ref="AI8:AI16" si="18">+AE8+AG8</f>
        <v>3856604</v>
      </c>
      <c r="AJ8" s="77" t="s">
        <v>94</v>
      </c>
      <c r="AK8" s="77" t="s">
        <v>94</v>
      </c>
      <c r="AL8" s="78">
        <v>0</v>
      </c>
      <c r="AM8" s="79" t="s">
        <v>51</v>
      </c>
      <c r="AN8" s="54">
        <v>6.9400000000000003E-2</v>
      </c>
      <c r="AO8" s="54"/>
      <c r="AP8" s="54"/>
      <c r="AQ8" s="80"/>
      <c r="AR8" s="58">
        <f>S8-V8</f>
        <v>69672</v>
      </c>
      <c r="AS8" s="68">
        <f t="shared" si="1"/>
        <v>6.9672000000000001</v>
      </c>
      <c r="AT8" s="68">
        <f t="shared" si="11"/>
        <v>206.8229333333334</v>
      </c>
      <c r="AU8" s="81" t="s">
        <v>52</v>
      </c>
      <c r="AV8" s="25"/>
      <c r="AW8" s="149">
        <v>154448</v>
      </c>
      <c r="AX8" s="149">
        <v>73220</v>
      </c>
      <c r="AY8" s="149">
        <v>196930</v>
      </c>
      <c r="AZ8" s="149">
        <v>83820</v>
      </c>
      <c r="BA8" s="149">
        <v>215492</v>
      </c>
      <c r="BB8" s="149">
        <v>41699</v>
      </c>
      <c r="BC8" s="149">
        <f>455+5796+9000</f>
        <v>15251</v>
      </c>
      <c r="BD8" s="149">
        <f>531211+3735</f>
        <v>534946</v>
      </c>
      <c r="BE8" s="149">
        <f t="shared" si="12"/>
        <v>1315806</v>
      </c>
      <c r="BF8" s="149">
        <f>13207</f>
        <v>13207</v>
      </c>
      <c r="BG8" s="149">
        <f>BE8-BD8-BB8-BA8-BF8</f>
        <v>510462</v>
      </c>
      <c r="BH8" s="149">
        <f t="shared" si="14"/>
        <v>215492</v>
      </c>
      <c r="BI8" s="149">
        <v>70326</v>
      </c>
      <c r="BJ8" s="149">
        <f t="shared" si="15"/>
        <v>285818</v>
      </c>
      <c r="BK8" s="7" t="s">
        <v>195</v>
      </c>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row>
    <row r="9" spans="1:119" s="8" customFormat="1" ht="26.25">
      <c r="A9" s="46">
        <f t="shared" si="16"/>
        <v>5</v>
      </c>
      <c r="B9" s="108" t="s">
        <v>62</v>
      </c>
      <c r="C9" s="48" t="s">
        <v>63</v>
      </c>
      <c r="D9" s="48" t="s">
        <v>64</v>
      </c>
      <c r="E9" s="49" t="s">
        <v>47</v>
      </c>
      <c r="F9" s="72">
        <v>2007</v>
      </c>
      <c r="G9" s="50" t="s">
        <v>94</v>
      </c>
      <c r="H9" s="50">
        <f t="shared" si="2"/>
        <v>2021</v>
      </c>
      <c r="I9" s="73">
        <v>48</v>
      </c>
      <c r="J9" s="74">
        <f>DATE(2006,7,28)</f>
        <v>38926</v>
      </c>
      <c r="K9" s="75" t="s">
        <v>48</v>
      </c>
      <c r="L9" s="76">
        <v>1E-4</v>
      </c>
      <c r="M9" s="165">
        <v>0.98</v>
      </c>
      <c r="N9" s="165">
        <v>0.98</v>
      </c>
      <c r="O9" s="171" t="s">
        <v>185</v>
      </c>
      <c r="P9" s="56">
        <v>376715</v>
      </c>
      <c r="Q9" s="56">
        <f t="shared" si="3"/>
        <v>222813</v>
      </c>
      <c r="R9" s="57">
        <f t="shared" si="4"/>
        <v>0.59146304235297242</v>
      </c>
      <c r="S9" s="56">
        <f t="shared" si="5"/>
        <v>153902</v>
      </c>
      <c r="T9" s="157">
        <v>42735</v>
      </c>
      <c r="U9" s="158" t="s">
        <v>182</v>
      </c>
      <c r="V9" s="58">
        <f t="shared" si="6"/>
        <v>57644</v>
      </c>
      <c r="W9" s="59">
        <f t="shared" si="0"/>
        <v>2.6698702380126291</v>
      </c>
      <c r="X9" s="58">
        <f t="shared" si="7"/>
        <v>2565033.3333333335</v>
      </c>
      <c r="Y9" s="60">
        <f t="shared" si="8"/>
        <v>0.06</v>
      </c>
      <c r="Z9" s="55">
        <f t="shared" si="9"/>
        <v>42735</v>
      </c>
      <c r="AA9" s="61" t="s">
        <v>49</v>
      </c>
      <c r="AB9" s="61" t="s">
        <v>50</v>
      </c>
      <c r="AC9" s="58">
        <v>657500</v>
      </c>
      <c r="AD9" s="63">
        <f>DATE(2007,8,1)</f>
        <v>39295</v>
      </c>
      <c r="AE9" s="56">
        <f>578866+11403</f>
        <v>590269</v>
      </c>
      <c r="AF9" s="115">
        <f>DATE(2027,8,1)</f>
        <v>46600</v>
      </c>
      <c r="AG9" s="56">
        <f>1492526+94902</f>
        <v>1587428</v>
      </c>
      <c r="AH9" s="115">
        <f>DATE(2047,8,1)</f>
        <v>53905</v>
      </c>
      <c r="AI9" s="58">
        <f t="shared" si="18"/>
        <v>2177697</v>
      </c>
      <c r="AJ9" s="77" t="s">
        <v>94</v>
      </c>
      <c r="AK9" s="77" t="s">
        <v>94</v>
      </c>
      <c r="AL9" s="78">
        <v>0</v>
      </c>
      <c r="AM9" s="79" t="s">
        <v>51</v>
      </c>
      <c r="AN9" s="54">
        <v>7.4200000000000002E-2</v>
      </c>
      <c r="AO9" s="54"/>
      <c r="AP9" s="54"/>
      <c r="AQ9" s="80"/>
      <c r="AR9" s="58">
        <f t="shared" si="10"/>
        <v>96258</v>
      </c>
      <c r="AS9" s="68">
        <f t="shared" si="1"/>
        <v>9.6257999999999999</v>
      </c>
      <c r="AT9" s="68">
        <f t="shared" si="11"/>
        <v>38.733633333333351</v>
      </c>
      <c r="AU9" s="81" t="s">
        <v>52</v>
      </c>
      <c r="AV9" s="25"/>
      <c r="AW9" s="149">
        <v>80261</v>
      </c>
      <c r="AX9" s="149">
        <v>20065</v>
      </c>
      <c r="AY9" s="149">
        <v>71305</v>
      </c>
      <c r="AZ9" s="149">
        <v>48478</v>
      </c>
      <c r="BA9" s="149">
        <v>46468</v>
      </c>
      <c r="BB9" s="149">
        <v>59701</v>
      </c>
      <c r="BC9" s="149">
        <f>204+2500</f>
        <v>2704</v>
      </c>
      <c r="BD9" s="149">
        <v>173182</v>
      </c>
      <c r="BE9" s="149">
        <f t="shared" si="12"/>
        <v>502164</v>
      </c>
      <c r="BF9" s="149"/>
      <c r="BG9" s="149">
        <f t="shared" si="13"/>
        <v>222813</v>
      </c>
      <c r="BH9" s="149">
        <f t="shared" si="14"/>
        <v>46468</v>
      </c>
      <c r="BI9" s="149">
        <v>11176</v>
      </c>
      <c r="BJ9" s="149">
        <f t="shared" si="15"/>
        <v>57644</v>
      </c>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row>
    <row r="10" spans="1:119" s="8" customFormat="1" ht="26.25">
      <c r="A10" s="46">
        <f t="shared" si="16"/>
        <v>6</v>
      </c>
      <c r="B10" s="108" t="s">
        <v>65</v>
      </c>
      <c r="C10" s="48" t="s">
        <v>66</v>
      </c>
      <c r="D10" s="48" t="s">
        <v>67</v>
      </c>
      <c r="E10" s="49" t="s">
        <v>47</v>
      </c>
      <c r="F10" s="72">
        <v>2009</v>
      </c>
      <c r="G10" s="50" t="s">
        <v>94</v>
      </c>
      <c r="H10" s="50">
        <v>2024</v>
      </c>
      <c r="I10" s="73">
        <v>81</v>
      </c>
      <c r="J10" s="74">
        <f>DATE(2009,1,15)</f>
        <v>39828</v>
      </c>
      <c r="K10" s="75" t="s">
        <v>48</v>
      </c>
      <c r="L10" s="76">
        <v>1E-4</v>
      </c>
      <c r="M10" s="165">
        <v>0.998</v>
      </c>
      <c r="N10" s="165">
        <v>1</v>
      </c>
      <c r="O10" s="171" t="s">
        <v>185</v>
      </c>
      <c r="P10" s="56">
        <v>730129</v>
      </c>
      <c r="Q10" s="56">
        <f t="shared" si="3"/>
        <v>439060</v>
      </c>
      <c r="R10" s="57">
        <f t="shared" si="4"/>
        <v>0.60134578957964957</v>
      </c>
      <c r="S10" s="56">
        <f t="shared" si="5"/>
        <v>291069</v>
      </c>
      <c r="T10" s="157">
        <v>42735</v>
      </c>
      <c r="U10" s="158" t="s">
        <v>182</v>
      </c>
      <c r="V10" s="58">
        <f t="shared" si="6"/>
        <v>179370</v>
      </c>
      <c r="W10" s="59">
        <f t="shared" si="0"/>
        <v>1.6227295534370296</v>
      </c>
      <c r="X10" s="58">
        <f t="shared" si="7"/>
        <v>4851150</v>
      </c>
      <c r="Y10" s="60">
        <f t="shared" si="8"/>
        <v>0.06</v>
      </c>
      <c r="Z10" s="55">
        <f t="shared" si="9"/>
        <v>42735</v>
      </c>
      <c r="AA10" s="61" t="s">
        <v>49</v>
      </c>
      <c r="AB10" s="61" t="s">
        <v>50</v>
      </c>
      <c r="AC10" s="58">
        <v>2075000</v>
      </c>
      <c r="AD10" s="63">
        <f>DATE(2010,2,1)</f>
        <v>40210</v>
      </c>
      <c r="AE10" s="56">
        <f>1899130+33512</f>
        <v>1932642</v>
      </c>
      <c r="AF10" s="115">
        <f>DATE(2030,2,1)</f>
        <v>47515</v>
      </c>
      <c r="AG10" s="56">
        <f>1454999+130182</f>
        <v>1585181</v>
      </c>
      <c r="AH10" s="115">
        <f>DATE(2050,3,1)</f>
        <v>54848</v>
      </c>
      <c r="AI10" s="58">
        <f t="shared" si="18"/>
        <v>3517823</v>
      </c>
      <c r="AJ10" s="77" t="s">
        <v>94</v>
      </c>
      <c r="AK10" s="77" t="s">
        <v>94</v>
      </c>
      <c r="AL10" s="78">
        <v>0</v>
      </c>
      <c r="AM10" s="79" t="s">
        <v>51</v>
      </c>
      <c r="AN10" s="54">
        <v>7.2499999999999995E-2</v>
      </c>
      <c r="AO10" s="54"/>
      <c r="AP10" s="54"/>
      <c r="AQ10" s="80"/>
      <c r="AR10" s="58">
        <f t="shared" si="10"/>
        <v>111699</v>
      </c>
      <c r="AS10" s="68">
        <f t="shared" si="1"/>
        <v>11.1699</v>
      </c>
      <c r="AT10" s="68">
        <f t="shared" si="11"/>
        <v>133.33270000000002</v>
      </c>
      <c r="AU10" s="81" t="s">
        <v>52</v>
      </c>
      <c r="AV10" s="25"/>
      <c r="AW10" s="149">
        <v>151456</v>
      </c>
      <c r="AX10" s="149">
        <v>35692</v>
      </c>
      <c r="AY10" s="149">
        <v>163447</v>
      </c>
      <c r="AZ10" s="149">
        <v>84959</v>
      </c>
      <c r="BA10" s="149">
        <v>149230</v>
      </c>
      <c r="BB10" s="149">
        <v>58200</v>
      </c>
      <c r="BC10" s="149">
        <f>521+2985</f>
        <v>3506</v>
      </c>
      <c r="BD10" s="149">
        <f>381084+2813</f>
        <v>383897</v>
      </c>
      <c r="BE10" s="149">
        <f t="shared" si="12"/>
        <v>1030387</v>
      </c>
      <c r="BF10" s="149"/>
      <c r="BG10" s="149">
        <f t="shared" si="13"/>
        <v>439060</v>
      </c>
      <c r="BH10" s="149">
        <f t="shared" si="14"/>
        <v>149230</v>
      </c>
      <c r="BI10" s="149">
        <v>30140</v>
      </c>
      <c r="BJ10" s="149">
        <f t="shared" si="15"/>
        <v>179370</v>
      </c>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row>
    <row r="11" spans="1:119" s="8" customFormat="1" ht="26.25">
      <c r="A11" s="46">
        <f t="shared" si="16"/>
        <v>7</v>
      </c>
      <c r="B11" s="108" t="s">
        <v>68</v>
      </c>
      <c r="C11" s="48" t="s">
        <v>69</v>
      </c>
      <c r="D11" s="48" t="s">
        <v>70</v>
      </c>
      <c r="E11" s="49" t="s">
        <v>47</v>
      </c>
      <c r="F11" s="72">
        <v>2009</v>
      </c>
      <c r="G11" s="50" t="s">
        <v>94</v>
      </c>
      <c r="H11" s="50">
        <f t="shared" si="2"/>
        <v>2023</v>
      </c>
      <c r="I11" s="73">
        <v>83</v>
      </c>
      <c r="J11" s="74">
        <f>DATE(2008,6,9)</f>
        <v>39608</v>
      </c>
      <c r="K11" s="75" t="s">
        <v>48</v>
      </c>
      <c r="L11" s="76">
        <v>1E-4</v>
      </c>
      <c r="M11" s="165">
        <v>0.995</v>
      </c>
      <c r="N11" s="165">
        <v>1</v>
      </c>
      <c r="O11" s="171" t="s">
        <v>185</v>
      </c>
      <c r="P11" s="56">
        <v>622367</v>
      </c>
      <c r="Q11" s="56">
        <f t="shared" si="3"/>
        <v>418708</v>
      </c>
      <c r="R11" s="57">
        <f t="shared" si="4"/>
        <v>0.67276703295643892</v>
      </c>
      <c r="S11" s="56">
        <f t="shared" si="5"/>
        <v>203659</v>
      </c>
      <c r="T11" s="157">
        <v>42735</v>
      </c>
      <c r="U11" s="158" t="s">
        <v>182</v>
      </c>
      <c r="V11" s="58">
        <f t="shared" si="6"/>
        <v>125172</v>
      </c>
      <c r="W11" s="59">
        <f t="shared" si="0"/>
        <v>1.6270332023136165</v>
      </c>
      <c r="X11" s="58">
        <f t="shared" si="7"/>
        <v>3394316.666666667</v>
      </c>
      <c r="Y11" s="60">
        <f t="shared" si="8"/>
        <v>0.06</v>
      </c>
      <c r="Z11" s="55">
        <f t="shared" si="9"/>
        <v>42735</v>
      </c>
      <c r="AA11" s="139" t="s">
        <v>178</v>
      </c>
      <c r="AB11" s="61" t="s">
        <v>50</v>
      </c>
      <c r="AC11" s="58">
        <v>1580000</v>
      </c>
      <c r="AD11" s="63">
        <f>DATE(2010,3,5)</f>
        <v>40242</v>
      </c>
      <c r="AE11" s="56">
        <f>1520585+10714</f>
        <v>1531299</v>
      </c>
      <c r="AF11" s="115">
        <f>DATE(2030,3,1)</f>
        <v>47543</v>
      </c>
      <c r="AG11" s="56">
        <f>2300000+350000+373500+345762</f>
        <v>3369262</v>
      </c>
      <c r="AH11" s="115">
        <f>DATE(2049,7,1)</f>
        <v>54605</v>
      </c>
      <c r="AI11" s="58">
        <f t="shared" si="18"/>
        <v>4900561</v>
      </c>
      <c r="AJ11" s="77" t="s">
        <v>94</v>
      </c>
      <c r="AK11" s="77" t="s">
        <v>94</v>
      </c>
      <c r="AL11" s="78">
        <v>0</v>
      </c>
      <c r="AM11" s="79" t="s">
        <v>51</v>
      </c>
      <c r="AN11" s="54">
        <v>7.1800000000000003E-2</v>
      </c>
      <c r="AO11" s="54"/>
      <c r="AP11" s="54"/>
      <c r="AQ11" s="80"/>
      <c r="AR11" s="58">
        <f t="shared" si="10"/>
        <v>78487</v>
      </c>
      <c r="AS11" s="68">
        <f t="shared" si="1"/>
        <v>7.8487</v>
      </c>
      <c r="AT11" s="68">
        <f t="shared" si="11"/>
        <v>-150.62443333333331</v>
      </c>
      <c r="AU11" s="81" t="s">
        <v>52</v>
      </c>
      <c r="AV11" s="25"/>
      <c r="AW11" s="149">
        <v>150322</v>
      </c>
      <c r="AX11" s="149">
        <v>26579</v>
      </c>
      <c r="AY11" s="149">
        <v>153486</v>
      </c>
      <c r="AZ11" s="149">
        <v>81432</v>
      </c>
      <c r="BA11" s="149">
        <v>114461</v>
      </c>
      <c r="BB11" s="149">
        <v>120940</v>
      </c>
      <c r="BC11" s="149">
        <f>441+6448</f>
        <v>6889</v>
      </c>
      <c r="BD11" s="149">
        <f>419453+2720</f>
        <v>422173</v>
      </c>
      <c r="BE11" s="149">
        <f t="shared" si="12"/>
        <v>1076282</v>
      </c>
      <c r="BF11" s="149"/>
      <c r="BG11" s="149">
        <f t="shared" si="13"/>
        <v>418708</v>
      </c>
      <c r="BH11" s="149">
        <f t="shared" si="14"/>
        <v>114461</v>
      </c>
      <c r="BI11" s="149">
        <v>10711</v>
      </c>
      <c r="BJ11" s="149">
        <f t="shared" si="15"/>
        <v>125172</v>
      </c>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row>
    <row r="12" spans="1:119" s="8" customFormat="1" ht="26.25">
      <c r="A12" s="46">
        <f t="shared" si="16"/>
        <v>8</v>
      </c>
      <c r="B12" s="108" t="s">
        <v>71</v>
      </c>
      <c r="C12" s="48" t="s">
        <v>72</v>
      </c>
      <c r="D12" s="48" t="s">
        <v>73</v>
      </c>
      <c r="E12" s="49" t="s">
        <v>53</v>
      </c>
      <c r="F12" s="72">
        <v>1964</v>
      </c>
      <c r="G12" s="72">
        <v>2010</v>
      </c>
      <c r="H12" s="50">
        <f>G12+15-1</f>
        <v>2024</v>
      </c>
      <c r="I12" s="73">
        <v>158</v>
      </c>
      <c r="J12" s="74">
        <f>DATE(2009,11,24)</f>
        <v>40141</v>
      </c>
      <c r="K12" s="75" t="s">
        <v>48</v>
      </c>
      <c r="L12" s="76">
        <f>0.01%*0.79</f>
        <v>7.9000000000000009E-5</v>
      </c>
      <c r="M12" s="145">
        <v>0.96399999999999997</v>
      </c>
      <c r="N12" s="165">
        <v>0.97</v>
      </c>
      <c r="O12" s="171" t="s">
        <v>185</v>
      </c>
      <c r="P12" s="56">
        <v>1971449</v>
      </c>
      <c r="Q12" s="56">
        <f t="shared" si="3"/>
        <v>1148862</v>
      </c>
      <c r="R12" s="57">
        <f t="shared" si="4"/>
        <v>0.58275004831471677</v>
      </c>
      <c r="S12" s="56">
        <f t="shared" si="5"/>
        <v>822587</v>
      </c>
      <c r="T12" s="157">
        <v>42735</v>
      </c>
      <c r="U12" s="158" t="s">
        <v>182</v>
      </c>
      <c r="V12" s="58">
        <f t="shared" si="6"/>
        <v>650408</v>
      </c>
      <c r="W12" s="59">
        <f t="shared" si="0"/>
        <v>1.2647246036334117</v>
      </c>
      <c r="X12" s="58">
        <f t="shared" si="7"/>
        <v>13709783.333333334</v>
      </c>
      <c r="Y12" s="60">
        <f t="shared" si="8"/>
        <v>0.06</v>
      </c>
      <c r="Z12" s="55">
        <f t="shared" si="9"/>
        <v>42735</v>
      </c>
      <c r="AA12" s="61" t="s">
        <v>74</v>
      </c>
      <c r="AB12" s="61" t="s">
        <v>162</v>
      </c>
      <c r="AC12" s="58">
        <v>7605000</v>
      </c>
      <c r="AD12" s="63">
        <f>DATE(2011,4,1)</f>
        <v>40634</v>
      </c>
      <c r="AE12" s="56">
        <f>6211188+271867</f>
        <v>6483055</v>
      </c>
      <c r="AF12" s="115">
        <f>DATE(2041,4,1)</f>
        <v>51592</v>
      </c>
      <c r="AG12" s="56">
        <f>7916570+310431</f>
        <v>8227001</v>
      </c>
      <c r="AH12" s="115">
        <f>DATE(2049,11,24)</f>
        <v>54751</v>
      </c>
      <c r="AI12" s="58">
        <f t="shared" si="18"/>
        <v>14710056</v>
      </c>
      <c r="AJ12" s="77" t="s">
        <v>94</v>
      </c>
      <c r="AK12" s="77" t="s">
        <v>94</v>
      </c>
      <c r="AL12" s="78">
        <v>0</v>
      </c>
      <c r="AM12" s="79" t="s">
        <v>51</v>
      </c>
      <c r="AN12" s="54">
        <v>5.6000000000000001E-2</v>
      </c>
      <c r="AO12" s="54"/>
      <c r="AP12" s="54"/>
      <c r="AQ12" s="80"/>
      <c r="AR12" s="58">
        <f t="shared" si="10"/>
        <v>172179</v>
      </c>
      <c r="AS12" s="68">
        <f t="shared" si="1"/>
        <v>13.602141000000001</v>
      </c>
      <c r="AT12" s="68">
        <f t="shared" si="11"/>
        <v>-79.021540666666624</v>
      </c>
      <c r="AU12" s="81" t="s">
        <v>52</v>
      </c>
      <c r="AV12" s="25"/>
      <c r="AW12" s="149">
        <v>349389</v>
      </c>
      <c r="AX12" s="149">
        <v>106801</v>
      </c>
      <c r="AY12" s="149">
        <v>487470</v>
      </c>
      <c r="AZ12" s="149">
        <v>199062</v>
      </c>
      <c r="BA12" s="149">
        <f>369612+31667</f>
        <v>401279</v>
      </c>
      <c r="BB12" s="149">
        <v>324433</v>
      </c>
      <c r="BC12" s="149">
        <f>512+5628</f>
        <v>6140</v>
      </c>
      <c r="BD12" s="149">
        <v>387990</v>
      </c>
      <c r="BE12" s="149">
        <f t="shared" si="12"/>
        <v>2262564</v>
      </c>
      <c r="BF12" s="149"/>
      <c r="BG12" s="149">
        <f t="shared" si="13"/>
        <v>1148862</v>
      </c>
      <c r="BH12" s="149">
        <f t="shared" si="14"/>
        <v>401279</v>
      </c>
      <c r="BI12" s="149">
        <v>249129</v>
      </c>
      <c r="BJ12" s="149">
        <f t="shared" si="15"/>
        <v>650408</v>
      </c>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row>
    <row r="13" spans="1:119" s="8" customFormat="1" ht="26.25">
      <c r="A13" s="46">
        <f t="shared" si="16"/>
        <v>9</v>
      </c>
      <c r="B13" s="108" t="s">
        <v>75</v>
      </c>
      <c r="C13" s="48" t="s">
        <v>76</v>
      </c>
      <c r="D13" s="48" t="s">
        <v>77</v>
      </c>
      <c r="E13" s="49" t="s">
        <v>47</v>
      </c>
      <c r="F13" s="72">
        <v>2005</v>
      </c>
      <c r="G13" s="50" t="s">
        <v>94</v>
      </c>
      <c r="H13" s="50">
        <v>2020</v>
      </c>
      <c r="I13" s="73">
        <v>100</v>
      </c>
      <c r="J13" s="74">
        <f>DATE(2004,11,17)</f>
        <v>38308</v>
      </c>
      <c r="K13" s="75" t="s">
        <v>48</v>
      </c>
      <c r="L13" s="76">
        <v>1E-4</v>
      </c>
      <c r="M13" s="145">
        <v>0.95899999999999996</v>
      </c>
      <c r="N13" s="165">
        <v>0.94</v>
      </c>
      <c r="O13" s="171" t="s">
        <v>185</v>
      </c>
      <c r="P13" s="56">
        <v>914797</v>
      </c>
      <c r="Q13" s="56">
        <f t="shared" si="3"/>
        <v>502946</v>
      </c>
      <c r="R13" s="57">
        <f t="shared" si="4"/>
        <v>0.54978973477175808</v>
      </c>
      <c r="S13" s="56">
        <f t="shared" si="5"/>
        <v>411851</v>
      </c>
      <c r="T13" s="157">
        <v>42735</v>
      </c>
      <c r="U13" s="158" t="s">
        <v>182</v>
      </c>
      <c r="V13" s="58">
        <f t="shared" si="6"/>
        <v>184534</v>
      </c>
      <c r="W13" s="59">
        <f t="shared" si="0"/>
        <v>2.2318434543227808</v>
      </c>
      <c r="X13" s="58">
        <f t="shared" si="7"/>
        <v>6864183.333333334</v>
      </c>
      <c r="Y13" s="60">
        <f t="shared" si="8"/>
        <v>0.06</v>
      </c>
      <c r="Z13" s="55">
        <f t="shared" si="9"/>
        <v>42735</v>
      </c>
      <c r="AA13" s="61" t="s">
        <v>78</v>
      </c>
      <c r="AB13" s="61" t="s">
        <v>158</v>
      </c>
      <c r="AC13" s="58">
        <v>3950600</v>
      </c>
      <c r="AD13" s="63">
        <f>DATE(2013,1,1)</f>
        <v>41275</v>
      </c>
      <c r="AE13" s="56">
        <f>3731638+59473</f>
        <v>3791111</v>
      </c>
      <c r="AF13" s="115">
        <f>DATE(2053,2,1)</f>
        <v>55916</v>
      </c>
      <c r="AG13" s="56">
        <v>2304756</v>
      </c>
      <c r="AH13" s="115">
        <f>DATE(2053,2,1)</f>
        <v>55916</v>
      </c>
      <c r="AI13" s="58">
        <f t="shared" si="18"/>
        <v>6095867</v>
      </c>
      <c r="AJ13" s="77" t="s">
        <v>94</v>
      </c>
      <c r="AK13" s="77" t="s">
        <v>94</v>
      </c>
      <c r="AL13" s="78">
        <v>0</v>
      </c>
      <c r="AM13" s="79" t="s">
        <v>51</v>
      </c>
      <c r="AN13" s="54">
        <v>2.76E-2</v>
      </c>
      <c r="AO13" s="54"/>
      <c r="AP13" s="54"/>
      <c r="AQ13" s="80"/>
      <c r="AR13" s="58">
        <f t="shared" si="10"/>
        <v>227317</v>
      </c>
      <c r="AS13" s="68">
        <f t="shared" si="1"/>
        <v>22.7317</v>
      </c>
      <c r="AT13" s="68">
        <f t="shared" si="11"/>
        <v>76.8316333333334</v>
      </c>
      <c r="AU13" s="81" t="s">
        <v>52</v>
      </c>
      <c r="AV13" s="25"/>
      <c r="AW13" s="149">
        <v>162908</v>
      </c>
      <c r="AX13" s="149">
        <v>38542</v>
      </c>
      <c r="AY13" s="149">
        <v>155080</v>
      </c>
      <c r="AZ13" s="149">
        <v>108475</v>
      </c>
      <c r="BA13" s="149">
        <f>106407+18795</f>
        <v>125202</v>
      </c>
      <c r="BB13" s="149">
        <v>80000</v>
      </c>
      <c r="BC13" s="149">
        <f>983+33598+3360</f>
        <v>37941</v>
      </c>
      <c r="BD13" s="149">
        <v>235890</v>
      </c>
      <c r="BE13" s="149">
        <f t="shared" si="12"/>
        <v>944038</v>
      </c>
      <c r="BF13" s="149"/>
      <c r="BG13" s="149">
        <f t="shared" si="13"/>
        <v>502946</v>
      </c>
      <c r="BH13" s="149">
        <f t="shared" si="14"/>
        <v>125202</v>
      </c>
      <c r="BI13" s="149">
        <v>59332</v>
      </c>
      <c r="BJ13" s="149">
        <f t="shared" si="15"/>
        <v>184534</v>
      </c>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row>
    <row r="14" spans="1:119" s="8" customFormat="1" ht="26.25">
      <c r="A14" s="46">
        <f t="shared" si="16"/>
        <v>10</v>
      </c>
      <c r="B14" s="108" t="s">
        <v>79</v>
      </c>
      <c r="C14" s="48" t="s">
        <v>80</v>
      </c>
      <c r="D14" s="48" t="s">
        <v>81</v>
      </c>
      <c r="E14" s="49" t="s">
        <v>53</v>
      </c>
      <c r="F14" s="72">
        <v>1972</v>
      </c>
      <c r="G14" s="72">
        <v>2009</v>
      </c>
      <c r="H14" s="50">
        <f>G14+15-1</f>
        <v>2023</v>
      </c>
      <c r="I14" s="73">
        <v>105</v>
      </c>
      <c r="J14" s="74">
        <f>DATE(2008,5,28)</f>
        <v>39596</v>
      </c>
      <c r="K14" s="75" t="s">
        <v>48</v>
      </c>
      <c r="L14" s="76">
        <f>0.01%*0.79</f>
        <v>7.9000000000000009E-5</v>
      </c>
      <c r="M14" s="145">
        <v>0.99</v>
      </c>
      <c r="N14" s="165">
        <v>0.98</v>
      </c>
      <c r="O14" s="171" t="s">
        <v>185</v>
      </c>
      <c r="P14" s="56">
        <v>1496676</v>
      </c>
      <c r="Q14" s="56">
        <f t="shared" si="3"/>
        <v>892312</v>
      </c>
      <c r="R14" s="57">
        <f t="shared" si="4"/>
        <v>0.59619583664066234</v>
      </c>
      <c r="S14" s="56">
        <f t="shared" si="5"/>
        <v>604364</v>
      </c>
      <c r="T14" s="157">
        <v>42735</v>
      </c>
      <c r="U14" s="158" t="s">
        <v>182</v>
      </c>
      <c r="V14" s="58">
        <f t="shared" si="6"/>
        <v>474298</v>
      </c>
      <c r="W14" s="59">
        <f t="shared" si="0"/>
        <v>1.2742284386609262</v>
      </c>
      <c r="X14" s="58">
        <f t="shared" si="7"/>
        <v>10988436.363636363</v>
      </c>
      <c r="Y14" s="60">
        <f>exit_cap_rate-50/10000</f>
        <v>5.5E-2</v>
      </c>
      <c r="Z14" s="55">
        <f t="shared" si="9"/>
        <v>42735</v>
      </c>
      <c r="AA14" s="61" t="s">
        <v>74</v>
      </c>
      <c r="AB14" s="61" t="s">
        <v>159</v>
      </c>
      <c r="AC14" s="58">
        <v>6545000</v>
      </c>
      <c r="AD14" s="63">
        <f>DATE(2009,9,1)</f>
        <v>40057</v>
      </c>
      <c r="AE14" s="56">
        <f>6177743+59953</f>
        <v>6237696</v>
      </c>
      <c r="AF14" s="115">
        <f>DATE(2048,5,29)</f>
        <v>54207</v>
      </c>
      <c r="AG14" s="56">
        <f>5322096+228566</f>
        <v>5550662</v>
      </c>
      <c r="AH14" s="115">
        <f>DATE(2048,5,29)</f>
        <v>54207</v>
      </c>
      <c r="AI14" s="58">
        <f t="shared" si="18"/>
        <v>11788358</v>
      </c>
      <c r="AJ14" s="77" t="s">
        <v>94</v>
      </c>
      <c r="AK14" s="77" t="s">
        <v>94</v>
      </c>
      <c r="AL14" s="78">
        <v>0</v>
      </c>
      <c r="AM14" s="79" t="s">
        <v>51</v>
      </c>
      <c r="AN14" s="54">
        <v>5.9400000000000001E-2</v>
      </c>
      <c r="AO14" s="54"/>
      <c r="AP14" s="54"/>
      <c r="AQ14" s="80"/>
      <c r="AR14" s="58">
        <f t="shared" si="10"/>
        <v>130066</v>
      </c>
      <c r="AS14" s="68">
        <f t="shared" si="1"/>
        <v>10.275214000000002</v>
      </c>
      <c r="AT14" s="68">
        <f t="shared" si="11"/>
        <v>-63.193809272727307</v>
      </c>
      <c r="AU14" s="81" t="s">
        <v>52</v>
      </c>
      <c r="AV14" s="25"/>
      <c r="AW14" s="149">
        <v>272488</v>
      </c>
      <c r="AX14" s="149">
        <v>106813</v>
      </c>
      <c r="AY14" s="149">
        <v>396113</v>
      </c>
      <c r="AZ14" s="149">
        <v>149758</v>
      </c>
      <c r="BA14" s="149">
        <f>383233+31112</f>
        <v>414345</v>
      </c>
      <c r="BB14" s="149">
        <v>238478</v>
      </c>
      <c r="BC14" s="149">
        <f>576+6149</f>
        <v>6725</v>
      </c>
      <c r="BD14" s="149">
        <v>294521</v>
      </c>
      <c r="BE14" s="149">
        <f t="shared" si="12"/>
        <v>1879241</v>
      </c>
      <c r="BF14" s="149">
        <f>39585</f>
        <v>39585</v>
      </c>
      <c r="BG14" s="149">
        <f>BE14-BD14-BB14-BA14-BF14</f>
        <v>892312</v>
      </c>
      <c r="BH14" s="149">
        <f t="shared" si="14"/>
        <v>414345</v>
      </c>
      <c r="BI14" s="149">
        <v>59953</v>
      </c>
      <c r="BJ14" s="149">
        <f t="shared" si="15"/>
        <v>474298</v>
      </c>
      <c r="BK14" s="7" t="s">
        <v>196</v>
      </c>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row>
    <row r="15" spans="1:119" s="8" customFormat="1" ht="26.25">
      <c r="A15" s="46">
        <f t="shared" si="16"/>
        <v>11</v>
      </c>
      <c r="B15" s="108" t="s">
        <v>82</v>
      </c>
      <c r="C15" s="48" t="s">
        <v>83</v>
      </c>
      <c r="D15" s="48" t="s">
        <v>84</v>
      </c>
      <c r="E15" s="49" t="s">
        <v>53</v>
      </c>
      <c r="F15" s="72">
        <v>1964</v>
      </c>
      <c r="G15" s="72">
        <v>2009</v>
      </c>
      <c r="H15" s="50">
        <f>G15+15-1</f>
        <v>2023</v>
      </c>
      <c r="I15" s="73">
        <v>186</v>
      </c>
      <c r="J15" s="74">
        <f>DATE(2008,5,29)</f>
        <v>39597</v>
      </c>
      <c r="K15" s="75" t="s">
        <v>48</v>
      </c>
      <c r="L15" s="76">
        <v>1E-4</v>
      </c>
      <c r="M15" s="145">
        <v>0.97299999999999998</v>
      </c>
      <c r="N15" s="165">
        <v>0.97</v>
      </c>
      <c r="O15" s="171" t="s">
        <v>185</v>
      </c>
      <c r="P15" s="56">
        <v>1532156</v>
      </c>
      <c r="Q15" s="56">
        <f t="shared" si="3"/>
        <v>1135234</v>
      </c>
      <c r="R15" s="57">
        <f t="shared" si="4"/>
        <v>0.74093891222564801</v>
      </c>
      <c r="S15" s="56">
        <f t="shared" si="5"/>
        <v>396922</v>
      </c>
      <c r="T15" s="157">
        <v>42735</v>
      </c>
      <c r="U15" s="158" t="s">
        <v>182</v>
      </c>
      <c r="V15" s="58">
        <f t="shared" si="6"/>
        <v>288661</v>
      </c>
      <c r="W15" s="59">
        <f t="shared" si="0"/>
        <v>1.3750454685600064</v>
      </c>
      <c r="X15" s="58">
        <f t="shared" si="7"/>
        <v>6615366.666666667</v>
      </c>
      <c r="Y15" s="60">
        <f>exit_cap_rate</f>
        <v>0.06</v>
      </c>
      <c r="Z15" s="55">
        <f t="shared" si="9"/>
        <v>42735</v>
      </c>
      <c r="AA15" s="61" t="s">
        <v>85</v>
      </c>
      <c r="AB15" s="61" t="s">
        <v>161</v>
      </c>
      <c r="AC15" s="58">
        <v>3750000</v>
      </c>
      <c r="AD15" s="63">
        <f>DATE(2009,10,1)</f>
        <v>40087</v>
      </c>
      <c r="AE15" s="56">
        <f>3559031+32515</f>
        <v>3591546</v>
      </c>
      <c r="AF15" s="115">
        <f>DATE(2049,9,1)</f>
        <v>54667</v>
      </c>
      <c r="AG15" s="56">
        <f>2590000+8901569+426926+374756</f>
        <v>12293251</v>
      </c>
      <c r="AH15" s="115">
        <f>DATE(2050,7,1)</f>
        <v>54970</v>
      </c>
      <c r="AI15" s="58">
        <f t="shared" si="18"/>
        <v>15884797</v>
      </c>
      <c r="AJ15" s="77" t="s">
        <v>94</v>
      </c>
      <c r="AK15" s="77" t="s">
        <v>94</v>
      </c>
      <c r="AL15" s="78">
        <v>0</v>
      </c>
      <c r="AM15" s="79" t="s">
        <v>51</v>
      </c>
      <c r="AN15" s="54">
        <v>6.1899999999999997E-2</v>
      </c>
      <c r="AO15" s="54"/>
      <c r="AP15" s="54"/>
      <c r="AQ15" s="80"/>
      <c r="AR15" s="58">
        <f t="shared" si="10"/>
        <v>108261</v>
      </c>
      <c r="AS15" s="68">
        <f t="shared" si="1"/>
        <v>10.8261</v>
      </c>
      <c r="AT15" s="68">
        <f t="shared" si="11"/>
        <v>-926.94303333333323</v>
      </c>
      <c r="AU15" s="81" t="s">
        <v>52</v>
      </c>
      <c r="AV15" s="25"/>
      <c r="AW15" s="149">
        <v>333266</v>
      </c>
      <c r="AX15" s="149">
        <v>152782</v>
      </c>
      <c r="AY15" s="149">
        <v>463145</v>
      </c>
      <c r="AZ15" s="149">
        <v>185143</v>
      </c>
      <c r="BA15" s="149">
        <f>240063+16083</f>
        <v>256146</v>
      </c>
      <c r="BB15" s="149">
        <f>102305+415542</f>
        <v>517847</v>
      </c>
      <c r="BC15" s="149">
        <v>898</v>
      </c>
      <c r="BD15" s="149">
        <v>504596</v>
      </c>
      <c r="BE15" s="149">
        <f t="shared" si="12"/>
        <v>2413823</v>
      </c>
      <c r="BF15" s="149"/>
      <c r="BG15" s="149">
        <f t="shared" si="13"/>
        <v>1135234</v>
      </c>
      <c r="BH15" s="149">
        <f t="shared" si="14"/>
        <v>256146</v>
      </c>
      <c r="BI15" s="149">
        <v>32515</v>
      </c>
      <c r="BJ15" s="149">
        <f t="shared" si="15"/>
        <v>288661</v>
      </c>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row>
    <row r="16" spans="1:119" s="8" customFormat="1" ht="26.25">
      <c r="A16" s="46">
        <f t="shared" si="16"/>
        <v>12</v>
      </c>
      <c r="B16" s="108" t="s">
        <v>86</v>
      </c>
      <c r="C16" s="48" t="s">
        <v>87</v>
      </c>
      <c r="D16" s="48" t="s">
        <v>88</v>
      </c>
      <c r="E16" s="49" t="s">
        <v>47</v>
      </c>
      <c r="F16" s="72">
        <v>2010</v>
      </c>
      <c r="G16" s="50" t="s">
        <v>94</v>
      </c>
      <c r="H16" s="50">
        <v>2025</v>
      </c>
      <c r="I16" s="73">
        <v>105</v>
      </c>
      <c r="J16" s="74">
        <f>DATE(2010,2,10)</f>
        <v>40219</v>
      </c>
      <c r="K16" s="75" t="s">
        <v>48</v>
      </c>
      <c r="L16" s="76">
        <v>1E-4</v>
      </c>
      <c r="M16" s="145">
        <v>0.98699999999999999</v>
      </c>
      <c r="N16" s="165">
        <v>0.99</v>
      </c>
      <c r="O16" s="171" t="s">
        <v>185</v>
      </c>
      <c r="P16" s="56">
        <v>934378</v>
      </c>
      <c r="Q16" s="56">
        <f t="shared" si="3"/>
        <v>542464</v>
      </c>
      <c r="R16" s="57">
        <f t="shared" si="4"/>
        <v>0.58056161425033548</v>
      </c>
      <c r="S16" s="56">
        <f t="shared" si="5"/>
        <v>391914</v>
      </c>
      <c r="T16" s="157">
        <v>42735</v>
      </c>
      <c r="U16" s="158" t="s">
        <v>182</v>
      </c>
      <c r="V16" s="58">
        <f t="shared" si="6"/>
        <v>241289</v>
      </c>
      <c r="W16" s="59">
        <f t="shared" si="0"/>
        <v>1.6242514163513464</v>
      </c>
      <c r="X16" s="58">
        <f t="shared" si="7"/>
        <v>6531900</v>
      </c>
      <c r="Y16" s="60">
        <f>exit_cap_rate</f>
        <v>0.06</v>
      </c>
      <c r="Z16" s="55">
        <f t="shared" si="9"/>
        <v>42735</v>
      </c>
      <c r="AA16" s="139" t="s">
        <v>178</v>
      </c>
      <c r="AB16" s="61" t="s">
        <v>160</v>
      </c>
      <c r="AC16" s="58">
        <v>4138000</v>
      </c>
      <c r="AD16" s="63">
        <f>DATE(2011,7,1)</f>
        <v>40725</v>
      </c>
      <c r="AE16" s="56">
        <f>3945341+47748</f>
        <v>3993089</v>
      </c>
      <c r="AF16" s="115">
        <f>DATE(2051,5,1)</f>
        <v>55274</v>
      </c>
      <c r="AG16" s="56">
        <f>2000000+500000+262500+111591+133801</f>
        <v>3007892</v>
      </c>
      <c r="AH16" s="115">
        <f>DATE(2052,9,1)</f>
        <v>55763</v>
      </c>
      <c r="AI16" s="58">
        <f t="shared" si="18"/>
        <v>7000981</v>
      </c>
      <c r="AJ16" s="77" t="s">
        <v>94</v>
      </c>
      <c r="AK16" s="77" t="s">
        <v>94</v>
      </c>
      <c r="AL16" s="78">
        <v>0</v>
      </c>
      <c r="AM16" s="79" t="s">
        <v>51</v>
      </c>
      <c r="AN16" s="54">
        <v>6.0499999999999998E-2</v>
      </c>
      <c r="AO16" s="54"/>
      <c r="AP16" s="54"/>
      <c r="AQ16" s="80"/>
      <c r="AR16" s="58">
        <f t="shared" si="10"/>
        <v>150625</v>
      </c>
      <c r="AS16" s="68">
        <f t="shared" si="1"/>
        <v>15.0625</v>
      </c>
      <c r="AT16" s="68">
        <f t="shared" si="11"/>
        <v>-46.908100000000005</v>
      </c>
      <c r="AU16" s="81" t="s">
        <v>52</v>
      </c>
      <c r="AV16" s="25"/>
      <c r="AW16" s="149">
        <v>207593</v>
      </c>
      <c r="AX16" s="149">
        <v>55262</v>
      </c>
      <c r="AY16" s="149">
        <v>171194</v>
      </c>
      <c r="AZ16" s="149">
        <v>101791</v>
      </c>
      <c r="BA16" s="149">
        <f>174920+18621</f>
        <v>193541</v>
      </c>
      <c r="BB16" s="149">
        <f>101753+4170</f>
        <v>105923</v>
      </c>
      <c r="BC16" s="149">
        <f>654+5970</f>
        <v>6624</v>
      </c>
      <c r="BD16" s="149">
        <v>496939</v>
      </c>
      <c r="BE16" s="149">
        <f t="shared" si="12"/>
        <v>1338867</v>
      </c>
      <c r="BF16" s="149"/>
      <c r="BG16" s="149">
        <f t="shared" si="13"/>
        <v>542464</v>
      </c>
      <c r="BH16" s="149">
        <f t="shared" si="14"/>
        <v>193541</v>
      </c>
      <c r="BI16" s="149">
        <v>47748</v>
      </c>
      <c r="BJ16" s="149">
        <f t="shared" si="15"/>
        <v>241289</v>
      </c>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row>
    <row r="17" spans="1:119" s="8" customFormat="1" ht="26.25">
      <c r="A17" s="46">
        <f t="shared" si="16"/>
        <v>13</v>
      </c>
      <c r="B17" s="108" t="s">
        <v>89</v>
      </c>
      <c r="C17" s="48" t="s">
        <v>90</v>
      </c>
      <c r="D17" s="48" t="s">
        <v>91</v>
      </c>
      <c r="E17" s="49" t="s">
        <v>53</v>
      </c>
      <c r="F17" s="72">
        <v>1972</v>
      </c>
      <c r="G17" s="72">
        <v>2011</v>
      </c>
      <c r="H17" s="50">
        <f>G17+15-1</f>
        <v>2025</v>
      </c>
      <c r="I17" s="73">
        <v>99</v>
      </c>
      <c r="J17" s="74">
        <f>DATE(2010,12,2)</f>
        <v>40514</v>
      </c>
      <c r="K17" s="75" t="s">
        <v>48</v>
      </c>
      <c r="L17" s="76">
        <v>1E-4</v>
      </c>
      <c r="M17" s="145">
        <v>0.98599999999999999</v>
      </c>
      <c r="N17" s="165">
        <v>0.98</v>
      </c>
      <c r="O17" s="171" t="s">
        <v>185</v>
      </c>
      <c r="P17" s="56">
        <v>1728806</v>
      </c>
      <c r="Q17" s="56">
        <f t="shared" si="3"/>
        <v>899402</v>
      </c>
      <c r="R17" s="57">
        <f t="shared" ref="R17" si="19">+Q17/P17</f>
        <v>0.52024460812838458</v>
      </c>
      <c r="S17" s="56">
        <f t="shared" si="5"/>
        <v>829404</v>
      </c>
      <c r="T17" s="157">
        <v>42735</v>
      </c>
      <c r="U17" s="158" t="s">
        <v>182</v>
      </c>
      <c r="V17" s="58">
        <f t="shared" si="6"/>
        <v>543266</v>
      </c>
      <c r="W17" s="59">
        <f t="shared" ref="W17" si="20">IF(S17&gt;0,S17/V17,0)</f>
        <v>1.5266996278066363</v>
      </c>
      <c r="X17" s="58">
        <f t="shared" si="7"/>
        <v>15080072.727272727</v>
      </c>
      <c r="Y17" s="60">
        <f>exit_cap_rate-50/10000</f>
        <v>5.5E-2</v>
      </c>
      <c r="Z17" s="55">
        <f t="shared" si="9"/>
        <v>42735</v>
      </c>
      <c r="AA17" s="61" t="s">
        <v>74</v>
      </c>
      <c r="AB17" s="61" t="s">
        <v>163</v>
      </c>
      <c r="AC17" s="58">
        <v>9005000</v>
      </c>
      <c r="AD17" s="63">
        <f>DATE(2012,4,1)</f>
        <v>41000</v>
      </c>
      <c r="AE17" s="56">
        <f>8569548+99866</f>
        <v>8669414</v>
      </c>
      <c r="AF17" s="115">
        <f>DATE(2051,7,1)</f>
        <v>55335</v>
      </c>
      <c r="AG17" s="56">
        <f>6313004+346423</f>
        <v>6659427</v>
      </c>
      <c r="AH17" s="115">
        <f>DATE(2052,3,1)</f>
        <v>55579</v>
      </c>
      <c r="AI17" s="58">
        <f t="shared" ref="AI17:AI19" si="21">+AE17+AG17</f>
        <v>15328841</v>
      </c>
      <c r="AJ17" s="77" t="s">
        <v>94</v>
      </c>
      <c r="AK17" s="77" t="s">
        <v>94</v>
      </c>
      <c r="AL17" s="78">
        <v>0</v>
      </c>
      <c r="AM17" s="79" t="s">
        <v>51</v>
      </c>
      <c r="AN17" s="54">
        <v>4.5499999999999999E-2</v>
      </c>
      <c r="AO17" s="54"/>
      <c r="AP17" s="54"/>
      <c r="AQ17" s="80"/>
      <c r="AR17" s="68">
        <f t="shared" si="10"/>
        <v>286138</v>
      </c>
      <c r="AS17" s="68">
        <f t="shared" si="1"/>
        <v>28.613800000000001</v>
      </c>
      <c r="AT17" s="68">
        <f t="shared" si="11"/>
        <v>-24.876827272727343</v>
      </c>
      <c r="AU17" s="81" t="s">
        <v>52</v>
      </c>
      <c r="AV17" s="25"/>
      <c r="AW17" s="149">
        <v>244641</v>
      </c>
      <c r="AX17" s="149">
        <v>223851</v>
      </c>
      <c r="AY17" s="149">
        <v>291543</v>
      </c>
      <c r="AZ17" s="149">
        <v>133333</v>
      </c>
      <c r="BA17" s="149">
        <f>400235+43165</f>
        <v>443400</v>
      </c>
      <c r="BB17" s="149">
        <v>342728</v>
      </c>
      <c r="BC17" s="149">
        <f>238+5796</f>
        <v>6034</v>
      </c>
      <c r="BD17" s="149">
        <f>467763+1466</f>
        <v>469229</v>
      </c>
      <c r="BE17" s="149">
        <f t="shared" si="12"/>
        <v>2154759</v>
      </c>
      <c r="BF17" s="149"/>
      <c r="BG17" s="149">
        <f t="shared" si="13"/>
        <v>899402</v>
      </c>
      <c r="BH17" s="149">
        <f t="shared" si="14"/>
        <v>443400</v>
      </c>
      <c r="BI17" s="149">
        <v>99866</v>
      </c>
      <c r="BJ17" s="149">
        <f t="shared" si="15"/>
        <v>543266</v>
      </c>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row>
    <row r="18" spans="1:119" s="8" customFormat="1" ht="39">
      <c r="A18" s="46">
        <f t="shared" si="16"/>
        <v>14</v>
      </c>
      <c r="B18" s="108" t="s">
        <v>137</v>
      </c>
      <c r="C18" s="48" t="s">
        <v>114</v>
      </c>
      <c r="D18" s="48" t="s">
        <v>115</v>
      </c>
      <c r="E18" s="117" t="s">
        <v>145</v>
      </c>
      <c r="F18" s="72">
        <v>1979</v>
      </c>
      <c r="G18" s="72">
        <v>2015</v>
      </c>
      <c r="H18" s="50">
        <f>G18+15-1</f>
        <v>2029</v>
      </c>
      <c r="I18" s="73">
        <v>98</v>
      </c>
      <c r="J18" s="74">
        <v>41242</v>
      </c>
      <c r="K18" s="75" t="s">
        <v>48</v>
      </c>
      <c r="L18" s="76">
        <v>1E-4</v>
      </c>
      <c r="M18" s="145">
        <v>0.998</v>
      </c>
      <c r="N18" s="165">
        <v>1</v>
      </c>
      <c r="O18" s="171" t="s">
        <v>185</v>
      </c>
      <c r="P18" s="56">
        <v>1192619</v>
      </c>
      <c r="Q18" s="56">
        <f t="shared" si="3"/>
        <v>629056</v>
      </c>
      <c r="R18" s="57">
        <f t="shared" ref="R18:R22" si="22">+Q18/P18</f>
        <v>0.52745763735107354</v>
      </c>
      <c r="S18" s="56">
        <f t="shared" ref="S18:S22" si="23">+P18-Q18</f>
        <v>563563</v>
      </c>
      <c r="T18" s="157">
        <v>42735</v>
      </c>
      <c r="U18" s="158" t="s">
        <v>182</v>
      </c>
      <c r="V18" s="58">
        <f>30653.67*12</f>
        <v>367844.04</v>
      </c>
      <c r="W18" s="59">
        <f t="shared" ref="W18:W20" si="24">IF(S18&gt;0,S18/V18,0)</f>
        <v>1.5320704937886176</v>
      </c>
      <c r="X18" s="58">
        <f>S18/Y18</f>
        <v>10246600</v>
      </c>
      <c r="Y18" s="60">
        <f>exit_cap_rate-50/10000</f>
        <v>5.5E-2</v>
      </c>
      <c r="Z18" s="55">
        <f t="shared" si="9"/>
        <v>42735</v>
      </c>
      <c r="AA18" s="62" t="s">
        <v>78</v>
      </c>
      <c r="AB18" s="62" t="s">
        <v>164</v>
      </c>
      <c r="AC18" s="58">
        <v>7153800</v>
      </c>
      <c r="AD18" s="63">
        <v>41760</v>
      </c>
      <c r="AE18" s="56">
        <f>6895083+106409</f>
        <v>7001492</v>
      </c>
      <c r="AF18" s="115">
        <v>54575</v>
      </c>
      <c r="AG18" s="56">
        <v>2250000</v>
      </c>
      <c r="AH18" s="115">
        <v>56766</v>
      </c>
      <c r="AI18" s="58">
        <f t="shared" si="21"/>
        <v>9251492</v>
      </c>
      <c r="AJ18" s="77" t="s">
        <v>94</v>
      </c>
      <c r="AK18" s="77" t="s">
        <v>94</v>
      </c>
      <c r="AL18" s="78">
        <v>0</v>
      </c>
      <c r="AM18" s="79" t="s">
        <v>51</v>
      </c>
      <c r="AN18" s="54">
        <v>3.7600000000000001E-2</v>
      </c>
      <c r="AO18" s="54"/>
      <c r="AP18" s="54"/>
      <c r="AQ18" s="80"/>
      <c r="AR18" s="68">
        <f t="shared" si="10"/>
        <v>195718.96000000002</v>
      </c>
      <c r="AS18" s="68">
        <f t="shared" si="1"/>
        <v>19.571896000000002</v>
      </c>
      <c r="AT18" s="68">
        <f t="shared" si="11"/>
        <v>99.510800000000003</v>
      </c>
      <c r="AU18" s="81" t="s">
        <v>52</v>
      </c>
      <c r="AV18" s="25"/>
      <c r="AW18" s="149">
        <v>259448</v>
      </c>
      <c r="AX18" s="149">
        <v>33803</v>
      </c>
      <c r="AY18" s="149">
        <v>142649</v>
      </c>
      <c r="AZ18" s="149">
        <v>184168</v>
      </c>
      <c r="BA18" s="149">
        <f>267726+31247</f>
        <v>298973</v>
      </c>
      <c r="BB18" s="149">
        <v>111768</v>
      </c>
      <c r="BC18" s="149">
        <f>3838+5150</f>
        <v>8988</v>
      </c>
      <c r="BD18" s="149">
        <f>352838+1202</f>
        <v>354040</v>
      </c>
      <c r="BE18" s="149">
        <f t="shared" si="12"/>
        <v>1393837</v>
      </c>
      <c r="BF18" s="149"/>
      <c r="BG18" s="149">
        <f t="shared" si="13"/>
        <v>629056</v>
      </c>
      <c r="BH18" s="149">
        <f t="shared" si="14"/>
        <v>298973</v>
      </c>
      <c r="BI18" s="149">
        <v>106409</v>
      </c>
      <c r="BJ18" s="149">
        <f t="shared" si="15"/>
        <v>405382</v>
      </c>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row>
    <row r="19" spans="1:119" s="8" customFormat="1" ht="33" customHeight="1">
      <c r="A19" s="46">
        <f t="shared" si="16"/>
        <v>15</v>
      </c>
      <c r="B19" s="109" t="s">
        <v>97</v>
      </c>
      <c r="C19" s="48" t="s">
        <v>92</v>
      </c>
      <c r="D19" s="48" t="s">
        <v>93</v>
      </c>
      <c r="E19" s="49" t="s">
        <v>47</v>
      </c>
      <c r="F19" s="72">
        <v>2012</v>
      </c>
      <c r="G19" s="50" t="s">
        <v>94</v>
      </c>
      <c r="H19" s="50">
        <v>2027</v>
      </c>
      <c r="I19" s="51">
        <v>100</v>
      </c>
      <c r="J19" s="52">
        <f>DATE(2012,3,2)</f>
        <v>40970</v>
      </c>
      <c r="K19" s="53" t="s">
        <v>48</v>
      </c>
      <c r="L19" s="82">
        <v>1E-4</v>
      </c>
      <c r="M19" s="145">
        <v>0.97</v>
      </c>
      <c r="N19" s="165">
        <v>0.98</v>
      </c>
      <c r="O19" s="171" t="s">
        <v>185</v>
      </c>
      <c r="P19" s="161">
        <v>745829</v>
      </c>
      <c r="Q19" s="56">
        <f t="shared" ref="Q19:Q28" si="25">BG19</f>
        <v>588042</v>
      </c>
      <c r="R19" s="57">
        <f t="shared" si="22"/>
        <v>0.78844078200230883</v>
      </c>
      <c r="S19" s="56">
        <f t="shared" si="23"/>
        <v>157787</v>
      </c>
      <c r="T19" s="157">
        <v>42735</v>
      </c>
      <c r="U19" s="158" t="s">
        <v>183</v>
      </c>
      <c r="V19" s="58">
        <f>BJ19</f>
        <v>45470</v>
      </c>
      <c r="W19" s="59">
        <f t="shared" si="24"/>
        <v>3.4701341543875084</v>
      </c>
      <c r="X19" s="58">
        <f t="shared" ref="X19:X22" si="26">S19/Y19</f>
        <v>2629783.3333333335</v>
      </c>
      <c r="Y19" s="60">
        <f>exit_cap_rate</f>
        <v>0.06</v>
      </c>
      <c r="Z19" s="55">
        <f t="shared" si="9"/>
        <v>42735</v>
      </c>
      <c r="AA19" s="83" t="s">
        <v>61</v>
      </c>
      <c r="AB19" s="83" t="s">
        <v>50</v>
      </c>
      <c r="AC19" s="68">
        <v>600000</v>
      </c>
      <c r="AD19" s="63">
        <v>41568</v>
      </c>
      <c r="AE19" s="114">
        <f>577848+7676</f>
        <v>585524</v>
      </c>
      <c r="AF19" s="115">
        <v>47058</v>
      </c>
      <c r="AG19" s="56">
        <f>648290+750000+661000</f>
        <v>2059290</v>
      </c>
      <c r="AH19" s="115">
        <v>56189</v>
      </c>
      <c r="AI19" s="58">
        <f t="shared" si="21"/>
        <v>2644814</v>
      </c>
      <c r="AJ19" s="77" t="s">
        <v>165</v>
      </c>
      <c r="AK19" s="77" t="s">
        <v>94</v>
      </c>
      <c r="AL19" s="64">
        <v>0</v>
      </c>
      <c r="AM19" s="65" t="s">
        <v>51</v>
      </c>
      <c r="AN19" s="66">
        <v>6.5000000000000002E-2</v>
      </c>
      <c r="AO19" s="66"/>
      <c r="AP19" s="66"/>
      <c r="AQ19" s="67"/>
      <c r="AR19" s="68">
        <f t="shared" ref="AR19" si="27">S19-V19</f>
        <v>112317</v>
      </c>
      <c r="AS19" s="68">
        <f t="shared" si="1"/>
        <v>11.2317</v>
      </c>
      <c r="AT19" s="68">
        <f t="shared" si="11"/>
        <v>-1.5030666666666512</v>
      </c>
      <c r="AU19" s="81" t="s">
        <v>52</v>
      </c>
      <c r="AV19" s="7"/>
      <c r="AW19" s="149">
        <v>169611</v>
      </c>
      <c r="AX19" s="149">
        <v>80393</v>
      </c>
      <c r="AY19" s="149">
        <v>199616</v>
      </c>
      <c r="AZ19" s="149">
        <v>121178</v>
      </c>
      <c r="BA19" s="149">
        <v>37794</v>
      </c>
      <c r="BB19" s="149">
        <f>29189+12593</f>
        <v>41782</v>
      </c>
      <c r="BC19" s="149">
        <f>1780+10000+5464</f>
        <v>17244</v>
      </c>
      <c r="BD19" s="149">
        <f>491237+3733</f>
        <v>494970</v>
      </c>
      <c r="BE19" s="149">
        <f t="shared" si="12"/>
        <v>1162588</v>
      </c>
      <c r="BF19" s="149"/>
      <c r="BG19" s="149">
        <f t="shared" si="13"/>
        <v>588042</v>
      </c>
      <c r="BH19" s="149">
        <f>BA19</f>
        <v>37794</v>
      </c>
      <c r="BI19" s="149">
        <v>7676</v>
      </c>
      <c r="BJ19" s="149">
        <f t="shared" si="15"/>
        <v>45470</v>
      </c>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row>
    <row r="20" spans="1:119" s="8" customFormat="1" ht="33" customHeight="1">
      <c r="A20" s="46">
        <f t="shared" si="16"/>
        <v>16</v>
      </c>
      <c r="B20" s="47" t="s">
        <v>123</v>
      </c>
      <c r="C20" s="48" t="s">
        <v>127</v>
      </c>
      <c r="D20" s="48" t="s">
        <v>129</v>
      </c>
      <c r="E20" s="117" t="s">
        <v>145</v>
      </c>
      <c r="F20" s="72">
        <v>1978</v>
      </c>
      <c r="G20" s="72">
        <v>2015</v>
      </c>
      <c r="H20" s="50">
        <f>G20+15-1</f>
        <v>2029</v>
      </c>
      <c r="I20" s="51">
        <v>130</v>
      </c>
      <c r="J20" s="52">
        <v>41760</v>
      </c>
      <c r="K20" s="53" t="s">
        <v>48</v>
      </c>
      <c r="L20" s="82">
        <v>1E-4</v>
      </c>
      <c r="M20" s="145">
        <v>0.995</v>
      </c>
      <c r="N20" s="165">
        <v>0.99</v>
      </c>
      <c r="O20" s="171" t="s">
        <v>185</v>
      </c>
      <c r="P20" s="161">
        <v>1914473</v>
      </c>
      <c r="Q20" s="56">
        <f>BG20</f>
        <v>792892</v>
      </c>
      <c r="R20" s="57">
        <f t="shared" si="22"/>
        <v>0.41415679406290923</v>
      </c>
      <c r="S20" s="56">
        <f t="shared" si="23"/>
        <v>1121581</v>
      </c>
      <c r="T20" s="157">
        <v>42735</v>
      </c>
      <c r="U20" s="158" t="s">
        <v>182</v>
      </c>
      <c r="V20" s="58">
        <f>BJ20</f>
        <v>795675</v>
      </c>
      <c r="W20" s="59">
        <f t="shared" si="24"/>
        <v>1.4095968831495271</v>
      </c>
      <c r="X20" s="58">
        <f t="shared" si="26"/>
        <v>20392381.818181816</v>
      </c>
      <c r="Y20" s="60">
        <f>exit_cap_rate-50/10000</f>
        <v>5.5E-2</v>
      </c>
      <c r="Z20" s="55">
        <f t="shared" si="9"/>
        <v>42735</v>
      </c>
      <c r="AA20" s="83" t="s">
        <v>78</v>
      </c>
      <c r="AB20" s="83" t="s">
        <v>138</v>
      </c>
      <c r="AC20" s="68">
        <v>14200000</v>
      </c>
      <c r="AD20" s="63">
        <v>42004</v>
      </c>
      <c r="AE20" s="114">
        <f>13787306+218736</f>
        <v>14006042</v>
      </c>
      <c r="AF20" s="115">
        <v>54758</v>
      </c>
      <c r="AG20" s="56">
        <v>3315155</v>
      </c>
      <c r="AH20" s="115">
        <v>56949</v>
      </c>
      <c r="AI20" s="58">
        <v>17623430</v>
      </c>
      <c r="AJ20" s="77" t="s">
        <v>94</v>
      </c>
      <c r="AK20" s="77" t="s">
        <v>94</v>
      </c>
      <c r="AL20" s="64">
        <v>0</v>
      </c>
      <c r="AM20" s="65" t="s">
        <v>51</v>
      </c>
      <c r="AN20" s="66">
        <v>3.4700000000000002E-2</v>
      </c>
      <c r="AO20" s="66"/>
      <c r="AP20" s="66"/>
      <c r="AQ20" s="67"/>
      <c r="AR20" s="68">
        <v>0</v>
      </c>
      <c r="AS20" s="68">
        <f t="shared" si="1"/>
        <v>0</v>
      </c>
      <c r="AT20" s="68">
        <f t="shared" si="11"/>
        <v>276.89518181818164</v>
      </c>
      <c r="AU20" s="81" t="s">
        <v>52</v>
      </c>
      <c r="AV20" s="7"/>
      <c r="AW20" s="149">
        <v>224560</v>
      </c>
      <c r="AX20" s="149">
        <v>124023</v>
      </c>
      <c r="AY20" s="149">
        <v>182861</v>
      </c>
      <c r="AZ20" s="149">
        <v>255917</v>
      </c>
      <c r="BA20" s="149">
        <f>507693+69246</f>
        <v>576939</v>
      </c>
      <c r="BB20" s="149">
        <v>73447</v>
      </c>
      <c r="BC20" s="149">
        <f>381+5150</f>
        <v>5531</v>
      </c>
      <c r="BD20" s="149">
        <f>573104+2559</f>
        <v>575663</v>
      </c>
      <c r="BE20" s="149">
        <f t="shared" si="12"/>
        <v>2018941</v>
      </c>
      <c r="BF20" s="149"/>
      <c r="BG20" s="149">
        <f t="shared" si="13"/>
        <v>792892</v>
      </c>
      <c r="BH20" s="149">
        <f t="shared" ref="BH20:BH29" si="28">BA20</f>
        <v>576939</v>
      </c>
      <c r="BI20" s="149">
        <v>218736</v>
      </c>
      <c r="BJ20" s="149">
        <f t="shared" si="15"/>
        <v>795675</v>
      </c>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row>
    <row r="21" spans="1:119" s="8" customFormat="1" ht="26.25">
      <c r="A21" s="46">
        <f t="shared" si="16"/>
        <v>17</v>
      </c>
      <c r="B21" s="47" t="s">
        <v>96</v>
      </c>
      <c r="C21" s="48" t="s">
        <v>102</v>
      </c>
      <c r="D21" s="48" t="s">
        <v>99</v>
      </c>
      <c r="E21" s="49" t="s">
        <v>47</v>
      </c>
      <c r="F21" s="72">
        <v>2014</v>
      </c>
      <c r="G21" s="50" t="s">
        <v>94</v>
      </c>
      <c r="H21" s="50">
        <f>F21+15-1</f>
        <v>2028</v>
      </c>
      <c r="I21" s="51">
        <v>90</v>
      </c>
      <c r="J21" s="52">
        <f>DATE(2013,3,28)</f>
        <v>41361</v>
      </c>
      <c r="K21" s="53" t="s">
        <v>48</v>
      </c>
      <c r="L21" s="82">
        <v>1E-4</v>
      </c>
      <c r="M21" s="146">
        <v>0.96099999999999997</v>
      </c>
      <c r="N21" s="166">
        <v>0.98</v>
      </c>
      <c r="O21" s="171" t="s">
        <v>185</v>
      </c>
      <c r="P21" s="163">
        <v>766486</v>
      </c>
      <c r="Q21" s="56">
        <f t="shared" si="25"/>
        <v>476245.21</v>
      </c>
      <c r="R21" s="57">
        <f t="shared" si="22"/>
        <v>0.62133582348536054</v>
      </c>
      <c r="S21" s="56">
        <f t="shared" si="23"/>
        <v>290240.78999999998</v>
      </c>
      <c r="T21" s="159">
        <v>42735</v>
      </c>
      <c r="U21" s="158" t="s">
        <v>182</v>
      </c>
      <c r="V21" s="58">
        <f>158119+23878+71735</f>
        <v>253732</v>
      </c>
      <c r="W21" s="59">
        <f t="shared" ref="W21:W22" si="29">IF(S21&gt;0,S21/V21,0)</f>
        <v>1.1438872117036873</v>
      </c>
      <c r="X21" s="58">
        <f t="shared" si="26"/>
        <v>4837346.5</v>
      </c>
      <c r="Y21" s="60">
        <f t="shared" ref="Y21:Y27" si="30">exit_cap_rate</f>
        <v>0.06</v>
      </c>
      <c r="Z21" s="55">
        <f t="shared" si="9"/>
        <v>42735</v>
      </c>
      <c r="AA21" s="70" t="s">
        <v>78</v>
      </c>
      <c r="AB21" s="83" t="s">
        <v>156</v>
      </c>
      <c r="AC21" s="68">
        <v>5368000</v>
      </c>
      <c r="AD21" s="63">
        <v>41852</v>
      </c>
      <c r="AE21" s="114">
        <f>5193088+73908</f>
        <v>5266996</v>
      </c>
      <c r="AF21" s="115">
        <v>56462</v>
      </c>
      <c r="AG21" s="114">
        <v>3410559</v>
      </c>
      <c r="AH21" s="115">
        <v>56462</v>
      </c>
      <c r="AI21" s="68">
        <v>8964821</v>
      </c>
      <c r="AJ21" s="77" t="s">
        <v>94</v>
      </c>
      <c r="AK21" s="77" t="s">
        <v>94</v>
      </c>
      <c r="AL21" s="64">
        <v>0</v>
      </c>
      <c r="AM21" s="65" t="s">
        <v>51</v>
      </c>
      <c r="AN21" s="71">
        <v>2.98E-2</v>
      </c>
      <c r="AO21" s="66"/>
      <c r="AP21" s="66"/>
      <c r="AQ21" s="67"/>
      <c r="AR21" s="68">
        <v>38811</v>
      </c>
      <c r="AS21" s="68">
        <f t="shared" si="1"/>
        <v>3.8811</v>
      </c>
      <c r="AT21" s="68">
        <f t="shared" si="11"/>
        <v>-412.74745000000001</v>
      </c>
      <c r="AU21" s="69" t="s">
        <v>52</v>
      </c>
      <c r="AV21" s="162"/>
      <c r="AW21" s="149">
        <v>194586</v>
      </c>
      <c r="AX21" s="149">
        <v>35363</v>
      </c>
      <c r="AY21" s="149">
        <v>160679</v>
      </c>
      <c r="AZ21" s="149">
        <v>88448</v>
      </c>
      <c r="BA21" s="149">
        <f>160979+18406</f>
        <v>179385</v>
      </c>
      <c r="BB21" s="149">
        <v>124788</v>
      </c>
      <c r="BC21" s="149">
        <f>5951+5305</f>
        <v>11256</v>
      </c>
      <c r="BD21" s="149">
        <f>438444+1527</f>
        <v>439971</v>
      </c>
      <c r="BE21" s="149">
        <f t="shared" si="12"/>
        <v>1234476</v>
      </c>
      <c r="BF21" s="149">
        <f>5730+6155.52+2201.27</f>
        <v>14086.79</v>
      </c>
      <c r="BG21" s="149">
        <f>BE21-BD21-BB21-BA21-BF21</f>
        <v>476245.21</v>
      </c>
      <c r="BH21" s="149">
        <f t="shared" si="28"/>
        <v>179385</v>
      </c>
      <c r="BI21" s="149">
        <v>73905</v>
      </c>
      <c r="BJ21" s="149">
        <f t="shared" si="15"/>
        <v>253290</v>
      </c>
      <c r="BK21" s="7" t="s">
        <v>199</v>
      </c>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row>
    <row r="22" spans="1:119" s="8" customFormat="1" ht="31.5" customHeight="1">
      <c r="A22" s="46">
        <f t="shared" si="16"/>
        <v>18</v>
      </c>
      <c r="B22" s="47" t="s">
        <v>98</v>
      </c>
      <c r="C22" s="48" t="s">
        <v>101</v>
      </c>
      <c r="D22" s="48" t="s">
        <v>100</v>
      </c>
      <c r="E22" s="49" t="s">
        <v>47</v>
      </c>
      <c r="F22" s="72">
        <v>2014</v>
      </c>
      <c r="G22" s="50" t="s">
        <v>94</v>
      </c>
      <c r="H22" s="50">
        <f>F22+15-1</f>
        <v>2028</v>
      </c>
      <c r="I22" s="51">
        <v>102</v>
      </c>
      <c r="J22" s="52">
        <f>DATE(2013,3,28)</f>
        <v>41361</v>
      </c>
      <c r="K22" s="53" t="s">
        <v>48</v>
      </c>
      <c r="L22" s="82">
        <v>1E-4</v>
      </c>
      <c r="M22" s="146">
        <v>0.96199999999999997</v>
      </c>
      <c r="N22" s="168">
        <v>0.95</v>
      </c>
      <c r="O22" s="171" t="s">
        <v>185</v>
      </c>
      <c r="P22" s="163">
        <v>886046</v>
      </c>
      <c r="Q22" s="56">
        <f t="shared" si="25"/>
        <v>571790.91</v>
      </c>
      <c r="R22" s="57">
        <f t="shared" si="22"/>
        <v>0.64532869625279055</v>
      </c>
      <c r="S22" s="56">
        <f t="shared" si="23"/>
        <v>314255.08999999997</v>
      </c>
      <c r="T22" s="159">
        <v>42735</v>
      </c>
      <c r="U22" s="158" t="s">
        <v>182</v>
      </c>
      <c r="V22" s="58">
        <f>194999+29784+88469</f>
        <v>313252</v>
      </c>
      <c r="W22" s="59">
        <f t="shared" si="29"/>
        <v>1.0032021822685888</v>
      </c>
      <c r="X22" s="58">
        <f t="shared" si="26"/>
        <v>5237584.833333333</v>
      </c>
      <c r="Y22" s="60">
        <f t="shared" si="30"/>
        <v>0.06</v>
      </c>
      <c r="Z22" s="55">
        <f t="shared" si="9"/>
        <v>42735</v>
      </c>
      <c r="AA22" s="70" t="s">
        <v>78</v>
      </c>
      <c r="AB22" s="83" t="s">
        <v>157</v>
      </c>
      <c r="AC22" s="68">
        <v>6620000</v>
      </c>
      <c r="AD22" s="63">
        <v>41852</v>
      </c>
      <c r="AE22" s="114">
        <f>6404297+91142</f>
        <v>6495439</v>
      </c>
      <c r="AF22" s="115">
        <v>56462</v>
      </c>
      <c r="AG22" s="114">
        <v>3862767</v>
      </c>
      <c r="AH22" s="115">
        <v>56462</v>
      </c>
      <c r="AI22" s="68">
        <v>10732767</v>
      </c>
      <c r="AJ22" s="77" t="s">
        <v>94</v>
      </c>
      <c r="AK22" s="77" t="s">
        <v>94</v>
      </c>
      <c r="AL22" s="64">
        <v>0</v>
      </c>
      <c r="AM22" s="65" t="s">
        <v>51</v>
      </c>
      <c r="AN22" s="66">
        <v>2.98E-2</v>
      </c>
      <c r="AO22" s="66"/>
      <c r="AP22" s="66"/>
      <c r="AQ22" s="67"/>
      <c r="AR22" s="68">
        <v>52476</v>
      </c>
      <c r="AS22" s="68">
        <f t="shared" si="1"/>
        <v>5.2476000000000003</v>
      </c>
      <c r="AT22" s="68">
        <f t="shared" si="11"/>
        <v>-549.51821666666672</v>
      </c>
      <c r="AU22" s="69" t="s">
        <v>52</v>
      </c>
      <c r="AV22" s="7"/>
      <c r="AW22" s="149">
        <v>228336</v>
      </c>
      <c r="AX22" s="149">
        <v>28369</v>
      </c>
      <c r="AY22" s="149">
        <v>210509</v>
      </c>
      <c r="AZ22" s="149">
        <v>114904</v>
      </c>
      <c r="BA22" s="149">
        <f>199886+22326</f>
        <v>222212</v>
      </c>
      <c r="BB22" s="149">
        <v>63906</v>
      </c>
      <c r="BC22" s="149">
        <f>5649+3400</f>
        <v>9049</v>
      </c>
      <c r="BD22" s="149">
        <f>432720+1199</f>
        <v>433919</v>
      </c>
      <c r="BE22" s="149">
        <f t="shared" si="12"/>
        <v>1311204</v>
      </c>
      <c r="BF22" s="149">
        <f>1675+3769.23+3251.51+3876.27+6804.08</f>
        <v>19376.09</v>
      </c>
      <c r="BG22" s="149">
        <f>BE22-BD22-BB22-BA22-BF22</f>
        <v>571790.91</v>
      </c>
      <c r="BH22" s="149">
        <f t="shared" si="28"/>
        <v>222212</v>
      </c>
      <c r="BI22" s="149">
        <v>91142</v>
      </c>
      <c r="BJ22" s="149">
        <f t="shared" si="15"/>
        <v>313354</v>
      </c>
      <c r="BK22" s="7" t="s">
        <v>198</v>
      </c>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row>
    <row r="23" spans="1:119" s="8" customFormat="1" ht="39">
      <c r="A23" s="46">
        <f t="shared" si="16"/>
        <v>19</v>
      </c>
      <c r="B23" s="47" t="s">
        <v>132</v>
      </c>
      <c r="C23" s="48" t="s">
        <v>135</v>
      </c>
      <c r="D23" s="48" t="s">
        <v>133</v>
      </c>
      <c r="E23" s="49" t="s">
        <v>145</v>
      </c>
      <c r="F23" s="113" t="s">
        <v>140</v>
      </c>
      <c r="G23" s="50">
        <v>2015</v>
      </c>
      <c r="H23" s="112">
        <v>2029</v>
      </c>
      <c r="I23" s="51">
        <v>101</v>
      </c>
      <c r="J23" s="52">
        <v>41674</v>
      </c>
      <c r="K23" s="53" t="s">
        <v>54</v>
      </c>
      <c r="L23" s="154">
        <v>4.5000000000000003E-5</v>
      </c>
      <c r="M23" s="166">
        <v>0.97</v>
      </c>
      <c r="N23" s="168">
        <v>0.97</v>
      </c>
      <c r="O23" s="171" t="s">
        <v>185</v>
      </c>
      <c r="P23" s="164">
        <v>1285209</v>
      </c>
      <c r="Q23" s="164">
        <f t="shared" si="25"/>
        <v>950381</v>
      </c>
      <c r="R23" s="133">
        <f>+Q23/P23</f>
        <v>0.739475836225859</v>
      </c>
      <c r="S23" s="134">
        <f>+P23-Q23</f>
        <v>334828</v>
      </c>
      <c r="T23" s="155">
        <v>42735</v>
      </c>
      <c r="U23" s="156" t="s">
        <v>184</v>
      </c>
      <c r="V23" s="134">
        <f>277452</f>
        <v>277452</v>
      </c>
      <c r="W23" s="135">
        <f>IF(S23&gt;0,S23/V23,0)</f>
        <v>1.2067961305018526</v>
      </c>
      <c r="X23" s="136">
        <f>+S23/Y23</f>
        <v>5580466.666666667</v>
      </c>
      <c r="Y23" s="60">
        <f t="shared" si="30"/>
        <v>0.06</v>
      </c>
      <c r="Z23" s="55">
        <f t="shared" si="9"/>
        <v>42735</v>
      </c>
      <c r="AA23" s="70" t="s">
        <v>78</v>
      </c>
      <c r="AB23" s="83" t="s">
        <v>134</v>
      </c>
      <c r="AC23" s="68">
        <v>4795000</v>
      </c>
      <c r="AD23" s="63">
        <v>42042</v>
      </c>
      <c r="AE23" s="114">
        <v>4174483</v>
      </c>
      <c r="AF23" s="115">
        <v>53053</v>
      </c>
      <c r="AG23" s="114">
        <v>4299542</v>
      </c>
      <c r="AH23" s="115">
        <v>53022</v>
      </c>
      <c r="AI23" s="68">
        <v>9094542</v>
      </c>
      <c r="AJ23" s="77" t="s">
        <v>94</v>
      </c>
      <c r="AK23" s="77" t="s">
        <v>94</v>
      </c>
      <c r="AL23" s="64">
        <v>0</v>
      </c>
      <c r="AM23" s="65" t="s">
        <v>51</v>
      </c>
      <c r="AN23" s="66">
        <v>0.05</v>
      </c>
      <c r="AO23" s="66"/>
      <c r="AP23" s="66"/>
      <c r="AQ23" s="67"/>
      <c r="AR23" s="68">
        <v>158849</v>
      </c>
      <c r="AS23" s="68">
        <f t="shared" si="1"/>
        <v>7.1482050000000008</v>
      </c>
      <c r="AT23" s="68">
        <f t="shared" si="11"/>
        <v>-158.13338999999999</v>
      </c>
      <c r="AU23" s="69" t="s">
        <v>52</v>
      </c>
      <c r="AV23" s="7"/>
      <c r="AW23" s="149">
        <v>198087</v>
      </c>
      <c r="AX23" s="149">
        <v>119190</v>
      </c>
      <c r="AY23" s="149">
        <v>346172</v>
      </c>
      <c r="AZ23" s="149">
        <v>190442</v>
      </c>
      <c r="BA23" s="149">
        <v>464695</v>
      </c>
      <c r="BB23" s="149"/>
      <c r="BC23" s="149">
        <v>96490</v>
      </c>
      <c r="BD23" s="149">
        <f>274072+1098</f>
        <v>275170</v>
      </c>
      <c r="BE23" s="149">
        <f t="shared" si="12"/>
        <v>1690246</v>
      </c>
      <c r="BF23" s="149"/>
      <c r="BG23" s="149">
        <f t="shared" si="13"/>
        <v>950381</v>
      </c>
      <c r="BH23" s="149">
        <f t="shared" si="28"/>
        <v>464695</v>
      </c>
      <c r="BI23" s="149"/>
      <c r="BJ23" s="149">
        <f t="shared" si="15"/>
        <v>464695</v>
      </c>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row>
    <row r="24" spans="1:119" s="110" customFormat="1" ht="33" customHeight="1">
      <c r="A24" s="46">
        <f t="shared" si="16"/>
        <v>20</v>
      </c>
      <c r="B24" s="47" t="s">
        <v>124</v>
      </c>
      <c r="C24" s="48" t="s">
        <v>128</v>
      </c>
      <c r="D24" s="48" t="s">
        <v>130</v>
      </c>
      <c r="E24" s="49" t="s">
        <v>53</v>
      </c>
      <c r="F24" s="72">
        <v>2015</v>
      </c>
      <c r="G24" s="72" t="s">
        <v>94</v>
      </c>
      <c r="H24" s="50">
        <f>F24+15-1</f>
        <v>2029</v>
      </c>
      <c r="I24" s="51">
        <v>76</v>
      </c>
      <c r="J24" s="52">
        <v>41724</v>
      </c>
      <c r="K24" s="53" t="s">
        <v>48</v>
      </c>
      <c r="L24" s="82">
        <v>1E-4</v>
      </c>
      <c r="M24" s="145">
        <v>0.97199999999999998</v>
      </c>
      <c r="N24" s="165">
        <v>0.97</v>
      </c>
      <c r="O24" s="171" t="s">
        <v>185</v>
      </c>
      <c r="P24" s="164">
        <v>632325</v>
      </c>
      <c r="Q24" s="164">
        <f t="shared" si="25"/>
        <v>419065</v>
      </c>
      <c r="R24" s="144">
        <f t="shared" ref="R24:R27" si="31">+Q24/P24</f>
        <v>0.66273672557624641</v>
      </c>
      <c r="S24" s="137">
        <f t="shared" ref="S24:S27" si="32">+P24-Q24</f>
        <v>213260</v>
      </c>
      <c r="T24" s="155">
        <v>42735</v>
      </c>
      <c r="U24" s="156" t="s">
        <v>184</v>
      </c>
      <c r="V24" s="136">
        <v>134643</v>
      </c>
      <c r="W24" s="135">
        <f t="shared" ref="W24:W28" si="33">IF(S24&gt;0,S24/V24,0)</f>
        <v>1.5838922186819961</v>
      </c>
      <c r="X24" s="136">
        <f t="shared" ref="X24:X25" si="34">+S24/Y24</f>
        <v>3554333.3333333335</v>
      </c>
      <c r="Y24" s="60">
        <f t="shared" si="30"/>
        <v>0.06</v>
      </c>
      <c r="Z24" s="55">
        <f t="shared" si="9"/>
        <v>42735</v>
      </c>
      <c r="AA24" s="83" t="s">
        <v>78</v>
      </c>
      <c r="AB24" s="83" t="s">
        <v>173</v>
      </c>
      <c r="AC24" s="68">
        <v>2159000</v>
      </c>
      <c r="AD24" s="63">
        <v>41710</v>
      </c>
      <c r="AE24" s="114">
        <f>2133484+17645</f>
        <v>2151129</v>
      </c>
      <c r="AF24" s="115">
        <v>56340</v>
      </c>
      <c r="AG24" s="56">
        <v>1707240</v>
      </c>
      <c r="AH24" s="115">
        <v>56340</v>
      </c>
      <c r="AI24" s="58">
        <v>3866240</v>
      </c>
      <c r="AJ24" s="77" t="s">
        <v>94</v>
      </c>
      <c r="AK24" s="77" t="s">
        <v>94</v>
      </c>
      <c r="AL24" s="64">
        <v>0</v>
      </c>
      <c r="AM24" s="65" t="s">
        <v>51</v>
      </c>
      <c r="AN24" s="66">
        <v>0.05</v>
      </c>
      <c r="AO24" s="66"/>
      <c r="AP24" s="66"/>
      <c r="AQ24" s="67"/>
      <c r="AR24" s="68">
        <v>35911</v>
      </c>
      <c r="AS24" s="68">
        <f t="shared" si="1"/>
        <v>3.5911</v>
      </c>
      <c r="AT24" s="68">
        <f t="shared" si="11"/>
        <v>-31.190666666666651</v>
      </c>
      <c r="AU24" s="81" t="s">
        <v>52</v>
      </c>
      <c r="AV24" s="7"/>
      <c r="AW24" s="149">
        <v>171775</v>
      </c>
      <c r="AX24" s="149">
        <v>45414</v>
      </c>
      <c r="AY24" s="149">
        <v>109940</v>
      </c>
      <c r="AZ24" s="149">
        <v>86278</v>
      </c>
      <c r="BA24" s="149">
        <f>123925+3239</f>
        <v>127164</v>
      </c>
      <c r="BB24" s="149">
        <v>18207</v>
      </c>
      <c r="BC24" s="149">
        <f>508+5150</f>
        <v>5658</v>
      </c>
      <c r="BD24" s="149">
        <f>463281+3632</f>
        <v>466913</v>
      </c>
      <c r="BE24" s="149">
        <f>SUM(AW24:BD24)</f>
        <v>1031349</v>
      </c>
      <c r="BF24" s="149"/>
      <c r="BG24" s="149">
        <f t="shared" si="13"/>
        <v>419065</v>
      </c>
      <c r="BH24" s="149">
        <f>BA24</f>
        <v>127164</v>
      </c>
      <c r="BI24" s="149">
        <v>15487</v>
      </c>
      <c r="BJ24" s="149">
        <f>BI24+BH24</f>
        <v>142651</v>
      </c>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row>
    <row r="25" spans="1:119" s="110" customFormat="1" ht="33.75" customHeight="1">
      <c r="A25" s="46">
        <f t="shared" si="16"/>
        <v>21</v>
      </c>
      <c r="B25" s="47" t="s">
        <v>136</v>
      </c>
      <c r="C25" s="48" t="s">
        <v>142</v>
      </c>
      <c r="D25" s="48" t="s">
        <v>181</v>
      </c>
      <c r="E25" s="49" t="s">
        <v>53</v>
      </c>
      <c r="F25" s="72">
        <v>2015</v>
      </c>
      <c r="G25" s="50" t="s">
        <v>94</v>
      </c>
      <c r="H25" s="50">
        <v>2030</v>
      </c>
      <c r="I25" s="73">
        <v>48</v>
      </c>
      <c r="J25" s="52">
        <v>41816</v>
      </c>
      <c r="K25" s="53" t="s">
        <v>48</v>
      </c>
      <c r="L25" s="82">
        <v>5.0000000000000002E-5</v>
      </c>
      <c r="M25" s="146">
        <v>0.98499999999999999</v>
      </c>
      <c r="N25" s="169">
        <v>0.94</v>
      </c>
      <c r="O25" s="171" t="s">
        <v>185</v>
      </c>
      <c r="P25" s="164">
        <v>564784</v>
      </c>
      <c r="Q25" s="164">
        <f t="shared" si="25"/>
        <v>329869</v>
      </c>
      <c r="R25" s="144">
        <f t="shared" si="31"/>
        <v>0.58406222555879772</v>
      </c>
      <c r="S25" s="137">
        <f t="shared" si="32"/>
        <v>234915</v>
      </c>
      <c r="T25" s="155">
        <v>42735</v>
      </c>
      <c r="U25" s="158" t="s">
        <v>184</v>
      </c>
      <c r="V25" s="134">
        <v>143975</v>
      </c>
      <c r="W25" s="135">
        <f t="shared" si="33"/>
        <v>1.6316374370550444</v>
      </c>
      <c r="X25" s="136">
        <f t="shared" si="34"/>
        <v>3915250</v>
      </c>
      <c r="Y25" s="60">
        <f t="shared" si="30"/>
        <v>0.06</v>
      </c>
      <c r="Z25" s="55">
        <f t="shared" si="9"/>
        <v>42735</v>
      </c>
      <c r="AA25" s="70" t="s">
        <v>61</v>
      </c>
      <c r="AB25" s="83" t="s">
        <v>50</v>
      </c>
      <c r="AC25" s="68">
        <v>2300000</v>
      </c>
      <c r="AD25" s="63">
        <v>41816</v>
      </c>
      <c r="AE25" s="114">
        <v>2300000</v>
      </c>
      <c r="AF25" s="115">
        <f>AD25+365*17</f>
        <v>48021</v>
      </c>
      <c r="AG25" s="114">
        <v>1400000</v>
      </c>
      <c r="AH25" s="115">
        <v>20271</v>
      </c>
      <c r="AI25" s="68">
        <v>3480000</v>
      </c>
      <c r="AJ25" s="77" t="s">
        <v>165</v>
      </c>
      <c r="AK25" s="77" t="s">
        <v>94</v>
      </c>
      <c r="AL25" s="64">
        <v>0</v>
      </c>
      <c r="AM25" s="65" t="s">
        <v>51</v>
      </c>
      <c r="AN25" s="66">
        <v>6.5500000000000003E-2</v>
      </c>
      <c r="AO25" s="66"/>
      <c r="AP25" s="66"/>
      <c r="AQ25" s="67"/>
      <c r="AR25" s="68">
        <v>20163</v>
      </c>
      <c r="AS25" s="68">
        <f t="shared" si="1"/>
        <v>1.0081500000000001</v>
      </c>
      <c r="AT25" s="68">
        <f t="shared" si="11"/>
        <v>21.762499999999999</v>
      </c>
      <c r="AU25" s="69" t="s">
        <v>52</v>
      </c>
      <c r="AV25" s="7"/>
      <c r="AW25" s="149">
        <v>156445</v>
      </c>
      <c r="AX25" s="149">
        <v>11227</v>
      </c>
      <c r="AY25" s="149">
        <v>70255</v>
      </c>
      <c r="AZ25" s="149">
        <v>83986</v>
      </c>
      <c r="BA25" s="149">
        <v>96769</v>
      </c>
      <c r="BB25" s="149">
        <v>40000</v>
      </c>
      <c r="BC25" s="149">
        <f>2806+5150</f>
        <v>7956</v>
      </c>
      <c r="BD25" s="149">
        <f>727029+6165</f>
        <v>733194</v>
      </c>
      <c r="BE25" s="149">
        <f t="shared" si="12"/>
        <v>1199832</v>
      </c>
      <c r="BF25" s="149"/>
      <c r="BG25" s="149">
        <f t="shared" si="13"/>
        <v>329869</v>
      </c>
      <c r="BH25" s="149">
        <f t="shared" si="28"/>
        <v>96769</v>
      </c>
      <c r="BI25" s="149"/>
      <c r="BJ25" s="149">
        <f t="shared" si="15"/>
        <v>96769</v>
      </c>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row>
    <row r="26" spans="1:119" s="8" customFormat="1" ht="31.5" customHeight="1">
      <c r="A26" s="46">
        <f t="shared" si="16"/>
        <v>22</v>
      </c>
      <c r="B26" s="47" t="s">
        <v>153</v>
      </c>
      <c r="C26" s="48" t="s">
        <v>179</v>
      </c>
      <c r="D26" s="48" t="s">
        <v>139</v>
      </c>
      <c r="E26" s="49" t="s">
        <v>53</v>
      </c>
      <c r="F26" s="72">
        <v>2016</v>
      </c>
      <c r="G26" s="50" t="s">
        <v>94</v>
      </c>
      <c r="H26" s="50">
        <v>2031</v>
      </c>
      <c r="I26" s="51">
        <v>68</v>
      </c>
      <c r="J26" s="52">
        <v>42146</v>
      </c>
      <c r="K26" s="53" t="s">
        <v>48</v>
      </c>
      <c r="L26" s="82">
        <v>1E-4</v>
      </c>
      <c r="M26" s="146"/>
      <c r="N26" s="166">
        <v>1</v>
      </c>
      <c r="O26" s="171" t="s">
        <v>185</v>
      </c>
      <c r="P26" s="164">
        <v>647582</v>
      </c>
      <c r="Q26" s="164">
        <f t="shared" si="25"/>
        <v>291140</v>
      </c>
      <c r="R26" s="144">
        <f t="shared" si="31"/>
        <v>0.44958013039275335</v>
      </c>
      <c r="S26" s="137">
        <f t="shared" si="32"/>
        <v>356442</v>
      </c>
      <c r="T26" s="155">
        <v>42735</v>
      </c>
      <c r="U26" s="156" t="s">
        <v>187</v>
      </c>
      <c r="V26" s="134">
        <v>178764</v>
      </c>
      <c r="W26" s="138">
        <f t="shared" si="33"/>
        <v>1.993924951332483</v>
      </c>
      <c r="X26" s="136">
        <f>+S26/Y26</f>
        <v>5940700</v>
      </c>
      <c r="Y26" s="60">
        <f t="shared" si="30"/>
        <v>0.06</v>
      </c>
      <c r="Z26" s="55">
        <f t="shared" si="9"/>
        <v>42735</v>
      </c>
      <c r="AA26" s="139" t="s">
        <v>152</v>
      </c>
      <c r="AB26" s="140" t="s">
        <v>50</v>
      </c>
      <c r="AC26" s="136">
        <v>2653000</v>
      </c>
      <c r="AD26" s="63">
        <v>42146</v>
      </c>
      <c r="AE26" s="137">
        <v>2653000</v>
      </c>
      <c r="AF26" s="115">
        <f>AD26+20*365+14</f>
        <v>49460</v>
      </c>
      <c r="AG26" s="136">
        <f>1484000+870000+500000+1400000</f>
        <v>4254000</v>
      </c>
      <c r="AH26" s="141">
        <v>57497</v>
      </c>
      <c r="AI26" s="136">
        <f t="shared" ref="AI26:AI28" si="35">AG26+AE26</f>
        <v>6907000</v>
      </c>
      <c r="AJ26" s="77" t="s">
        <v>165</v>
      </c>
      <c r="AK26" s="77" t="s">
        <v>94</v>
      </c>
      <c r="AL26" s="64">
        <v>0</v>
      </c>
      <c r="AM26" s="142" t="s">
        <v>51</v>
      </c>
      <c r="AN26" s="143">
        <v>5.3999999999999999E-2</v>
      </c>
      <c r="AO26" s="66"/>
      <c r="AP26" s="66"/>
      <c r="AQ26" s="67"/>
      <c r="AR26" s="68">
        <v>0</v>
      </c>
      <c r="AS26" s="68">
        <f t="shared" si="1"/>
        <v>0</v>
      </c>
      <c r="AT26" s="68">
        <f t="shared" si="11"/>
        <v>-96.63000000000001</v>
      </c>
      <c r="AU26" s="69" t="s">
        <v>52</v>
      </c>
      <c r="AV26" s="7"/>
      <c r="AW26" s="149">
        <f>2208+22235+39034+111388</f>
        <v>174865</v>
      </c>
      <c r="AX26" s="149">
        <v>29560</v>
      </c>
      <c r="AY26" s="149">
        <f>35681+30247</f>
        <v>65928</v>
      </c>
      <c r="AZ26" s="160">
        <v>20787</v>
      </c>
      <c r="BA26" s="160">
        <v>2875</v>
      </c>
      <c r="BB26" s="160"/>
      <c r="BC26" s="176"/>
      <c r="BD26" s="160">
        <f>100287+928</f>
        <v>101215</v>
      </c>
      <c r="BE26" s="160">
        <f t="shared" si="12"/>
        <v>395230</v>
      </c>
      <c r="BF26" s="149"/>
      <c r="BG26" s="149">
        <f t="shared" si="13"/>
        <v>291140</v>
      </c>
      <c r="BH26" s="149">
        <f t="shared" si="28"/>
        <v>2875</v>
      </c>
      <c r="BI26" s="149"/>
      <c r="BJ26" s="149">
        <f t="shared" si="15"/>
        <v>2875</v>
      </c>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row>
    <row r="27" spans="1:119" s="110" customFormat="1" ht="31.5" customHeight="1">
      <c r="A27" s="46">
        <f t="shared" si="16"/>
        <v>23</v>
      </c>
      <c r="B27" s="47" t="s">
        <v>174</v>
      </c>
      <c r="C27" s="48" t="s">
        <v>176</v>
      </c>
      <c r="D27" s="48" t="s">
        <v>177</v>
      </c>
      <c r="E27" s="49" t="s">
        <v>53</v>
      </c>
      <c r="F27" s="72">
        <v>1985</v>
      </c>
      <c r="G27" s="50">
        <v>2016</v>
      </c>
      <c r="H27" s="50" t="s">
        <v>94</v>
      </c>
      <c r="I27" s="51">
        <v>152</v>
      </c>
      <c r="J27" s="52">
        <v>42307</v>
      </c>
      <c r="K27" s="53" t="s">
        <v>175</v>
      </c>
      <c r="L27" s="82">
        <v>0.15</v>
      </c>
      <c r="M27" s="146">
        <v>0.95299999999999996</v>
      </c>
      <c r="N27" s="166">
        <v>0.91</v>
      </c>
      <c r="O27" s="171" t="s">
        <v>185</v>
      </c>
      <c r="P27" s="164">
        <v>2124417</v>
      </c>
      <c r="Q27" s="164">
        <f t="shared" si="25"/>
        <v>986785</v>
      </c>
      <c r="R27" s="152">
        <f t="shared" si="31"/>
        <v>0.46449684784107831</v>
      </c>
      <c r="S27" s="153">
        <f t="shared" si="32"/>
        <v>1137632</v>
      </c>
      <c r="T27" s="155">
        <v>42735</v>
      </c>
      <c r="U27" s="156" t="s">
        <v>184</v>
      </c>
      <c r="V27" s="134">
        <v>574110</v>
      </c>
      <c r="W27" s="138">
        <f t="shared" si="33"/>
        <v>1.981557541237742</v>
      </c>
      <c r="X27" s="136">
        <f>+S27/Y27</f>
        <v>18960533.333333336</v>
      </c>
      <c r="Y27" s="60">
        <f t="shared" si="30"/>
        <v>0.06</v>
      </c>
      <c r="Z27" s="55">
        <f t="shared" si="9"/>
        <v>42735</v>
      </c>
      <c r="AA27" s="139" t="s">
        <v>178</v>
      </c>
      <c r="AB27" s="140" t="s">
        <v>191</v>
      </c>
      <c r="AC27" s="136">
        <v>13392000</v>
      </c>
      <c r="AD27" s="63">
        <v>42307</v>
      </c>
      <c r="AE27" s="137">
        <v>13392000</v>
      </c>
      <c r="AF27" s="115">
        <v>44896</v>
      </c>
      <c r="AG27" s="136">
        <v>0</v>
      </c>
      <c r="AH27" s="141" t="s">
        <v>94</v>
      </c>
      <c r="AI27" s="136">
        <f t="shared" si="35"/>
        <v>13392000</v>
      </c>
      <c r="AJ27" s="77" t="s">
        <v>165</v>
      </c>
      <c r="AK27" s="77" t="s">
        <v>94</v>
      </c>
      <c r="AL27" s="64">
        <v>0</v>
      </c>
      <c r="AM27" s="142" t="s">
        <v>51</v>
      </c>
      <c r="AN27" s="143">
        <v>4.0599999999999997E-2</v>
      </c>
      <c r="AO27" s="66"/>
      <c r="AP27" s="66"/>
      <c r="AQ27" s="67"/>
      <c r="AR27" s="68">
        <v>536279.34</v>
      </c>
      <c r="AS27" s="68">
        <f t="shared" si="1"/>
        <v>80441.900999999998</v>
      </c>
      <c r="AT27" s="68">
        <f t="shared" si="11"/>
        <v>835280.00000000035</v>
      </c>
      <c r="AU27" s="69" t="s">
        <v>52</v>
      </c>
      <c r="AV27" s="7"/>
      <c r="AW27" s="149">
        <v>295432</v>
      </c>
      <c r="AX27" s="149">
        <v>110377</v>
      </c>
      <c r="AY27" s="149">
        <v>303826</v>
      </c>
      <c r="AZ27" s="149">
        <v>260672</v>
      </c>
      <c r="BA27" s="149">
        <v>580491</v>
      </c>
      <c r="BB27" s="149"/>
      <c r="BC27" s="149">
        <f>556+15922</f>
        <v>16478</v>
      </c>
      <c r="BD27" s="149">
        <f>397185+645258</f>
        <v>1042443</v>
      </c>
      <c r="BE27" s="149">
        <f t="shared" si="12"/>
        <v>2609719</v>
      </c>
      <c r="BF27" s="149"/>
      <c r="BG27" s="149">
        <f t="shared" si="13"/>
        <v>986785</v>
      </c>
      <c r="BH27" s="149">
        <f t="shared" si="28"/>
        <v>580491</v>
      </c>
      <c r="BI27" s="149"/>
      <c r="BJ27" s="149">
        <f t="shared" si="15"/>
        <v>580491</v>
      </c>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row>
    <row r="28" spans="1:119" s="110" customFormat="1" ht="30.75" customHeight="1">
      <c r="A28" s="46">
        <f t="shared" si="16"/>
        <v>24</v>
      </c>
      <c r="B28" s="47" t="s">
        <v>154</v>
      </c>
      <c r="C28" s="132" t="s">
        <v>143</v>
      </c>
      <c r="D28" s="116" t="s">
        <v>144</v>
      </c>
      <c r="E28" s="117" t="s">
        <v>145</v>
      </c>
      <c r="F28" s="118" t="s">
        <v>155</v>
      </c>
      <c r="G28" s="119">
        <v>2016</v>
      </c>
      <c r="H28" s="50">
        <f>G28+15-1</f>
        <v>2030</v>
      </c>
      <c r="I28" s="120">
        <v>164</v>
      </c>
      <c r="J28" s="121">
        <v>42314</v>
      </c>
      <c r="K28" s="122" t="s">
        <v>48</v>
      </c>
      <c r="L28" s="123">
        <v>1E-4</v>
      </c>
      <c r="M28" s="146"/>
      <c r="N28" s="170">
        <v>0.98199999999999998</v>
      </c>
      <c r="O28" s="171" t="s">
        <v>185</v>
      </c>
      <c r="P28" s="173">
        <v>1807048</v>
      </c>
      <c r="Q28" s="164">
        <f t="shared" si="25"/>
        <v>1120076</v>
      </c>
      <c r="R28" s="57">
        <f t="shared" ref="R28" si="36">+Q28/P28</f>
        <v>0.61983743652631251</v>
      </c>
      <c r="S28" s="56">
        <f t="shared" ref="S28" si="37">+P28-Q28</f>
        <v>686972</v>
      </c>
      <c r="T28" s="172">
        <v>42735</v>
      </c>
      <c r="U28" s="156" t="s">
        <v>184</v>
      </c>
      <c r="V28" s="126">
        <v>519408</v>
      </c>
      <c r="W28" s="111">
        <f t="shared" si="33"/>
        <v>1.3226057357607122</v>
      </c>
      <c r="X28" s="136">
        <f>+S28/Y28</f>
        <v>12490400</v>
      </c>
      <c r="Y28" s="60">
        <f>exit_cap_rate-50/10000</f>
        <v>5.5E-2</v>
      </c>
      <c r="Z28" s="55">
        <f t="shared" si="9"/>
        <v>42735</v>
      </c>
      <c r="AA28" s="70" t="s">
        <v>78</v>
      </c>
      <c r="AB28" s="70" t="s">
        <v>146</v>
      </c>
      <c r="AC28" s="126">
        <v>9465000</v>
      </c>
      <c r="AD28" s="63">
        <v>42314</v>
      </c>
      <c r="AE28" s="127">
        <v>9465000</v>
      </c>
      <c r="AF28" s="128">
        <v>20852</v>
      </c>
      <c r="AG28" s="127">
        <v>0</v>
      </c>
      <c r="AH28" s="128" t="s">
        <v>94</v>
      </c>
      <c r="AI28" s="136">
        <f t="shared" si="35"/>
        <v>9465000</v>
      </c>
      <c r="AJ28" s="77" t="s">
        <v>94</v>
      </c>
      <c r="AK28" s="77" t="s">
        <v>94</v>
      </c>
      <c r="AL28" s="64">
        <v>0</v>
      </c>
      <c r="AM28" s="129" t="s">
        <v>51</v>
      </c>
      <c r="AN28" s="130">
        <v>4.0300000000000002E-2</v>
      </c>
      <c r="AO28" s="124"/>
      <c r="AP28" s="124"/>
      <c r="AQ28" s="125"/>
      <c r="AR28" s="126">
        <v>0</v>
      </c>
      <c r="AS28" s="68">
        <f t="shared" si="1"/>
        <v>0</v>
      </c>
      <c r="AT28" s="68">
        <f t="shared" si="11"/>
        <v>302.54000000000002</v>
      </c>
      <c r="AU28" s="131" t="s">
        <v>52</v>
      </c>
      <c r="AV28" s="7"/>
      <c r="AW28" s="149">
        <v>339309</v>
      </c>
      <c r="AX28" s="149">
        <v>253680</v>
      </c>
      <c r="AY28" s="149">
        <v>441382</v>
      </c>
      <c r="AZ28" s="149">
        <v>51383</v>
      </c>
      <c r="BA28" s="149">
        <f>193292+42593</f>
        <v>235885</v>
      </c>
      <c r="BB28" s="149"/>
      <c r="BC28" s="149">
        <f>29322+5000</f>
        <v>34322</v>
      </c>
      <c r="BD28" s="149">
        <f>305126+494</f>
        <v>305620</v>
      </c>
      <c r="BE28" s="149">
        <f t="shared" si="12"/>
        <v>1661581</v>
      </c>
      <c r="BF28" s="149"/>
      <c r="BG28" s="149">
        <f t="shared" si="13"/>
        <v>1120076</v>
      </c>
      <c r="BH28" s="149">
        <f t="shared" si="28"/>
        <v>235885</v>
      </c>
      <c r="BI28" s="149"/>
      <c r="BJ28" s="149">
        <f t="shared" si="15"/>
        <v>235885</v>
      </c>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row>
    <row r="29" spans="1:119" s="9" customFormat="1">
      <c r="A29" s="84"/>
      <c r="B29" s="85" t="s">
        <v>95</v>
      </c>
      <c r="C29" s="86"/>
      <c r="D29" s="86"/>
      <c r="E29" s="87"/>
      <c r="F29" s="88"/>
      <c r="G29" s="88"/>
      <c r="H29" s="88"/>
      <c r="I29" s="89">
        <f>SUM(I5:I28)</f>
        <v>2463</v>
      </c>
      <c r="J29" s="88"/>
      <c r="K29" s="90"/>
      <c r="L29" s="90"/>
      <c r="M29" s="91">
        <f>AVERAGE(M5:M28)</f>
        <v>0.97859090909090907</v>
      </c>
      <c r="N29" s="167">
        <f>AVERAGE(N5:N28)</f>
        <v>0.97258333333333324</v>
      </c>
      <c r="O29" s="92"/>
      <c r="P29" s="93">
        <f>SUM(P5:P28)</f>
        <v>25833422</v>
      </c>
      <c r="Q29" s="93">
        <f>SUM(Q5:Q28)</f>
        <v>15402083.120000001</v>
      </c>
      <c r="R29" s="94">
        <f>+Q29/P29</f>
        <v>0.59620762282286877</v>
      </c>
      <c r="S29" s="93">
        <f>SUM(S5:S28)</f>
        <v>10431338.879999999</v>
      </c>
      <c r="T29" s="95"/>
      <c r="U29" s="95"/>
      <c r="V29" s="93">
        <f>SUM(V5:V28)</f>
        <v>6944167.04</v>
      </c>
      <c r="W29" s="96">
        <f>IF(S29&gt;0,S29/V29,0)</f>
        <v>1.5021728048753848</v>
      </c>
      <c r="X29" s="93">
        <f>SUM(X5:X28)</f>
        <v>179622138.90909091</v>
      </c>
      <c r="Y29" s="97"/>
      <c r="Z29" s="98"/>
      <c r="AA29" s="99"/>
      <c r="AB29" s="99"/>
      <c r="AC29" s="93">
        <f>SUM(AC5:AC28)</f>
        <v>114491900</v>
      </c>
      <c r="AD29" s="99"/>
      <c r="AE29" s="93">
        <f>SUM(AE5:AE28)</f>
        <v>110189859</v>
      </c>
      <c r="AF29" s="100"/>
      <c r="AG29" s="93">
        <f>SUM(AG5:AG28)</f>
        <v>80677726</v>
      </c>
      <c r="AH29" s="100"/>
      <c r="AI29" s="93">
        <f>SUM(AI5:AI28)</f>
        <v>192240033</v>
      </c>
      <c r="AJ29" s="101"/>
      <c r="AK29" s="101"/>
      <c r="AL29" s="101"/>
      <c r="AM29" s="101"/>
      <c r="AN29" s="102"/>
      <c r="AO29" s="102"/>
      <c r="AP29" s="102"/>
      <c r="AQ29" s="102"/>
      <c r="AR29" s="93">
        <f>SUM(AR5:AR28)</f>
        <v>2830546.3</v>
      </c>
      <c r="AS29" s="93">
        <f>SUM(AS5:AS28)</f>
        <v>80642.769755999994</v>
      </c>
      <c r="AT29" s="93">
        <f>SUM(AT5:AT28)</f>
        <v>833782.90591460641</v>
      </c>
      <c r="AU29" s="103"/>
      <c r="AV29" s="2"/>
      <c r="AW29" s="24"/>
      <c r="AX29" s="24"/>
      <c r="AY29" s="24"/>
      <c r="AZ29" s="24"/>
      <c r="BA29" s="24"/>
      <c r="BB29" s="24"/>
      <c r="BC29" s="24"/>
      <c r="BD29" s="24"/>
      <c r="BE29" s="24">
        <f t="shared" si="12"/>
        <v>0</v>
      </c>
      <c r="BF29" s="24"/>
      <c r="BG29" s="24">
        <f t="shared" si="13"/>
        <v>0</v>
      </c>
      <c r="BH29" s="24">
        <f t="shared" si="28"/>
        <v>0</v>
      </c>
      <c r="BI29" s="24"/>
      <c r="BJ29" s="24">
        <f t="shared" si="15"/>
        <v>0</v>
      </c>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row>
    <row r="30" spans="1:119" s="9" customFormat="1" hidden="1">
      <c r="A30" s="10"/>
      <c r="B30" s="10"/>
      <c r="C30" s="255"/>
      <c r="D30" s="255"/>
      <c r="E30" s="256"/>
      <c r="F30" s="256"/>
      <c r="G30" s="256"/>
      <c r="H30" s="256"/>
      <c r="I30" s="256"/>
      <c r="J30" s="256"/>
      <c r="K30" s="256"/>
      <c r="L30" s="11"/>
      <c r="M30" s="12"/>
      <c r="N30" s="12"/>
      <c r="O30" s="13"/>
      <c r="P30" s="14"/>
      <c r="Q30" s="14"/>
      <c r="R30" s="14"/>
      <c r="S30" s="15"/>
      <c r="T30" s="15"/>
      <c r="U30" s="15"/>
      <c r="V30" s="15"/>
      <c r="W30" s="16"/>
      <c r="X30" s="15"/>
      <c r="Y30" s="15"/>
      <c r="Z30" s="17"/>
      <c r="AA30" s="14"/>
      <c r="AB30" s="14"/>
      <c r="AC30" s="14"/>
      <c r="AD30" s="14"/>
      <c r="AE30" s="14"/>
      <c r="AF30" s="18"/>
      <c r="AG30" s="19"/>
      <c r="AH30" s="18"/>
      <c r="AI30" s="20"/>
      <c r="AJ30" s="18"/>
      <c r="AK30" s="18"/>
      <c r="AL30" s="18"/>
      <c r="AM30" s="18"/>
      <c r="AN30" s="14"/>
      <c r="AO30" s="14"/>
      <c r="AP30" s="14"/>
      <c r="AQ30" s="14"/>
      <c r="AR30" s="15"/>
      <c r="AS30" s="15"/>
      <c r="AT30" s="14"/>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row>
    <row r="31" spans="1:119" hidden="1">
      <c r="B31" s="104" t="s">
        <v>116</v>
      </c>
      <c r="C31" s="2"/>
      <c r="D31" s="2"/>
      <c r="E31" s="3"/>
      <c r="F31" s="2"/>
      <c r="G31" s="2"/>
      <c r="H31" s="2"/>
      <c r="I31" s="2"/>
    </row>
    <row r="32" spans="1:119" hidden="1">
      <c r="B32" s="105" t="s">
        <v>117</v>
      </c>
      <c r="C32" s="2"/>
      <c r="D32" s="2"/>
      <c r="E32" s="3"/>
      <c r="F32" s="2"/>
      <c r="G32" s="2"/>
      <c r="H32" s="2"/>
      <c r="I32" s="2"/>
    </row>
    <row r="33" spans="2:13" hidden="1">
      <c r="B33" s="2" t="s">
        <v>131</v>
      </c>
      <c r="C33" s="2"/>
      <c r="D33" s="2"/>
      <c r="E33" s="3"/>
      <c r="F33" s="2"/>
      <c r="G33" s="2"/>
      <c r="H33" s="2"/>
      <c r="I33" s="2"/>
    </row>
    <row r="34" spans="2:13" hidden="1">
      <c r="B34" s="2" t="s">
        <v>141</v>
      </c>
      <c r="C34" s="2"/>
      <c r="D34" s="2"/>
      <c r="E34" s="3"/>
      <c r="F34" s="2"/>
      <c r="G34" s="2"/>
      <c r="H34" s="2"/>
      <c r="I34" s="2"/>
    </row>
    <row r="35" spans="2:13" hidden="1">
      <c r="B35" s="2" t="s">
        <v>118</v>
      </c>
      <c r="C35" s="2"/>
      <c r="D35" s="2"/>
      <c r="E35" s="3"/>
      <c r="F35" s="2"/>
      <c r="G35" s="2"/>
      <c r="H35" s="2"/>
      <c r="I35" s="2"/>
    </row>
    <row r="36" spans="2:13" hidden="1">
      <c r="B36" s="2" t="s">
        <v>119</v>
      </c>
      <c r="C36" s="2"/>
      <c r="D36" s="2"/>
      <c r="E36" s="3"/>
      <c r="F36" s="2">
        <f>COUNT(I5:I22)</f>
        <v>18</v>
      </c>
      <c r="G36" s="2"/>
      <c r="H36" s="2"/>
      <c r="I36" s="106">
        <f>I29</f>
        <v>2463</v>
      </c>
    </row>
    <row r="37" spans="2:13" hidden="1">
      <c r="B37" s="2" t="e">
        <f>#REF!</f>
        <v>#REF!</v>
      </c>
      <c r="C37" s="2"/>
      <c r="D37" s="2"/>
      <c r="E37" s="3"/>
      <c r="F37" s="2">
        <v>-1</v>
      </c>
      <c r="G37" s="2"/>
      <c r="H37" s="2"/>
      <c r="I37" s="107" t="e">
        <f>-#REF!</f>
        <v>#REF!</v>
      </c>
    </row>
    <row r="38" spans="2:13" hidden="1">
      <c r="B38" s="2" t="e">
        <f>#REF!</f>
        <v>#REF!</v>
      </c>
      <c r="C38" s="2"/>
      <c r="D38" s="2"/>
      <c r="E38" s="3"/>
      <c r="F38" s="2">
        <v>-1</v>
      </c>
      <c r="G38" s="2"/>
      <c r="H38" s="2"/>
      <c r="I38" s="107" t="e">
        <f>-#REF!</f>
        <v>#REF!</v>
      </c>
    </row>
    <row r="39" spans="2:13" hidden="1">
      <c r="B39" s="2" t="e">
        <f>#REF!</f>
        <v>#REF!</v>
      </c>
      <c r="C39" s="2"/>
      <c r="D39" s="2"/>
      <c r="E39" s="3"/>
      <c r="F39" s="2">
        <v>-1</v>
      </c>
      <c r="G39" s="2"/>
      <c r="H39" s="2"/>
      <c r="I39" s="107" t="e">
        <f>-#REF!</f>
        <v>#REF!</v>
      </c>
    </row>
    <row r="40" spans="2:13" hidden="1">
      <c r="B40" s="2" t="s">
        <v>120</v>
      </c>
      <c r="C40" s="2"/>
      <c r="D40" s="2"/>
      <c r="E40" s="3"/>
      <c r="F40" s="2">
        <v>1</v>
      </c>
      <c r="G40" s="2"/>
      <c r="H40" s="2"/>
      <c r="I40" s="2">
        <v>75</v>
      </c>
    </row>
    <row r="41" spans="2:13" hidden="1"/>
    <row r="42" spans="2:13" hidden="1">
      <c r="B42" s="10" t="s">
        <v>121</v>
      </c>
      <c r="F42" s="10">
        <v>1</v>
      </c>
      <c r="I42" s="10">
        <v>130</v>
      </c>
    </row>
    <row r="43" spans="2:13" hidden="1"/>
    <row r="44" spans="2:13" hidden="1">
      <c r="F44" s="10">
        <f>SUM(F36:F42)</f>
        <v>17</v>
      </c>
      <c r="I44" s="10" t="e">
        <f>SUM(I36:I42)</f>
        <v>#REF!</v>
      </c>
    </row>
    <row r="45" spans="2:13">
      <c r="M45" s="13" t="s">
        <v>197</v>
      </c>
    </row>
    <row r="47" spans="2:13" ht="18.75">
      <c r="B47" s="10" t="s">
        <v>148</v>
      </c>
      <c r="C47" s="175" t="s">
        <v>180</v>
      </c>
    </row>
    <row r="48" spans="2:13">
      <c r="B48" s="10" t="s">
        <v>147</v>
      </c>
      <c r="C48" s="10" t="s">
        <v>151</v>
      </c>
    </row>
    <row r="49" spans="2:5">
      <c r="B49" s="10" t="s">
        <v>149</v>
      </c>
      <c r="C49" s="10" t="s">
        <v>186</v>
      </c>
    </row>
    <row r="50" spans="2:5">
      <c r="B50" s="10" t="s">
        <v>150</v>
      </c>
      <c r="C50" s="240">
        <v>42844</v>
      </c>
    </row>
    <row r="53" spans="2:5">
      <c r="D53" s="10" t="s">
        <v>170</v>
      </c>
      <c r="E53" s="239">
        <v>0.06</v>
      </c>
    </row>
  </sheetData>
  <mergeCells count="13">
    <mergeCell ref="AW3:BJ3"/>
    <mergeCell ref="W2:W4"/>
    <mergeCell ref="X2:Z2"/>
    <mergeCell ref="C30:K30"/>
    <mergeCell ref="K2:L2"/>
    <mergeCell ref="M2:O2"/>
    <mergeCell ref="P2:U2"/>
    <mergeCell ref="V2:V4"/>
    <mergeCell ref="AA2:AD2"/>
    <mergeCell ref="AE2:AM2"/>
    <mergeCell ref="AN2:AQ2"/>
    <mergeCell ref="AT2:AT4"/>
    <mergeCell ref="AU2:AU4"/>
  </mergeCells>
  <printOptions horizontalCentered="1" gridLinesSet="0"/>
  <pageMargins left="0.2" right="0.2" top="0.98" bottom="0.5" header="0.44" footer="0.3"/>
  <pageSetup paperSize="17" scale="68" fitToWidth="2" orientation="landscape" verticalDpi="1200" r:id="rId1"/>
  <headerFooter alignWithMargins="0">
    <oddHeader>&amp;C&amp;"Times New Roman,Bold"ENTERPRISE HOMES, INC.     SCHEDULE OF REAL ESTATE OWNED AND REAL ESTATE DEBT</oddHeader>
    <oddFooter>&amp;R&amp;D &amp;T</oddFooter>
  </headerFooter>
  <colBreaks count="1" manualBreakCount="1">
    <brk id="10"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6"/>
  <sheetViews>
    <sheetView showGridLines="0" workbookViewId="0">
      <selection activeCell="A30" sqref="A30"/>
    </sheetView>
  </sheetViews>
  <sheetFormatPr defaultRowHeight="15"/>
  <cols>
    <col min="1" max="1" width="30.85546875" bestFit="1" customWidth="1"/>
    <col min="2" max="2" width="40" customWidth="1"/>
    <col min="3" max="3" width="31.42578125" customWidth="1"/>
    <col min="4" max="4" width="71.42578125" customWidth="1"/>
    <col min="5" max="5" width="56.5703125" style="225" customWidth="1"/>
    <col min="6" max="6" width="41.7109375" customWidth="1"/>
  </cols>
  <sheetData>
    <row r="1" spans="1:6" ht="15.75" thickBot="1">
      <c r="A1" s="192" t="s">
        <v>233</v>
      </c>
      <c r="B1" s="193" t="s">
        <v>234</v>
      </c>
      <c r="C1" s="193" t="s">
        <v>235</v>
      </c>
      <c r="D1" s="194" t="s">
        <v>236</v>
      </c>
      <c r="E1" s="195" t="s">
        <v>259</v>
      </c>
    </row>
    <row r="2" spans="1:6">
      <c r="A2" s="190" t="s">
        <v>13</v>
      </c>
      <c r="B2" s="191" t="s">
        <v>200</v>
      </c>
      <c r="C2" s="191"/>
      <c r="D2" s="191"/>
    </row>
    <row r="3" spans="1:6">
      <c r="A3" s="187" t="s">
        <v>14</v>
      </c>
      <c r="B3" s="188" t="s">
        <v>201</v>
      </c>
      <c r="C3" s="188"/>
      <c r="D3" s="188"/>
    </row>
    <row r="4" spans="1:6">
      <c r="A4" s="187" t="s">
        <v>15</v>
      </c>
      <c r="B4" s="188" t="s">
        <v>202</v>
      </c>
      <c r="C4" s="188"/>
      <c r="D4" s="188"/>
    </row>
    <row r="5" spans="1:6" ht="30">
      <c r="A5" s="187" t="s">
        <v>16</v>
      </c>
      <c r="B5" s="188" t="s">
        <v>237</v>
      </c>
      <c r="C5" s="188" t="s">
        <v>264</v>
      </c>
      <c r="D5" s="188"/>
      <c r="E5" s="196" t="s">
        <v>260</v>
      </c>
    </row>
    <row r="6" spans="1:6" ht="45">
      <c r="A6" s="187" t="s">
        <v>125</v>
      </c>
      <c r="B6" s="188" t="s">
        <v>125</v>
      </c>
      <c r="C6" s="188" t="s">
        <v>204</v>
      </c>
      <c r="D6" s="188" t="s">
        <v>238</v>
      </c>
      <c r="E6" s="196" t="s">
        <v>261</v>
      </c>
    </row>
    <row r="7" spans="1:6">
      <c r="A7" s="187" t="s">
        <v>126</v>
      </c>
      <c r="B7" s="188" t="s">
        <v>126</v>
      </c>
      <c r="C7" s="188" t="s">
        <v>205</v>
      </c>
      <c r="D7" s="188" t="s">
        <v>239</v>
      </c>
      <c r="E7" s="196" t="s">
        <v>262</v>
      </c>
    </row>
    <row r="8" spans="1:6">
      <c r="A8" s="187" t="s">
        <v>270</v>
      </c>
      <c r="B8" s="188" t="s">
        <v>271</v>
      </c>
      <c r="C8" s="188" t="s">
        <v>273</v>
      </c>
      <c r="D8" s="188" t="s">
        <v>274</v>
      </c>
      <c r="E8" s="224"/>
    </row>
    <row r="9" spans="1:6">
      <c r="A9" s="187" t="s">
        <v>270</v>
      </c>
      <c r="B9" s="188" t="s">
        <v>272</v>
      </c>
      <c r="C9" s="188" t="s">
        <v>273</v>
      </c>
      <c r="D9" s="188" t="s">
        <v>274</v>
      </c>
      <c r="E9" s="224"/>
    </row>
    <row r="10" spans="1:6" s="198" customFormat="1" ht="45">
      <c r="A10" s="197" t="s">
        <v>122</v>
      </c>
      <c r="B10" s="189" t="s">
        <v>122</v>
      </c>
      <c r="C10" s="189" t="s">
        <v>206</v>
      </c>
      <c r="D10" s="189" t="s">
        <v>240</v>
      </c>
      <c r="E10" s="223" t="s">
        <v>275</v>
      </c>
      <c r="F10" s="223"/>
    </row>
    <row r="11" spans="1:6" s="225" customFormat="1" ht="75">
      <c r="A11" s="225" t="s">
        <v>241</v>
      </c>
      <c r="C11" s="225" t="s">
        <v>207</v>
      </c>
      <c r="D11" s="225" t="s">
        <v>242</v>
      </c>
      <c r="E11" s="225" t="s">
        <v>266</v>
      </c>
    </row>
    <row r="12" spans="1:6" s="198" customFormat="1" ht="60">
      <c r="A12" s="189" t="s">
        <v>243</v>
      </c>
      <c r="B12" s="189"/>
      <c r="C12" s="189" t="s">
        <v>208</v>
      </c>
      <c r="D12" s="189" t="s">
        <v>244</v>
      </c>
      <c r="E12" s="223" t="s">
        <v>267</v>
      </c>
    </row>
    <row r="13" spans="1:6" ht="90">
      <c r="A13" s="197" t="s">
        <v>19</v>
      </c>
      <c r="B13" s="189" t="s">
        <v>245</v>
      </c>
      <c r="C13" s="189" t="s">
        <v>210</v>
      </c>
      <c r="D13" s="189" t="s">
        <v>246</v>
      </c>
      <c r="E13" s="223"/>
    </row>
    <row r="14" spans="1:6">
      <c r="A14" s="187" t="s">
        <v>247</v>
      </c>
      <c r="B14" s="188" t="s">
        <v>248</v>
      </c>
      <c r="C14" s="188" t="s">
        <v>249</v>
      </c>
      <c r="D14" s="188"/>
    </row>
    <row r="15" spans="1:6" ht="60">
      <c r="A15" s="187" t="s">
        <v>20</v>
      </c>
      <c r="B15" s="188"/>
      <c r="C15" s="188" t="s">
        <v>209</v>
      </c>
      <c r="D15" s="188" t="s">
        <v>250</v>
      </c>
      <c r="E15" s="196" t="s">
        <v>269</v>
      </c>
    </row>
    <row r="16" spans="1:6" s="229" customFormat="1" ht="60">
      <c r="A16" s="226" t="s">
        <v>188</v>
      </c>
      <c r="B16" s="227"/>
      <c r="C16" s="227" t="s">
        <v>211</v>
      </c>
      <c r="D16" s="227" t="s">
        <v>251</v>
      </c>
      <c r="E16" s="228" t="s">
        <v>268</v>
      </c>
    </row>
    <row r="17" spans="1:5" s="225" customFormat="1" ht="45">
      <c r="A17" s="225" t="s">
        <v>189</v>
      </c>
      <c r="B17" s="225" t="s">
        <v>252</v>
      </c>
      <c r="C17" s="225" t="s">
        <v>189</v>
      </c>
      <c r="D17" s="225" t="s">
        <v>253</v>
      </c>
      <c r="E17" s="225" t="s">
        <v>263</v>
      </c>
    </row>
    <row r="18" spans="1:5">
      <c r="A18" s="187" t="s">
        <v>171</v>
      </c>
      <c r="B18" s="188"/>
      <c r="C18" s="188" t="s">
        <v>216</v>
      </c>
      <c r="D18" s="189"/>
    </row>
    <row r="19" spans="1:5">
      <c r="A19" s="187" t="s">
        <v>110</v>
      </c>
      <c r="B19" s="188"/>
      <c r="C19" s="188"/>
      <c r="D19" s="189"/>
    </row>
    <row r="20" spans="1:5">
      <c r="A20" s="187" t="s">
        <v>21</v>
      </c>
      <c r="B20" s="188"/>
      <c r="C20" s="188"/>
      <c r="D20" s="189"/>
    </row>
    <row r="21" spans="1:5">
      <c r="A21" s="187" t="s">
        <v>172</v>
      </c>
      <c r="B21" s="188"/>
      <c r="C21" s="188"/>
      <c r="D21" s="189"/>
    </row>
    <row r="22" spans="1:5">
      <c r="A22" s="187" t="s">
        <v>22</v>
      </c>
      <c r="B22" s="188"/>
      <c r="C22" s="188" t="s">
        <v>214</v>
      </c>
      <c r="D22" s="189"/>
    </row>
    <row r="23" spans="1:5" ht="45">
      <c r="A23" s="187" t="s">
        <v>23</v>
      </c>
      <c r="B23" s="188"/>
      <c r="C23" s="188" t="s">
        <v>215</v>
      </c>
      <c r="D23" s="189">
        <v>2</v>
      </c>
    </row>
    <row r="24" spans="1:5">
      <c r="A24" s="187" t="s">
        <v>254</v>
      </c>
      <c r="B24" s="188"/>
      <c r="C24" s="188"/>
      <c r="D24" s="189"/>
    </row>
    <row r="25" spans="1:5">
      <c r="A25" s="187" t="s">
        <v>6</v>
      </c>
      <c r="B25" s="188"/>
      <c r="C25" s="188"/>
      <c r="D25" s="189"/>
    </row>
    <row r="26" spans="1:5">
      <c r="A26" s="187" t="s">
        <v>24</v>
      </c>
      <c r="B26" s="188"/>
      <c r="C26" s="188"/>
      <c r="D26" s="189"/>
    </row>
    <row r="27" spans="1:5" s="198" customFormat="1">
      <c r="A27" s="197" t="s">
        <v>25</v>
      </c>
      <c r="B27" s="189"/>
      <c r="C27" s="189" t="s">
        <v>217</v>
      </c>
      <c r="D27" s="189"/>
      <c r="E27" s="223"/>
    </row>
    <row r="28" spans="1:5">
      <c r="A28" s="187" t="s">
        <v>26</v>
      </c>
      <c r="B28" s="188"/>
      <c r="C28" s="188"/>
      <c r="D28" s="189"/>
    </row>
    <row r="29" spans="1:5">
      <c r="A29" s="187" t="s">
        <v>27</v>
      </c>
      <c r="B29" s="188"/>
      <c r="C29" s="188" t="s">
        <v>220</v>
      </c>
      <c r="D29" s="188"/>
    </row>
    <row r="30" spans="1:5" s="225" customFormat="1" ht="90">
      <c r="A30" s="225" t="s">
        <v>28</v>
      </c>
      <c r="C30" s="225" t="s">
        <v>219</v>
      </c>
    </row>
    <row r="31" spans="1:5" ht="30">
      <c r="A31" s="197" t="s">
        <v>29</v>
      </c>
      <c r="B31" s="189"/>
      <c r="C31" s="189" t="s">
        <v>221</v>
      </c>
      <c r="D31" s="189" t="s">
        <v>255</v>
      </c>
      <c r="E31" s="223"/>
    </row>
    <row r="32" spans="1:5" s="198" customFormat="1" ht="45">
      <c r="A32" s="197" t="s">
        <v>30</v>
      </c>
      <c r="B32" s="189"/>
      <c r="C32" s="189" t="s">
        <v>222</v>
      </c>
      <c r="D32" s="189" t="s">
        <v>256</v>
      </c>
      <c r="E32" s="223"/>
    </row>
    <row r="33" spans="1:4">
      <c r="A33" s="187" t="s">
        <v>257</v>
      </c>
      <c r="B33" s="188"/>
      <c r="C33" s="188"/>
      <c r="D33" s="188" t="s">
        <v>258</v>
      </c>
    </row>
    <row r="36" spans="1:4">
      <c r="A36" t="s">
        <v>265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4"/>
  <sheetViews>
    <sheetView topLeftCell="A4" workbookViewId="0">
      <selection activeCell="A25" sqref="A25"/>
    </sheetView>
  </sheetViews>
  <sheetFormatPr defaultRowHeight="15"/>
  <cols>
    <col min="1" max="1" width="34.5703125" style="243" customWidth="1"/>
    <col min="2" max="2" width="9.140625" style="243"/>
    <col min="3" max="3" width="47.28515625" style="243" customWidth="1"/>
    <col min="4" max="16384" width="9.140625" style="243"/>
  </cols>
  <sheetData>
    <row r="1" spans="1:3">
      <c r="A1" s="242" t="s">
        <v>233</v>
      </c>
    </row>
    <row r="2" spans="1:3" s="244" customFormat="1">
      <c r="C2" s="244" t="s">
        <v>276</v>
      </c>
    </row>
    <row r="3" spans="1:3" s="244" customFormat="1" ht="30">
      <c r="A3" s="247" t="s">
        <v>171</v>
      </c>
      <c r="B3" s="245"/>
      <c r="C3" s="245" t="s">
        <v>277</v>
      </c>
    </row>
    <row r="4" spans="1:3" s="244" customFormat="1" ht="30">
      <c r="A4" s="245" t="s">
        <v>278</v>
      </c>
      <c r="B4" s="245"/>
      <c r="C4" s="245" t="s">
        <v>279</v>
      </c>
    </row>
    <row r="5" spans="1:3" s="244" customFormat="1" ht="30">
      <c r="A5" s="245" t="s">
        <v>169</v>
      </c>
      <c r="B5" s="245"/>
      <c r="C5" s="245" t="s">
        <v>280</v>
      </c>
    </row>
    <row r="6" spans="1:3">
      <c r="A6" s="246" t="s">
        <v>34</v>
      </c>
      <c r="B6" s="246"/>
      <c r="C6" s="246"/>
    </row>
    <row r="7" spans="1:3">
      <c r="A7" s="246" t="s">
        <v>35</v>
      </c>
      <c r="B7" s="246"/>
      <c r="C7" s="246"/>
    </row>
    <row r="8" spans="1:3">
      <c r="A8" s="246" t="s">
        <v>36</v>
      </c>
      <c r="B8" s="246"/>
      <c r="C8" s="246"/>
    </row>
    <row r="9" spans="1:3">
      <c r="A9" s="246" t="s">
        <v>37</v>
      </c>
      <c r="B9" s="246"/>
      <c r="C9" s="246"/>
    </row>
    <row r="10" spans="1:3">
      <c r="A10" s="246" t="s">
        <v>38</v>
      </c>
      <c r="B10" s="246"/>
      <c r="C10" s="246"/>
    </row>
    <row r="11" spans="1:3">
      <c r="A11" s="246" t="s">
        <v>39</v>
      </c>
      <c r="B11" s="246"/>
      <c r="C11" s="246"/>
    </row>
    <row r="12" spans="1:3">
      <c r="A12" s="246" t="s">
        <v>40</v>
      </c>
      <c r="B12" s="246"/>
      <c r="C12" s="246"/>
    </row>
    <row r="13" spans="1:3">
      <c r="A13" s="246" t="s">
        <v>41</v>
      </c>
      <c r="B13" s="246"/>
      <c r="C13" s="246"/>
    </row>
    <row r="14" spans="1:3" ht="45">
      <c r="A14" s="245" t="s">
        <v>281</v>
      </c>
      <c r="B14" s="246"/>
      <c r="C14" s="246"/>
    </row>
    <row r="15" spans="1:3">
      <c r="A15" s="248" t="s">
        <v>103</v>
      </c>
      <c r="C15" s="243" t="s">
        <v>282</v>
      </c>
    </row>
    <row r="16" spans="1:3">
      <c r="A16" s="248" t="s">
        <v>104</v>
      </c>
    </row>
    <row r="17" spans="1:3">
      <c r="A17" s="248" t="s">
        <v>105</v>
      </c>
      <c r="C17" s="243" t="s">
        <v>287</v>
      </c>
    </row>
    <row r="18" spans="1:3">
      <c r="A18" s="248" t="s">
        <v>106</v>
      </c>
      <c r="C18" s="243" t="s">
        <v>286</v>
      </c>
    </row>
    <row r="19" spans="1:3">
      <c r="A19" s="248" t="s">
        <v>192</v>
      </c>
      <c r="C19" s="243" t="s">
        <v>283</v>
      </c>
    </row>
    <row r="20" spans="1:3">
      <c r="A20" s="248" t="s">
        <v>107</v>
      </c>
      <c r="C20" s="243" t="s">
        <v>284</v>
      </c>
    </row>
    <row r="21" spans="1:3">
      <c r="A21" s="249" t="s">
        <v>108</v>
      </c>
      <c r="C21" s="243" t="s">
        <v>288</v>
      </c>
    </row>
    <row r="22" spans="1:3">
      <c r="A22" s="248" t="s">
        <v>109</v>
      </c>
      <c r="C22" s="243" t="s">
        <v>285</v>
      </c>
    </row>
    <row r="23" spans="1:3">
      <c r="A23" s="248" t="s">
        <v>112</v>
      </c>
      <c r="C23" s="243" t="s">
        <v>283</v>
      </c>
    </row>
    <row r="24" spans="1:3">
      <c r="A24" s="243" t="s">
        <v>194</v>
      </c>
      <c r="C24" s="243" t="s">
        <v>289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EHI</vt:lpstr>
      <vt:lpstr>Question-Assumptions</vt:lpstr>
      <vt:lpstr>Sheet1</vt:lpstr>
      <vt:lpstr>exit_cap_rate</vt:lpstr>
      <vt:lpstr>EHI!Print_Area</vt:lpstr>
      <vt:lpstr>EHI!Print_Titles</vt:lpstr>
    </vt:vector>
  </TitlesOfParts>
  <Company>AGM Financial,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Kerina Soencer</dc:creator>
  <cp:lastModifiedBy>Aniket Mulmule</cp:lastModifiedBy>
  <cp:lastPrinted>2017-04-27T19:26:45Z</cp:lastPrinted>
  <dcterms:created xsi:type="dcterms:W3CDTF">2013-06-14T20:52:04Z</dcterms:created>
  <dcterms:modified xsi:type="dcterms:W3CDTF">2018-05-28T10:38:24Z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d" linkTarget="prop_id">
    <vt:lpwstr>#REF!</vt:lpwstr>
  </property>
</Properties>
</file>