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" sheetId="1" r:id="rId4"/>
    <sheet state="visible" name="Net Worth" sheetId="2" r:id="rId5"/>
    <sheet state="visible" name="Investments" sheetId="3" r:id="rId6"/>
    <sheet state="visible" name="Monthly Finances" sheetId="4" r:id="rId7"/>
    <sheet state="visible" name="Expenses" sheetId="5" r:id="rId8"/>
    <sheet state="visible" name="Yearly Expense Comparison" sheetId="6" r:id="rId9"/>
  </sheets>
  <definedNames/>
  <calcPr/>
  <extLst>
    <ext uri="GoogleSheetsCustomDataVersion2">
      <go:sheetsCustomData xmlns:go="http://customooxmlschemas.google.com/" r:id="rId10" roundtripDataChecksum="5HuLm1KrmWf87twrdi1dGCE1/Ol+qnM/xD2+50z2+l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9">
      <text>
        <t xml:space="preserve">======
ID#AAABbiB2paU
Aniket Mutatkar    (2025-01-11 02:33:33)
Robinhood - 500
TD Ameritrade - 450</t>
      </text>
    </comment>
    <comment authorId="0" ref="D37">
      <text>
        <t xml:space="preserve">======
ID#AAABbiB2paQ
Aniket Mutatkar    (2025-01-11 02:33:33)
Roth IRA - 3500
Robinhood - 600
Wealthfront - 1000</t>
      </text>
    </comment>
    <comment authorId="0" ref="D8">
      <text>
        <t xml:space="preserve">======
ID#AAABbiB2paM
Aniket Mutatkar    (2025-01-11 02:33:33)
TD Ameritrade - 1500</t>
      </text>
    </comment>
    <comment authorId="0" ref="D31">
      <text>
        <t xml:space="preserve">======
ID#AAABbiB2paI
Aniket Mutatkar    (2025-01-11 02:33:33)
Roth IRA - 6000
London - 700.75</t>
      </text>
    </comment>
    <comment authorId="0" ref="D17">
      <text>
        <t xml:space="preserve">======
ID#AAABbiB2paE
Aniket Mutatkar    (2025-01-11 02:33:33)
New York - 1062.8</t>
      </text>
    </comment>
    <comment authorId="0" ref="C8">
      <text>
        <t xml:space="preserve">======
ID#AAABbiB2paA
Aniket Mutatkar    (2025-01-11 02:33:33)
Savings - 930.32
IRS - 1400</t>
      </text>
    </comment>
    <comment authorId="0" ref="D9">
      <text>
        <t xml:space="preserve">======
ID#AAABbiB2pZ8
Aniket Mutatkar    (2025-01-11 02:33:33)
TD Ameritrade - 3000</t>
      </text>
    </comment>
    <comment authorId="0" ref="C2">
      <text>
        <t xml:space="preserve">======
ID#AAABbiB2pZ4
Aniket Mutatkar    (2025-01-11 02:33:33)
Baba - 2000
FlexEd - 1713.59</t>
      </text>
    </comment>
    <comment authorId="0" ref="C9">
      <text>
        <t xml:space="preserve">======
ID#AAABbiB2pZ0
Aniket Mutatkar    (2025-01-11 02:33:33)
IRS - 3,291.08
Tax - 1294</t>
      </text>
    </comment>
    <comment authorId="0" ref="G46">
      <text>
        <t xml:space="preserve">======
ID#AAABbiB2pZo
Aniket Mutatkar    (2025-01-11 02:33:33)
Rent - 2340
Security Deposit - 2340</t>
      </text>
    </comment>
    <comment authorId="0" ref="C3">
      <text>
        <t xml:space="preserve">======
ID#AAABbiB2pZw
Aniket Mutatkar    (2025-01-11 02:33:33)
Baba - 600</t>
      </text>
    </comment>
    <comment authorId="0" ref="D10">
      <text>
        <t xml:space="preserve">======
ID#AAABbiB2pZs
Aniket Mutatkar    (2025-01-11 02:33:33)
TD Ameritrade - 1500
Securitiry Depoisit - 3040</t>
      </text>
    </comment>
    <comment authorId="0" ref="C46">
      <text>
        <t xml:space="preserve">======
ID#AAABbiB2pZk
Aniket Mutatkar    (2025-01-11 02:33:33)
Baba - 2002
Security Deposit Return - 1986.79</t>
      </text>
    </comment>
    <comment authorId="0" ref="C7">
      <text>
        <t xml:space="preserve">======
ID#AAABbiBaOlU
Aniket Mutatkar    (2025-01-11 02:33:33)
Baba - 1000</t>
      </text>
    </comment>
    <comment authorId="0" ref="D39">
      <text>
        <t xml:space="preserve">======
ID#AAABbiBaOlY
Aniket Mutatkar    (2025-01-11 02:33:33)
Car - 1000
Robinhood - 900</t>
      </text>
    </comment>
    <comment authorId="0" ref="D38">
      <text>
        <t xml:space="preserve">======
ID#AAABbiBaOlM
Aniket Mutatkar    (2025-01-11 02:33:33)
TD Ameritrade - 2000
Robinhood - 3065</t>
      </text>
    </comment>
    <comment authorId="0" ref="D28">
      <text>
        <t xml:space="preserve">======
ID#AAABbiBaOlE
Aniket Mutatkar    (2025-01-11 02:33:33)
India - 2500</t>
      </text>
    </comment>
  </commentList>
  <extLst>
    <ext uri="GoogleSheetsCustomDataVersion2">
      <go:sheetsCustomData xmlns:go="http://customooxmlschemas.google.com/" r:id="rId1" roundtripDataSignature="AMtx7mjdJNaQtqkgRxa+1yhzD+HPVyG3k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2">
      <text>
        <t xml:space="preserve">======
ID#AAABbiBaOlQ
Aniket Mutatkar    (2025-01-11 02:33:33)
FlexEd - CTI Class</t>
      </text>
    </comment>
    <comment authorId="0" ref="S15">
      <text>
        <t xml:space="preserve">======
ID#AAABbiBaOlI
Aniket Mutatkar    (2025-01-11 02:33:33)
Security Deposit to Wes</t>
      </text>
    </comment>
  </commentList>
  <extLst>
    <ext uri="GoogleSheetsCustomDataVersion2">
      <go:sheetsCustomData xmlns:go="http://customooxmlschemas.google.com/" r:id="rId1" roundtripDataSignature="AMtx7mhli8BHJOl5CnPOhfDmPwbl4BQb6w=="/>
    </ext>
  </extLst>
</comments>
</file>

<file path=xl/sharedStrings.xml><?xml version="1.0" encoding="utf-8"?>
<sst xmlns="http://schemas.openxmlformats.org/spreadsheetml/2006/main" count="224" uniqueCount="71">
  <si>
    <t>California</t>
  </si>
  <si>
    <t>New York</t>
  </si>
  <si>
    <t>Annual</t>
  </si>
  <si>
    <t>Per Period</t>
  </si>
  <si>
    <t xml:space="preserve">Gross Pay </t>
  </si>
  <si>
    <t>Federal Income Tax</t>
  </si>
  <si>
    <t>Social Security</t>
  </si>
  <si>
    <t>Medicare</t>
  </si>
  <si>
    <t>CA State Income Tax</t>
  </si>
  <si>
    <t>NY State Income Tax</t>
  </si>
  <si>
    <t>CA SDI Tax</t>
  </si>
  <si>
    <t>NY SDI / FLI Tax</t>
  </si>
  <si>
    <t>401K</t>
  </si>
  <si>
    <t>City Tax</t>
  </si>
  <si>
    <t>Take Home</t>
  </si>
  <si>
    <t>Roth 401K</t>
  </si>
  <si>
    <t>Month</t>
  </si>
  <si>
    <t>Investments</t>
  </si>
  <si>
    <t>Deposits</t>
  </si>
  <si>
    <t>Bank</t>
  </si>
  <si>
    <t>Total</t>
  </si>
  <si>
    <t>Change</t>
  </si>
  <si>
    <t>Investments %</t>
  </si>
  <si>
    <t>Bank %</t>
  </si>
  <si>
    <t>-</t>
  </si>
  <si>
    <t>Deposits Total</t>
  </si>
  <si>
    <t>Wealthfront</t>
  </si>
  <si>
    <t>Charles Schwab</t>
  </si>
  <si>
    <t>Acorns</t>
  </si>
  <si>
    <t>Robinhood</t>
  </si>
  <si>
    <t>Roth IRA</t>
  </si>
  <si>
    <t>Wealthfront Cash Account</t>
  </si>
  <si>
    <t>Beginning</t>
  </si>
  <si>
    <t>Ending</t>
  </si>
  <si>
    <t>Column 1</t>
  </si>
  <si>
    <t>Contributions</t>
  </si>
  <si>
    <t xml:space="preserve">     -</t>
  </si>
  <si>
    <t>Schwab</t>
  </si>
  <si>
    <t>Cash Account</t>
  </si>
  <si>
    <t xml:space="preserve">Total </t>
  </si>
  <si>
    <t>Deposit Totals</t>
  </si>
  <si>
    <t>Returns</t>
  </si>
  <si>
    <t>Percent Gains</t>
  </si>
  <si>
    <t>Withdrawls</t>
  </si>
  <si>
    <t>Pay</t>
  </si>
  <si>
    <t>Rent</t>
  </si>
  <si>
    <t>Car</t>
  </si>
  <si>
    <t>Saved</t>
  </si>
  <si>
    <t>Averages</t>
  </si>
  <si>
    <t>Insurance</t>
  </si>
  <si>
    <t>Utilites</t>
  </si>
  <si>
    <t>Gas</t>
  </si>
  <si>
    <t>Recreation</t>
  </si>
  <si>
    <t>Food</t>
  </si>
  <si>
    <t>Groceries</t>
  </si>
  <si>
    <t>Travel</t>
  </si>
  <si>
    <t>Shopping</t>
  </si>
  <si>
    <t>Venmo</t>
  </si>
  <si>
    <t>Subscriptions</t>
  </si>
  <si>
    <t>Amazon</t>
  </si>
  <si>
    <t>Misc</t>
  </si>
  <si>
    <t>T-Investments</t>
  </si>
  <si>
    <t>Savings</t>
  </si>
  <si>
    <t>Credit Card?</t>
  </si>
  <si>
    <t>Total Averages</t>
  </si>
  <si>
    <t>Percent</t>
  </si>
  <si>
    <t>2021 Averages</t>
  </si>
  <si>
    <t>2022 Averages</t>
  </si>
  <si>
    <t>2023 Averages</t>
  </si>
  <si>
    <t>2024 Averages</t>
  </si>
  <si>
    <t>2025 Averages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</si>
</sst>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_(&quot;$&quot;* #,##0.00_);_(&quot;$&quot;* \(#,##0.00\);_(&quot;$&quot;* &quot;-&quot;??_);_(@_)"/>
    <numFmt numFmtId="166" formatCode="[$-409]mmm\-yy"/>
    <numFmt numFmtId="167" formatCode="&quot;$&quot;#,##0.00_);[Red]\(&quot;$&quot;#,##0.00\)"/>
    <numFmt numFmtId="168" formatCode="0.0%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b/>
      <sz val="14.0"/>
      <color theme="1"/>
      <name val="Calibri"/>
    </font>
    <font/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</fills>
  <borders count="4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uble">
        <color rgb="FF000000"/>
      </right>
      <top style="thin">
        <color rgb="FFFFFFFF"/>
      </top>
      <bottom style="thin">
        <color rgb="FFFFFFFF"/>
      </bottom>
    </border>
    <border>
      <left style="double">
        <color rgb="FF000000"/>
      </left>
      <right style="thin">
        <color rgb="FFFFFFFF"/>
      </right>
      <top style="double">
        <color rgb="FF000000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double">
        <color rgb="FF000000"/>
      </right>
      <top style="thin">
        <color rgb="FFF6F8F9"/>
      </top>
      <bottom style="thin">
        <color rgb="FFF6F8F9"/>
      </bottom>
    </border>
    <border>
      <left style="double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double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double">
        <color rgb="FF000000"/>
      </right>
      <top style="thin">
        <color rgb="FFF6F8F9"/>
      </top>
      <bottom style="thin">
        <color rgb="FF284E3F"/>
      </bottom>
    </border>
    <border>
      <left style="double">
        <color rgb="FF000000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double">
        <color rgb="FF000000"/>
      </left>
    </border>
    <border>
      <right style="double">
        <color rgb="FF000000"/>
      </right>
    </border>
    <border>
      <left style="thin">
        <color rgb="FF284E3F"/>
      </left>
      <right style="double">
        <color rgb="FF000000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double">
        <color rgb="FF000000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double">
        <color rgb="FF000000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double">
        <color rgb="FF000000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double">
        <color rgb="FF000000"/>
      </right>
      <top style="thin">
        <color rgb="FFF8F9FA"/>
      </top>
      <bottom style="thin">
        <color rgb="FFF8F9FA"/>
      </bottom>
    </border>
    <border>
      <left style="double">
        <color rgb="FF000000"/>
      </left>
      <right style="double">
        <color rgb="FF000000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double">
        <color rgb="FF000000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double">
        <color rgb="FF000000"/>
      </left>
      <right style="double">
        <color rgb="FF000000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double">
        <color rgb="FF000000"/>
      </right>
      <top style="thin">
        <color rgb="FFFFFFFF"/>
      </top>
      <bottom style="thin">
        <color rgb="FF284E3F"/>
      </bottom>
    </border>
    <border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FFFFFF"/>
      </left>
      <right style="thin">
        <color rgb="FFFFFFFF"/>
      </right>
      <top style="double">
        <color rgb="FF000000"/>
      </top>
      <bottom style="thin">
        <color rgb="FFFFFFFF"/>
      </bottom>
    </border>
    <border>
      <left style="double">
        <color rgb="FF000000"/>
      </left>
      <right style="double">
        <color rgb="FF000000"/>
      </right>
      <top style="thin">
        <color rgb="FFF6F8F9"/>
      </top>
      <bottom style="thin">
        <color rgb="FFF6F8F9"/>
      </bottom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0" xfId="0" applyFont="1" applyNumberFormat="1"/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10" xfId="0" applyAlignment="1" applyBorder="1" applyFont="1" applyNumberFormat="1">
      <alignment horizontal="center" readingOrder="0" shrinkToFit="0" vertical="center" wrapText="0"/>
    </xf>
    <xf borderId="3" fillId="0" fontId="1" numFmtId="10" xfId="0" applyAlignment="1" applyBorder="1" applyFont="1" applyNumberForma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shrinkToFit="0" vertical="center" wrapText="0"/>
    </xf>
    <xf borderId="5" fillId="0" fontId="3" numFmtId="165" xfId="0" applyAlignment="1" applyBorder="1" applyFont="1" applyNumberFormat="1">
      <alignment shrinkToFit="0" vertical="center" wrapText="0"/>
    </xf>
    <xf borderId="6" fillId="0" fontId="3" numFmtId="165" xfId="0" applyAlignment="1" applyBorder="1" applyFont="1" applyNumberFormat="1">
      <alignment shrinkToFit="0" vertical="center" wrapText="0"/>
    </xf>
    <xf borderId="7" fillId="0" fontId="3" numFmtId="165" xfId="0" applyAlignment="1" applyBorder="1" applyFont="1" applyNumberFormat="1">
      <alignment shrinkToFit="0" vertical="center" wrapText="0"/>
    </xf>
    <xf borderId="5" fillId="0" fontId="3" numFmtId="10" xfId="0" applyAlignment="1" applyBorder="1" applyFont="1" applyNumberFormat="1">
      <alignment horizontal="right" shrinkToFit="0" vertical="center" wrapText="0"/>
    </xf>
    <xf borderId="5" fillId="0" fontId="3" numFmtId="0" xfId="0" applyAlignment="1" applyBorder="1" applyFont="1">
      <alignment horizontal="right" shrinkToFit="0" vertical="center" wrapText="0"/>
    </xf>
    <xf borderId="8" fillId="0" fontId="3" numFmtId="0" xfId="0" applyAlignment="1" applyBorder="1" applyFont="1">
      <alignment horizontal="right" shrinkToFit="0" vertical="center" wrapText="0"/>
    </xf>
    <xf borderId="9" fillId="0" fontId="3" numFmtId="166" xfId="0" applyAlignment="1" applyBorder="1" applyFont="1" applyNumberFormat="1">
      <alignment horizontal="center" shrinkToFit="0" vertical="center" wrapText="0"/>
    </xf>
    <xf borderId="10" fillId="0" fontId="3" numFmtId="165" xfId="0" applyAlignment="1" applyBorder="1" applyFont="1" applyNumberFormat="1">
      <alignment shrinkToFit="0" vertical="center" wrapText="0"/>
    </xf>
    <xf borderId="11" fillId="0" fontId="3" numFmtId="165" xfId="0" applyAlignment="1" applyBorder="1" applyFont="1" applyNumberFormat="1">
      <alignment shrinkToFit="0" vertical="center" wrapText="0"/>
    </xf>
    <xf borderId="12" fillId="0" fontId="3" numFmtId="165" xfId="0" applyAlignment="1" applyBorder="1" applyFont="1" applyNumberFormat="1">
      <alignment shrinkToFit="0" vertical="center" wrapText="0"/>
    </xf>
    <xf borderId="10" fillId="0" fontId="3" numFmtId="10" xfId="0" applyAlignment="1" applyBorder="1" applyFont="1" applyNumberFormat="1">
      <alignment shrinkToFit="0" vertical="center" wrapText="0"/>
    </xf>
    <xf borderId="10" fillId="0" fontId="3" numFmtId="0" xfId="0" applyAlignment="1" applyBorder="1" applyFont="1">
      <alignment horizontal="right" shrinkToFit="0" vertical="center" wrapText="0"/>
    </xf>
    <xf borderId="13" fillId="0" fontId="3" numFmtId="10" xfId="0" applyAlignment="1" applyBorder="1" applyFont="1" applyNumberFormat="1">
      <alignment shrinkToFit="0" vertical="center" wrapText="0"/>
    </xf>
    <xf borderId="14" fillId="0" fontId="3" numFmtId="165" xfId="0" applyAlignment="1" applyBorder="1" applyFont="1" applyNumberFormat="1">
      <alignment shrinkToFit="0" vertical="center" wrapText="0"/>
    </xf>
    <xf borderId="5" fillId="0" fontId="3" numFmtId="10" xfId="0" applyAlignment="1" applyBorder="1" applyFont="1" applyNumberFormat="1">
      <alignment shrinkToFit="0" vertical="center" wrapText="0"/>
    </xf>
    <xf borderId="8" fillId="0" fontId="3" numFmtId="10" xfId="0" applyAlignment="1" applyBorder="1" applyFont="1" applyNumberFormat="1">
      <alignment shrinkToFit="0" vertical="center" wrapText="0"/>
    </xf>
    <xf borderId="0" fillId="0" fontId="3" numFmtId="166" xfId="0" applyAlignment="1" applyFont="1" applyNumberFormat="1">
      <alignment horizontal="center"/>
    </xf>
    <xf borderId="0" fillId="0" fontId="3" numFmtId="0" xfId="0" applyFont="1"/>
    <xf borderId="0" fillId="0" fontId="3" numFmtId="9" xfId="0" applyFont="1" applyNumberFormat="1"/>
    <xf borderId="15" fillId="0" fontId="3" numFmtId="166" xfId="0" applyAlignment="1" applyBorder="1" applyFont="1" applyNumberFormat="1">
      <alignment horizontal="center" shrinkToFit="0" vertical="center" wrapText="0"/>
    </xf>
    <xf borderId="16" fillId="0" fontId="3" numFmtId="165" xfId="0" applyAlignment="1" applyBorder="1" applyFont="1" applyNumberFormat="1">
      <alignment shrinkToFit="0" vertical="center" wrapText="0"/>
    </xf>
    <xf borderId="17" fillId="0" fontId="3" numFmtId="165" xfId="0" applyAlignment="1" applyBorder="1" applyFont="1" applyNumberFormat="1">
      <alignment shrinkToFit="0" vertical="center" wrapText="0"/>
    </xf>
    <xf borderId="18" fillId="0" fontId="3" numFmtId="165" xfId="0" applyAlignment="1" applyBorder="1" applyFont="1" applyNumberFormat="1">
      <alignment shrinkToFit="0" vertical="center" wrapText="0"/>
    </xf>
    <xf borderId="16" fillId="0" fontId="3" numFmtId="10" xfId="0" applyAlignment="1" applyBorder="1" applyFont="1" applyNumberFormat="1">
      <alignment shrinkToFit="0" vertical="center" wrapText="0"/>
    </xf>
    <xf borderId="0" fillId="0" fontId="1" numFmtId="165" xfId="0" applyFont="1" applyNumberFormat="1"/>
    <xf borderId="0" fillId="0" fontId="3" numFmtId="49" xfId="0" applyAlignment="1" applyFont="1" applyNumberFormat="1">
      <alignment horizontal="center"/>
    </xf>
    <xf borderId="19" fillId="0" fontId="4" numFmtId="0" xfId="0" applyAlignment="1" applyBorder="1" applyFont="1">
      <alignment horizontal="center"/>
    </xf>
    <xf borderId="20" fillId="0" fontId="5" numFmtId="0" xfId="0" applyBorder="1" applyFont="1"/>
    <xf borderId="0" fillId="0" fontId="4" numFmtId="0" xfId="0" applyFont="1"/>
    <xf borderId="3" fillId="0" fontId="1" numFmtId="0" xfId="0" applyAlignment="1" applyBorder="1" applyFont="1">
      <alignment horizontal="center" readingOrder="0" shrinkToFit="0" vertical="center" wrapText="0"/>
    </xf>
    <xf borderId="21" fillId="0" fontId="3" numFmtId="17" xfId="0" applyAlignment="1" applyBorder="1" applyFont="1" applyNumberFormat="1">
      <alignment horizontal="center" shrinkToFit="0" vertical="center" wrapText="0"/>
    </xf>
    <xf borderId="6" fillId="0" fontId="3" numFmtId="10" xfId="0" applyAlignment="1" applyBorder="1" applyFont="1" applyNumberFormat="1">
      <alignment horizontal="right" shrinkToFit="0" vertical="center" wrapText="0"/>
    </xf>
    <xf borderId="6" fillId="0" fontId="3" numFmtId="0" xfId="0" applyAlignment="1" applyBorder="1" applyFont="1">
      <alignment horizontal="right" shrinkToFit="0" vertical="center" wrapText="0"/>
    </xf>
    <xf borderId="22" fillId="0" fontId="3" numFmtId="17" xfId="0" applyAlignment="1" applyBorder="1" applyFont="1" applyNumberFormat="1">
      <alignment horizontal="center" shrinkToFit="0" vertical="center" wrapText="0"/>
    </xf>
    <xf borderId="11" fillId="0" fontId="3" numFmtId="10" xfId="0" applyAlignment="1" applyBorder="1" applyFont="1" applyNumberFormat="1">
      <alignment horizontal="right" shrinkToFit="0" vertical="center" wrapText="0"/>
    </xf>
    <xf borderId="11" fillId="0" fontId="3" numFmtId="0" xfId="0" applyAlignment="1" applyBorder="1" applyFont="1">
      <alignment horizontal="right" shrinkToFit="0" vertical="center" wrapText="0"/>
    </xf>
    <xf borderId="6" fillId="0" fontId="3" numFmtId="10" xfId="0" applyAlignment="1" applyBorder="1" applyFont="1" applyNumberFormat="1">
      <alignment shrinkToFit="0" vertical="center" wrapText="0"/>
    </xf>
    <xf borderId="11" fillId="0" fontId="3" numFmtId="10" xfId="0" applyAlignment="1" applyBorder="1" applyFont="1" applyNumberFormat="1">
      <alignment shrinkToFit="0" vertical="center" wrapText="0"/>
    </xf>
    <xf borderId="10" fillId="0" fontId="3" numFmtId="167" xfId="0" applyAlignment="1" applyBorder="1" applyFont="1" applyNumberFormat="1">
      <alignment shrinkToFit="0" vertical="center" wrapText="0"/>
    </xf>
    <xf borderId="5" fillId="0" fontId="3" numFmtId="167" xfId="0" applyAlignment="1" applyBorder="1" applyFont="1" applyNumberFormat="1">
      <alignment shrinkToFit="0" vertical="center" wrapText="0"/>
    </xf>
    <xf borderId="0" fillId="0" fontId="1" numFmtId="0" xfId="0" applyFont="1"/>
    <xf borderId="5" fillId="0" fontId="3" numFmtId="4" xfId="0" applyAlignment="1" applyBorder="1" applyFont="1" applyNumberFormat="1">
      <alignment shrinkToFit="0" vertical="center" wrapText="0"/>
    </xf>
    <xf borderId="10" fillId="0" fontId="3" numFmtId="4" xfId="0" applyAlignment="1" applyBorder="1" applyFont="1" applyNumberFormat="1">
      <alignment shrinkToFit="0" vertical="center" wrapText="0"/>
    </xf>
    <xf borderId="23" fillId="0" fontId="3" numFmtId="17" xfId="0" applyAlignment="1" applyBorder="1" applyFont="1" applyNumberFormat="1">
      <alignment horizontal="center" shrinkToFit="0" vertical="center" wrapText="0"/>
    </xf>
    <xf borderId="17" fillId="0" fontId="3" numFmtId="10" xfId="0" applyAlignment="1" applyBorder="1" applyFont="1" applyNumberFormat="1">
      <alignment shrinkToFit="0" vertical="center" wrapText="0"/>
    </xf>
    <xf borderId="16" fillId="0" fontId="3" numFmtId="167" xfId="0" applyAlignment="1" applyBorder="1" applyFont="1" applyNumberFormat="1">
      <alignment shrinkToFit="0" vertical="center" wrapText="0"/>
    </xf>
    <xf borderId="17" fillId="0" fontId="3" numFmtId="10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24" fillId="0" fontId="1" numFmtId="0" xfId="0" applyAlignment="1" applyBorder="1" applyFont="1">
      <alignment shrinkToFit="0" vertical="center" wrapText="0"/>
    </xf>
    <xf borderId="24" fillId="0" fontId="3" numFmtId="165" xfId="0" applyAlignment="1" applyBorder="1" applyFont="1" applyNumberFormat="1">
      <alignment shrinkToFit="0" vertical="center" wrapText="0"/>
    </xf>
    <xf borderId="24" fillId="2" fontId="1" numFmtId="165" xfId="0" applyAlignment="1" applyBorder="1" applyFill="1" applyFont="1" applyNumberFormat="1">
      <alignment shrinkToFit="0" vertical="center" wrapText="0"/>
    </xf>
    <xf borderId="25" fillId="0" fontId="1" numFmtId="165" xfId="0" applyAlignment="1" applyBorder="1" applyFont="1" applyNumberFormat="1">
      <alignment shrinkToFit="0" vertical="center" wrapText="0"/>
    </xf>
    <xf borderId="24" fillId="2" fontId="1" numFmtId="168" xfId="0" applyAlignment="1" applyBorder="1" applyFont="1" applyNumberFormat="1">
      <alignment shrinkToFit="0" vertical="center" wrapText="0"/>
    </xf>
    <xf borderId="26" fillId="0" fontId="3" numFmtId="165" xfId="0" applyAlignment="1" applyBorder="1" applyFont="1" applyNumberFormat="1">
      <alignment shrinkToFit="0" vertical="center" wrapText="0"/>
    </xf>
    <xf borderId="27" fillId="0" fontId="3" numFmtId="17" xfId="0" applyAlignment="1" applyBorder="1" applyFont="1" applyNumberFormat="1">
      <alignment horizontal="center" shrinkToFit="0" vertical="center" wrapText="0"/>
    </xf>
    <xf borderId="28" fillId="0" fontId="3" numFmtId="165" xfId="0" applyAlignment="1" applyBorder="1" applyFont="1" applyNumberFormat="1">
      <alignment shrinkToFit="0" vertical="center" wrapText="0"/>
    </xf>
    <xf borderId="29" fillId="0" fontId="3" numFmtId="165" xfId="0" applyAlignment="1" applyBorder="1" applyFont="1" applyNumberFormat="1">
      <alignment shrinkToFit="0" vertical="center" wrapText="0"/>
    </xf>
    <xf borderId="30" fillId="0" fontId="3" numFmtId="165" xfId="0" applyAlignment="1" applyBorder="1" applyFont="1" applyNumberFormat="1">
      <alignment shrinkToFit="0" vertical="center" wrapText="0"/>
    </xf>
    <xf borderId="5" fillId="3" fontId="3" numFmtId="165" xfId="0" applyAlignment="1" applyBorder="1" applyFill="1" applyFont="1" applyNumberFormat="1">
      <alignment horizontal="right" shrinkToFit="0" vertical="center" wrapText="0"/>
    </xf>
    <xf borderId="6" fillId="3" fontId="3" numFmtId="165" xfId="0" applyAlignment="1" applyBorder="1" applyFont="1" applyNumberFormat="1">
      <alignment horizontal="right" shrinkToFit="0" vertical="center" wrapText="0"/>
    </xf>
    <xf borderId="26" fillId="3" fontId="3" numFmtId="165" xfId="0" applyAlignment="1" applyBorder="1" applyFont="1" applyNumberFormat="1">
      <alignment horizontal="right" shrinkToFit="0" vertical="center" wrapText="0"/>
    </xf>
    <xf borderId="28" fillId="0" fontId="3" numFmtId="167" xfId="0" applyAlignment="1" applyBorder="1" applyFont="1" applyNumberFormat="1">
      <alignment shrinkToFit="0" vertical="center" wrapText="0"/>
    </xf>
    <xf borderId="28" fillId="0" fontId="3" numFmtId="4" xfId="0" applyAlignment="1" applyBorder="1" applyFont="1" applyNumberFormat="1">
      <alignment shrinkToFit="0" vertical="center" wrapText="0"/>
    </xf>
    <xf borderId="0" fillId="0" fontId="3" numFmtId="0" xfId="0" applyFont="1"/>
    <xf borderId="31" fillId="0" fontId="3" numFmtId="17" xfId="0" applyAlignment="1" applyBorder="1" applyFont="1" applyNumberFormat="1">
      <alignment horizontal="center" shrinkToFit="0" vertical="center" wrapText="0"/>
    </xf>
    <xf borderId="32" fillId="0" fontId="3" numFmtId="167" xfId="0" applyAlignment="1" applyBorder="1" applyFont="1" applyNumberFormat="1">
      <alignment shrinkToFit="0" vertical="center" wrapText="0"/>
    </xf>
    <xf borderId="32" fillId="0" fontId="3" numFmtId="4" xfId="0" applyAlignment="1" applyBorder="1" applyFont="1" applyNumberFormat="1">
      <alignment shrinkToFit="0" vertical="center" wrapText="0"/>
    </xf>
    <xf borderId="33" fillId="0" fontId="3" numFmtId="165" xfId="0" applyAlignment="1" applyBorder="1" applyFont="1" applyNumberFormat="1">
      <alignment shrinkToFit="0" vertical="center" wrapText="0"/>
    </xf>
    <xf borderId="32" fillId="0" fontId="3" numFmtId="165" xfId="0" applyAlignment="1" applyBorder="1" applyFont="1" applyNumberFormat="1">
      <alignment shrinkToFit="0" vertical="center" wrapText="0"/>
    </xf>
    <xf borderId="34" fillId="0" fontId="3" numFmtId="165" xfId="0" applyAlignment="1" applyBorder="1" applyFont="1" applyNumberFormat="1">
      <alignment shrinkToFit="0" vertical="center" wrapText="0"/>
    </xf>
    <xf borderId="0" fillId="0" fontId="3" numFmtId="17" xfId="0" applyAlignment="1" applyFont="1" applyNumberFormat="1">
      <alignment horizontal="center"/>
    </xf>
    <xf borderId="35" fillId="0" fontId="3" numFmtId="0" xfId="0" applyAlignment="1" applyBorder="1" applyFont="1">
      <alignment horizontal="center"/>
    </xf>
    <xf borderId="35" fillId="0" fontId="3" numFmtId="0" xfId="0" applyBorder="1" applyFont="1"/>
    <xf borderId="36" fillId="4" fontId="1" numFmtId="0" xfId="0" applyAlignment="1" applyBorder="1" applyFill="1" applyFont="1">
      <alignment horizontal="right"/>
    </xf>
    <xf borderId="37" fillId="0" fontId="5" numFmtId="0" xfId="0" applyBorder="1" applyFont="1"/>
    <xf borderId="38" fillId="0" fontId="5" numFmtId="0" xfId="0" applyBorder="1" applyFont="1"/>
    <xf borderId="39" fillId="4" fontId="1" numFmtId="165" xfId="0" applyBorder="1" applyFont="1" applyNumberFormat="1"/>
    <xf borderId="0" fillId="0" fontId="3" numFmtId="0" xfId="0" applyAlignment="1" applyFont="1">
      <alignment horizontal="center"/>
    </xf>
    <xf borderId="40" fillId="0" fontId="3" numFmtId="165" xfId="0" applyAlignment="1" applyBorder="1" applyFont="1" applyNumberFormat="1">
      <alignment shrinkToFit="0" vertical="center" wrapText="0"/>
    </xf>
    <xf borderId="8" fillId="0" fontId="3" numFmtId="165" xfId="0" applyAlignment="1" applyBorder="1" applyFont="1" applyNumberFormat="1">
      <alignment shrinkToFit="0" vertical="center" wrapText="0"/>
    </xf>
    <xf borderId="41" fillId="0" fontId="3" numFmtId="165" xfId="0" applyAlignment="1" applyBorder="1" applyFont="1" applyNumberFormat="1">
      <alignment shrinkToFit="0" vertical="center" wrapText="0"/>
    </xf>
    <xf borderId="13" fillId="0" fontId="3" numFmtId="165" xfId="0" applyAlignment="1" applyBorder="1" applyFont="1" applyNumberFormat="1">
      <alignment shrinkToFit="0" vertical="center" wrapText="0"/>
    </xf>
    <xf borderId="10" fillId="0" fontId="6" numFmtId="165" xfId="0" applyAlignment="1" applyBorder="1" applyFont="1" applyNumberFormat="1">
      <alignment shrinkToFit="0" vertical="center" wrapText="0"/>
    </xf>
    <xf borderId="5" fillId="0" fontId="3" numFmtId="165" xfId="0" applyAlignment="1" applyBorder="1" applyFont="1" applyNumberFormat="1">
      <alignment readingOrder="0" shrinkToFit="0" vertical="center" wrapText="0"/>
    </xf>
    <xf borderId="26" fillId="0" fontId="3" numFmtId="165" xfId="0" applyAlignment="1" applyBorder="1" applyFont="1" applyNumberFormat="1">
      <alignment horizontal="center" shrinkToFit="0" vertical="center" wrapText="0"/>
    </xf>
    <xf borderId="41" fillId="0" fontId="3" numFmtId="165" xfId="0" applyAlignment="1" applyBorder="1" applyFont="1" applyNumberFormat="1">
      <alignment horizontal="center" shrinkToFit="0" vertical="center" wrapText="0"/>
    </xf>
    <xf borderId="42" fillId="4" fontId="1" numFmtId="0" xfId="0" applyAlignment="1" applyBorder="1" applyFont="1">
      <alignment readingOrder="0" shrinkToFit="0" vertical="center" wrapText="0"/>
    </xf>
    <xf borderId="42" fillId="4" fontId="1" numFmtId="165" xfId="0" applyAlignment="1" applyBorder="1" applyFont="1" applyNumberFormat="1">
      <alignment shrinkToFit="0" vertical="center" wrapText="0"/>
    </xf>
    <xf borderId="39" fillId="4" fontId="1" numFmtId="0" xfId="0" applyAlignment="1" applyBorder="1" applyFont="1">
      <alignment shrinkToFit="0" vertical="center" wrapText="0"/>
    </xf>
    <xf borderId="39" fillId="4" fontId="1" numFmtId="168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8" fillId="0" fontId="1" numFmtId="165" xfId="0" applyAlignment="1" applyBorder="1" applyFont="1" applyNumberFormat="1">
      <alignment shrinkToFit="0" vertical="center" wrapText="0"/>
    </xf>
    <xf borderId="43" fillId="4" fontId="1" numFmtId="0" xfId="0" applyAlignment="1" applyBorder="1" applyFont="1">
      <alignment shrinkToFit="0" vertical="center" wrapText="0"/>
    </xf>
    <xf borderId="43" fillId="4" fontId="1" numFmtId="165" xfId="0" applyAlignment="1" applyBorder="1" applyFont="1" applyNumberForma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43" fillId="4" fontId="1" numFmtId="0" xfId="0" applyAlignment="1" applyBorder="1" applyFont="1">
      <alignment readingOrder="0" shrinkToFit="0" vertical="center" wrapText="0"/>
    </xf>
    <xf borderId="32" fillId="0" fontId="1" numFmtId="0" xfId="0" applyAlignment="1" applyBorder="1" applyFont="1">
      <alignment shrinkToFit="0" vertical="center" wrapText="0"/>
    </xf>
    <xf borderId="32" fillId="0" fontId="1" numFmtId="165" xfId="0" applyAlignment="1" applyBorder="1" applyFont="1" applyNumberFormat="1">
      <alignment shrinkToFit="0" vertical="center" wrapText="0"/>
    </xf>
    <xf borderId="44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6">
    <tableStyle count="3" pivot="0" name="Net Worth-style">
      <tableStyleElement dxfId="1" type="headerRow"/>
      <tableStyleElement dxfId="2" type="firstRowStripe"/>
      <tableStyleElement dxfId="3" type="secondRowStripe"/>
    </tableStyle>
    <tableStyle count="3" pivot="0" name="Investments-style">
      <tableStyleElement dxfId="1" type="headerRow"/>
      <tableStyleElement dxfId="2" type="firstRowStripe"/>
      <tableStyleElement dxfId="3" type="secondRowStripe"/>
    </tableStyle>
    <tableStyle count="3" pivot="0" name="Investments-style 2">
      <tableStyleElement dxfId="1" type="headerRow"/>
      <tableStyleElement dxfId="2" type="firstRowStripe"/>
      <tableStyleElement dxfId="3" type="secondRowStripe"/>
    </tableStyle>
    <tableStyle count="3" pivot="0" name="Monthly Finances-style">
      <tableStyleElement dxfId="1" type="headerRow"/>
      <tableStyleElement dxfId="2" type="firstRowStripe"/>
      <tableStyleElement dxfId="4" type="secondRowStripe"/>
    </tableStyle>
    <tableStyle count="2" pivot="0" name="Monthly Finances-style 2">
      <tableStyleElement dxfId="2" type="firstRowStripe"/>
      <tableStyleElement dxfId="4" type="secondRowStripe"/>
    </tableStyle>
    <tableStyle count="3" pivot="0" name="Expenses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757575"/>
                </a:solidFill>
                <a:latin typeface="+mn-lt"/>
              </a:defRPr>
            </a:pPr>
            <a:r>
              <a:rPr b="1" i="0" sz="1800">
                <a:solidFill>
                  <a:srgbClr val="757575"/>
                </a:solidFill>
                <a:latin typeface="+mn-lt"/>
              </a:rPr>
              <a:t>Invesments and Bank Growth</a:t>
            </a:r>
          </a:p>
        </c:rich>
      </c:tx>
      <c:overlay val="0"/>
    </c:title>
    <c:plotArea>
      <c:layout/>
      <c:lineChart>
        <c:ser>
          <c:idx val="0"/>
          <c:order val="0"/>
          <c:tx>
            <c:v>Investments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'Net Worth'!$A$2:$A$53</c:f>
            </c:strRef>
          </c:cat>
          <c:val>
            <c:numRef>
              <c:f>'Net Worth'!$B$2:$B$53</c:f>
              <c:numCache/>
            </c:numRef>
          </c:val>
          <c:smooth val="0"/>
        </c:ser>
        <c:ser>
          <c:idx val="1"/>
          <c:order val="1"/>
          <c:tx>
            <c:v>Bank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'Net Worth'!$A$2:$A$53</c:f>
            </c:strRef>
          </c:cat>
          <c:val>
            <c:numRef>
              <c:f>'Net Worth'!$D$2:$D$53</c:f>
              <c:numCache/>
            </c:numRef>
          </c:val>
          <c:smooth val="0"/>
        </c:ser>
        <c:axId val="1078031911"/>
        <c:axId val="2054300021"/>
      </c:lineChart>
      <c:catAx>
        <c:axId val="1078031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</a:p>
        </c:txPr>
        <c:crossAx val="2054300021"/>
      </c:catAx>
      <c:valAx>
        <c:axId val="2054300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</a:p>
        </c:txPr>
        <c:crossAx val="1078031911"/>
        <c:majorUnit val="4000.0"/>
        <c:minorUnit val="1000.0"/>
      </c:valAx>
    </c:plotArea>
    <c:legend>
      <c:legendPos val="b"/>
      <c:overlay val="0"/>
      <c:txPr>
        <a:bodyPr/>
        <a:lstStyle/>
        <a:p>
          <a:pPr lvl="0">
            <a:defRPr b="1" i="0" sz="11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757575"/>
                </a:solidFill>
                <a:latin typeface="+mn-lt"/>
              </a:defRPr>
            </a:pPr>
            <a:r>
              <a:rPr b="1" i="0" sz="1800">
                <a:solidFill>
                  <a:srgbClr val="757575"/>
                </a:solidFill>
                <a:latin typeface="+mn-lt"/>
              </a:rPr>
              <a:t>Net Worth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Total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'Net Worth'!$A$2:$A$54</c:f>
            </c:strRef>
          </c:cat>
          <c:val>
            <c:numRef>
              <c:f>'Net Worth'!$E$2:$E$54</c:f>
              <c:numCache/>
            </c:numRef>
          </c:val>
          <c:smooth val="0"/>
        </c:ser>
        <c:axId val="253078146"/>
        <c:axId val="693686835"/>
      </c:lineChart>
      <c:catAx>
        <c:axId val="2530781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</a:p>
        </c:txPr>
        <c:crossAx val="693686835"/>
      </c:catAx>
      <c:valAx>
        <c:axId val="6936868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</a:p>
        </c:txPr>
        <c:crossAx val="253078146"/>
        <c:majorUnit val="5000.0"/>
      </c:valAx>
    </c:plotArea>
    <c:legend>
      <c:legendPos val="b"/>
      <c:overlay val="0"/>
      <c:txPr>
        <a:bodyPr/>
        <a:lstStyle/>
        <a:p>
          <a:pPr lvl="0">
            <a:defRPr b="1" i="0" sz="11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757575"/>
                </a:solidFill>
                <a:latin typeface="+mn-lt"/>
              </a:defRPr>
            </a:pPr>
            <a:r>
              <a:rPr b="1" i="0" sz="2000">
                <a:solidFill>
                  <a:srgbClr val="757575"/>
                </a:solidFill>
                <a:latin typeface="+mn-lt"/>
              </a:rPr>
              <a:t>Investments</a:t>
            </a:r>
          </a:p>
        </c:rich>
      </c:tx>
      <c:overlay val="0"/>
    </c:title>
    <c:plotArea>
      <c:layout/>
      <c:lineChart>
        <c:ser>
          <c:idx val="0"/>
          <c:order val="0"/>
          <c:tx>
            <c:v>Wealthfront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Investments!$D$4:$D$58</c:f>
              <c:numCache/>
            </c:numRef>
          </c:val>
          <c:smooth val="0"/>
        </c:ser>
        <c:ser>
          <c:idx val="1"/>
          <c:order val="1"/>
          <c:tx>
            <c:v>Charles Schwab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6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Investments!$H$4:$H$58</c:f>
              <c:numCache/>
            </c:numRef>
          </c:val>
          <c:smooth val="0"/>
        </c:ser>
        <c:ser>
          <c:idx val="2"/>
          <c:order val="2"/>
          <c:tx>
            <c:v>Acrons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6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Investments!$L$4:$L$58</c:f>
              <c:numCache/>
            </c:numRef>
          </c:val>
          <c:smooth val="0"/>
        </c:ser>
        <c:ser>
          <c:idx val="3"/>
          <c:order val="3"/>
          <c:tx>
            <c:v>Robinhood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6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Investments!$P$4:$P$58</c:f>
              <c:numCache/>
            </c:numRef>
          </c:val>
          <c:smooth val="0"/>
        </c:ser>
        <c:ser>
          <c:idx val="4"/>
          <c:order val="4"/>
          <c:tx>
            <c:v>401K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6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Investments!$T$4:$T$58</c:f>
              <c:numCache/>
            </c:numRef>
          </c:val>
          <c:smooth val="0"/>
        </c:ser>
        <c:ser>
          <c:idx val="5"/>
          <c:order val="5"/>
          <c:tx>
            <c:v>Roth IRA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Investments!$X$4:$X$58</c:f>
              <c:numCache/>
            </c:numRef>
          </c:val>
          <c:smooth val="0"/>
        </c:ser>
        <c:ser>
          <c:idx val="6"/>
          <c:order val="6"/>
          <c:tx>
            <c:v>Weathfront Cash</c:v>
          </c:tx>
          <c:spPr>
            <a:ln cmpd="sng" w="28575">
              <a:solidFill>
                <a:srgbClr val="7C9CD6"/>
              </a:solidFill>
            </a:ln>
          </c:spPr>
          <c:marker>
            <c:symbol val="circle"/>
            <c:size val="5"/>
            <c:spPr>
              <a:solidFill>
                <a:srgbClr val="7C9CD6"/>
              </a:solidFill>
              <a:ln cmpd="sng">
                <a:solidFill>
                  <a:srgbClr val="7C9CD6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Investments!$AB$4:$AB$58</c:f>
              <c:numCache/>
            </c:numRef>
          </c:val>
          <c:smooth val="0"/>
        </c:ser>
        <c:axId val="1789068981"/>
        <c:axId val="163271099"/>
      </c:lineChart>
      <c:catAx>
        <c:axId val="17890689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out"/>
        <c:spPr/>
        <c:txPr>
          <a:bodyPr/>
          <a:lstStyle/>
          <a:p>
            <a:pPr lvl="0">
              <a:defRPr b="1" i="0" sz="1200">
                <a:solidFill>
                  <a:srgbClr val="000000"/>
                </a:solidFill>
                <a:latin typeface="+mn-lt"/>
              </a:defRPr>
            </a:pPr>
          </a:p>
        </c:txPr>
        <c:crossAx val="163271099"/>
      </c:catAx>
      <c:valAx>
        <c:axId val="163271099"/>
        <c:scaling>
          <c:orientation val="minMax"/>
          <c:max val="30000.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0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1" i="0" sz="1200">
                <a:solidFill>
                  <a:srgbClr val="000000"/>
                </a:solidFill>
                <a:latin typeface="+mn-lt"/>
              </a:defRPr>
            </a:pPr>
          </a:p>
        </c:txPr>
        <c:crossAx val="1789068981"/>
      </c:valAx>
    </c:plotArea>
    <c:legend>
      <c:legendPos val="r"/>
      <c:overlay val="0"/>
      <c:txPr>
        <a:bodyPr/>
        <a:lstStyle/>
        <a:p>
          <a:pPr lvl="0">
            <a:defRPr b="1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3600">
                <a:solidFill>
                  <a:srgbClr val="000000"/>
                </a:solidFill>
                <a:latin typeface="+mn-lt"/>
              </a:defRPr>
            </a:pPr>
            <a:r>
              <a:rPr b="0" i="0" sz="3600">
                <a:solidFill>
                  <a:srgbClr val="000000"/>
                </a:solidFill>
                <a:latin typeface="+mn-lt"/>
              </a:rPr>
              <a:t>Total 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explosion val="0"/>
            <c:spPr>
              <a:solidFill>
                <a:schemeClr val="accent1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Expenses!$B$1:$S$1</c:f>
            </c:strRef>
          </c:cat>
          <c:val>
            <c:numRef>
              <c:f>Expenses!$B$40:$S$40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i="0" sz="20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3600">
                <a:solidFill>
                  <a:srgbClr val="000000"/>
                </a:solidFill>
                <a:latin typeface="+mn-lt"/>
              </a:defRPr>
            </a:pPr>
            <a:r>
              <a:rPr b="0" i="0" sz="3600">
                <a:solidFill>
                  <a:srgbClr val="000000"/>
                </a:solidFill>
                <a:latin typeface="+mn-lt"/>
              </a:rPr>
              <a:t>2022 </a:t>
            </a:r>
          </a:p>
        </c:rich>
      </c:tx>
      <c:layout>
        <c:manualLayout>
          <c:xMode val="edge"/>
          <c:yMode val="edge"/>
          <c:x val="0.0285301933160499"/>
          <c:y val="0.04625190943620755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Expenses!$B$1:$S$1</c:f>
            </c:strRef>
          </c:cat>
          <c:val>
            <c:numRef>
              <c:f>Expenses!$B$44:$S$44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3600">
                <a:solidFill>
                  <a:srgbClr val="000000"/>
                </a:solidFill>
                <a:latin typeface="+mn-lt"/>
              </a:defRPr>
            </a:pPr>
            <a:r>
              <a:rPr b="0" i="0" sz="3600">
                <a:solidFill>
                  <a:srgbClr val="000000"/>
                </a:solidFill>
                <a:latin typeface="+mn-lt"/>
              </a:rPr>
              <a:t>2023</a:t>
            </a:r>
          </a:p>
        </c:rich>
      </c:tx>
      <c:layout>
        <c:manualLayout>
          <c:xMode val="edge"/>
          <c:yMode val="edge"/>
          <c:x val="0.028906077230567633"/>
          <c:y val="0.05180668069303426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Expenses!$B$1:$S$1</c:f>
            </c:strRef>
          </c:cat>
          <c:val>
            <c:numRef>
              <c:f>Expenses!$B$46:$S$46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3600">
                <a:solidFill>
                  <a:srgbClr val="000000"/>
                </a:solidFill>
                <a:latin typeface="+mn-lt"/>
              </a:defRPr>
            </a:pPr>
            <a:r>
              <a:rPr b="0" i="0" sz="3600">
                <a:solidFill>
                  <a:srgbClr val="000000"/>
                </a:solidFill>
                <a:latin typeface="+mn-lt"/>
              </a:rPr>
              <a:t>2024</a:t>
            </a:r>
          </a:p>
        </c:rich>
      </c:tx>
      <c:layout>
        <c:manualLayout>
          <c:xMode val="edge"/>
          <c:yMode val="edge"/>
          <c:x val="0.028906077230567633"/>
          <c:y val="0.051750137635144404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Expenses!$B$1:$S$1</c:f>
            </c:strRef>
          </c:cat>
          <c:val>
            <c:numRef>
              <c:f>Expenses!$B$48:$S$48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20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3600">
                <a:solidFill>
                  <a:srgbClr val="000000"/>
                </a:solidFill>
                <a:latin typeface="+mn-lt"/>
              </a:defRPr>
            </a:pPr>
            <a:r>
              <a:rPr b="0" i="0" sz="3600">
                <a:solidFill>
                  <a:srgbClr val="000000"/>
                </a:solidFill>
                <a:latin typeface="+mn-lt"/>
              </a:rPr>
              <a:t>2025</a:t>
            </a:r>
          </a:p>
        </c:rich>
      </c:tx>
      <c:layout>
        <c:manualLayout>
          <c:xMode val="edge"/>
          <c:yMode val="edge"/>
          <c:x val="0.028906077230567633"/>
          <c:y val="0.051750137635144404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Expenses!$B$1:$S$1</c:f>
            </c:strRef>
          </c:cat>
          <c:val>
            <c:numRef>
              <c:f>Expenses!$B$50:$S$50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20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2021 vs. 2022 vs. 2023 vs. 2024 Spending Comparison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2021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Expenses!$B$1:$S$1</c:f>
            </c:strRef>
          </c:cat>
          <c:val>
            <c:numRef>
              <c:f>Expenses!$B$41:$S$41</c:f>
              <c:numCache/>
            </c:numRef>
          </c:val>
        </c:ser>
        <c:ser>
          <c:idx val="1"/>
          <c:order val="1"/>
          <c:tx>
            <c:v>2022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Expenses!$B$1:$S$1</c:f>
            </c:strRef>
          </c:cat>
          <c:val>
            <c:numRef>
              <c:f>Expenses!$B$43:$S$43</c:f>
              <c:numCache/>
            </c:numRef>
          </c:val>
        </c:ser>
        <c:ser>
          <c:idx val="2"/>
          <c:order val="2"/>
          <c:tx>
            <c:v>2023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Expenses!$B$1:$S$1</c:f>
            </c:strRef>
          </c:cat>
          <c:val>
            <c:numRef>
              <c:f>Expenses!$B$45:$S$45</c:f>
              <c:numCache/>
            </c:numRef>
          </c:val>
        </c:ser>
        <c:ser>
          <c:idx val="3"/>
          <c:order val="3"/>
          <c:cat>
            <c:strRef>
              <c:f>Expenses!$B$1:$S$1</c:f>
            </c:strRef>
          </c:cat>
          <c:val>
            <c:numRef>
              <c:f>Expenses!$B$47:$S$47</c:f>
              <c:numCache/>
            </c:numRef>
          </c:val>
        </c:ser>
        <c:ser>
          <c:idx val="4"/>
          <c:order val="4"/>
          <c:cat>
            <c:strRef>
              <c:f>Expenses!$B$1:$S$1</c:f>
            </c:strRef>
          </c:cat>
          <c:val>
            <c:numRef>
              <c:f>Expenses!$B$49:$S$49</c:f>
              <c:numCache/>
            </c:numRef>
          </c:val>
        </c:ser>
        <c:axId val="211644926"/>
        <c:axId val="246126089"/>
      </c:barChart>
      <c:catAx>
        <c:axId val="2116449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46126089"/>
      </c:catAx>
      <c:valAx>
        <c:axId val="2461260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+mn-lt"/>
              </a:defRPr>
            </a:pPr>
          </a:p>
        </c:txPr>
        <c:crossAx val="211644926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2021 vs. 2022 vs. 2023 vs. 2024 Spending Comparison (per Month)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2021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Expenses!$T$1:$X$1</c:f>
            </c:strRef>
          </c:cat>
          <c:val>
            <c:numRef>
              <c:f>Expenses!$T$41:$X$41</c:f>
              <c:numCache/>
            </c:numRef>
          </c:val>
        </c:ser>
        <c:ser>
          <c:idx val="1"/>
          <c:order val="1"/>
          <c:tx>
            <c:v>2022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Expenses!$T$1:$X$1</c:f>
            </c:strRef>
          </c:cat>
          <c:val>
            <c:numRef>
              <c:f>Expenses!$T$43:$X$43</c:f>
              <c:numCache/>
            </c:numRef>
          </c:val>
        </c:ser>
        <c:ser>
          <c:idx val="2"/>
          <c:order val="2"/>
          <c:tx>
            <c:v>2023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Expenses!$T$1:$X$1</c:f>
            </c:strRef>
          </c:cat>
          <c:val>
            <c:numRef>
              <c:f>Expenses!$T$45:$X$45</c:f>
              <c:numCache/>
            </c:numRef>
          </c:val>
        </c:ser>
        <c:ser>
          <c:idx val="3"/>
          <c:order val="3"/>
          <c:cat>
            <c:strRef>
              <c:f>Expenses!$T$1:$X$1</c:f>
            </c:strRef>
          </c:cat>
          <c:val>
            <c:numRef>
              <c:f>Expenses!$T$47:$X$47</c:f>
              <c:numCache/>
            </c:numRef>
          </c:val>
        </c:ser>
        <c:ser>
          <c:idx val="4"/>
          <c:order val="4"/>
          <c:cat>
            <c:strRef>
              <c:f>Expenses!$T$1:$X$1</c:f>
            </c:strRef>
          </c:cat>
          <c:val>
            <c:numRef>
              <c:f>Expenses!$T$49:$X$49</c:f>
              <c:numCache/>
            </c:numRef>
          </c:val>
        </c:ser>
        <c:axId val="883359161"/>
        <c:axId val="851676493"/>
      </c:barChart>
      <c:catAx>
        <c:axId val="883359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851676493"/>
      </c:catAx>
      <c:valAx>
        <c:axId val="8516764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+mn-lt"/>
              </a:defRPr>
            </a:pPr>
          </a:p>
        </c:txPr>
        <c:crossAx val="88335916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485775</xdr:colOff>
      <xdr:row>0</xdr:row>
      <xdr:rowOff>133350</xdr:rowOff>
    </xdr:from>
    <xdr:ext cx="8610600" cy="5619750"/>
    <xdr:graphicFrame>
      <xdr:nvGraphicFramePr>
        <xdr:cNvPr id="197164378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495300</xdr:colOff>
      <xdr:row>22</xdr:row>
      <xdr:rowOff>38100</xdr:rowOff>
    </xdr:from>
    <xdr:ext cx="8610600" cy="5657850"/>
    <xdr:graphicFrame>
      <xdr:nvGraphicFramePr>
        <xdr:cNvPr id="185179426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685800</xdr:colOff>
      <xdr:row>59</xdr:row>
      <xdr:rowOff>9525</xdr:rowOff>
    </xdr:from>
    <xdr:ext cx="13916025" cy="6915150"/>
    <xdr:graphicFrame>
      <xdr:nvGraphicFramePr>
        <xdr:cNvPr id="154450899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51</xdr:row>
      <xdr:rowOff>161925</xdr:rowOff>
    </xdr:from>
    <xdr:ext cx="11934825" cy="6877050"/>
    <xdr:graphicFrame>
      <xdr:nvGraphicFramePr>
        <xdr:cNvPr id="1736011836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581025</xdr:colOff>
      <xdr:row>123</xdr:row>
      <xdr:rowOff>38100</xdr:rowOff>
    </xdr:from>
    <xdr:ext cx="11944350" cy="6829425"/>
    <xdr:graphicFrame>
      <xdr:nvGraphicFramePr>
        <xdr:cNvPr id="1466520963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266700</xdr:colOff>
      <xdr:row>87</xdr:row>
      <xdr:rowOff>95250</xdr:rowOff>
    </xdr:from>
    <xdr:ext cx="11944350" cy="6848475"/>
    <xdr:graphicFrame>
      <xdr:nvGraphicFramePr>
        <xdr:cNvPr id="2073833379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733425</xdr:colOff>
      <xdr:row>87</xdr:row>
      <xdr:rowOff>95250</xdr:rowOff>
    </xdr:from>
    <xdr:ext cx="11639550" cy="6848475"/>
    <xdr:graphicFrame>
      <xdr:nvGraphicFramePr>
        <xdr:cNvPr id="185631062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742950</xdr:colOff>
      <xdr:row>51</xdr:row>
      <xdr:rowOff>161925</xdr:rowOff>
    </xdr:from>
    <xdr:ext cx="11639550" cy="6848475"/>
    <xdr:graphicFrame>
      <xdr:nvGraphicFramePr>
        <xdr:cNvPr id="2073250579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47625</xdr:rowOff>
    </xdr:from>
    <xdr:ext cx="20145375" cy="4914900"/>
    <xdr:graphicFrame>
      <xdr:nvGraphicFramePr>
        <xdr:cNvPr id="775570820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447675</xdr:colOff>
      <xdr:row>27</xdr:row>
      <xdr:rowOff>0</xdr:rowOff>
    </xdr:from>
    <xdr:ext cx="10858500" cy="4914900"/>
    <xdr:graphicFrame>
      <xdr:nvGraphicFramePr>
        <xdr:cNvPr id="35842238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H57" displayName="Table5" name="Table5" id="1">
  <tableColumns count="8">
    <tableColumn name="Month" id="1"/>
    <tableColumn name="Investments" id="2"/>
    <tableColumn name="Deposits" id="3"/>
    <tableColumn name="Bank" id="4"/>
    <tableColumn name="Total" id="5"/>
    <tableColumn name="Change" id="6"/>
    <tableColumn name="Investments %" id="7"/>
    <tableColumn name="Bank %" id="8"/>
  </tableColumns>
  <tableStyleInfo name="Net Worth-style" showColumnStripes="0" showFirstColumn="1" showLastColumn="1" showRowStripes="1"/>
</table>
</file>

<file path=xl/tables/table2.xml><?xml version="1.0" encoding="utf-8"?>
<table xmlns="http://schemas.openxmlformats.org/spreadsheetml/2006/main" headerRowCount="0" ref="A2:AC58" displayName="Table3" name="Table3" id="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Investme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R66:Z69" displayName="Table4" name="Table4" id="3">
  <tableColumns count="9">
    <tableColumn name="Column 1" id="1"/>
    <tableColumn name="Wealthfront" id="2"/>
    <tableColumn name="Schwab" id="3"/>
    <tableColumn name="Acorns" id="4"/>
    <tableColumn name="Robinhood" id="5"/>
    <tableColumn name="Cash Account" id="6"/>
    <tableColumn name="Roth IRA" id="7"/>
    <tableColumn name="401K" id="8"/>
    <tableColumn name="Total " id="9"/>
  </tableColumns>
  <tableStyleInfo name="Investments-style 2" showColumnStripes="0" showFirstColumn="1" showLastColumn="1" showRowStripes="1"/>
</table>
</file>

<file path=xl/tables/table4.xml><?xml version="1.0" encoding="utf-8"?>
<table xmlns="http://schemas.openxmlformats.org/spreadsheetml/2006/main" ref="A1:I58" displayName="Table1" name="Table1" id="4">
  <tableColumns count="9">
    <tableColumn name="Month" id="1"/>
    <tableColumn name="Beginning" id="2"/>
    <tableColumn name="Deposits" id="3"/>
    <tableColumn name="Withdrawls" id="4"/>
    <tableColumn name="Ending" id="5"/>
    <tableColumn name="Pay" id="6"/>
    <tableColumn name="Rent" id="7"/>
    <tableColumn name="Car" id="8"/>
    <tableColumn name="Saved" id="9"/>
  </tableColumns>
  <tableStyleInfo name="Monthly Finances-style" showColumnStripes="0" showFirstColumn="1" showLastColumn="1" showRowStripes="1"/>
</table>
</file>

<file path=xl/tables/table5.xml><?xml version="1.0" encoding="utf-8"?>
<table xmlns="http://schemas.openxmlformats.org/spreadsheetml/2006/main" headerRowCount="0" ref="K57:T57" displayName="Table_1" name="Table_1" id="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Monthly Finances-style 2" showColumnStripes="0" showFirstColumn="1" showLastColumn="1" showRowStripes="1"/>
</table>
</file>

<file path=xl/tables/table6.xml><?xml version="1.0" encoding="utf-8"?>
<table xmlns="http://schemas.openxmlformats.org/spreadsheetml/2006/main" ref="A1:X50" displayName="Table2" name="Table2" id="6">
  <tableColumns count="24">
    <tableColumn name="Month" id="1"/>
    <tableColumn name="Rent" id="2"/>
    <tableColumn name="Car" id="3"/>
    <tableColumn name="Insurance" id="4"/>
    <tableColumn name="Acorns" id="5"/>
    <tableColumn name="Wealthfront" id="6"/>
    <tableColumn name="Robinhood" id="7"/>
    <tableColumn name="Schwab" id="8"/>
    <tableColumn name="Utilites" id="9"/>
    <tableColumn name="Gas" id="10"/>
    <tableColumn name="Recreation" id="11"/>
    <tableColumn name="Food" id="12"/>
    <tableColumn name="Groceries" id="13"/>
    <tableColumn name="Travel" id="14"/>
    <tableColumn name="Shopping" id="15"/>
    <tableColumn name="Venmo" id="16"/>
    <tableColumn name="Subscriptions" id="17"/>
    <tableColumn name="Amazon" id="18"/>
    <tableColumn name="Misc" id="19"/>
    <tableColumn name="Total" id="20"/>
    <tableColumn name="T-Investments" id="21"/>
    <tableColumn name="Pay" id="22"/>
    <tableColumn name="Savings" id="23"/>
    <tableColumn name="Credit Card?" id="24"/>
  </tableColumns>
  <tableStyleInfo name="Expen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4.xml"/><Relationship Id="rId7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11"/>
    <col customWidth="1" min="2" max="2" width="10.11"/>
    <col customWidth="1" min="3" max="3" width="10.44"/>
    <col customWidth="1" min="4" max="4" width="7.11"/>
    <col customWidth="1" min="5" max="5" width="10.44"/>
    <col customWidth="1" min="6" max="6" width="12.44"/>
    <col customWidth="1" min="7" max="7" width="18.11"/>
    <col customWidth="1" min="8" max="8" width="10.11"/>
    <col customWidth="1" min="9" max="9" width="10.44"/>
    <col customWidth="1" min="10" max="10" width="7.11"/>
    <col customWidth="1" min="11" max="26" width="10.56"/>
  </cols>
  <sheetData>
    <row r="1" ht="15.75" customHeight="1">
      <c r="A1" s="1" t="s">
        <v>0</v>
      </c>
      <c r="G1" s="1" t="s">
        <v>1</v>
      </c>
    </row>
    <row r="2" ht="15.75" customHeight="1">
      <c r="B2" s="2" t="s">
        <v>2</v>
      </c>
      <c r="C2" s="2" t="s">
        <v>3</v>
      </c>
      <c r="H2" s="2" t="s">
        <v>2</v>
      </c>
      <c r="I2" s="2" t="s">
        <v>3</v>
      </c>
    </row>
    <row r="3" ht="15.75" customHeight="1">
      <c r="A3" s="2" t="s">
        <v>4</v>
      </c>
      <c r="B3" s="3">
        <v>80000.0</v>
      </c>
      <c r="C3" s="4">
        <f>B3/26</f>
        <v>3076.923077</v>
      </c>
      <c r="D3" s="5"/>
      <c r="G3" s="2" t="s">
        <v>4</v>
      </c>
      <c r="H3" s="3">
        <v>85000.0</v>
      </c>
      <c r="I3" s="4">
        <f>H3/24</f>
        <v>3541.666667</v>
      </c>
      <c r="J3" s="5"/>
    </row>
    <row r="4" ht="15.75" customHeight="1">
      <c r="A4" s="2" t="s">
        <v>5</v>
      </c>
      <c r="B4" s="3">
        <f t="shared" ref="B4:B8" si="1">C4*24</f>
        <v>11467.92</v>
      </c>
      <c r="C4" s="3">
        <v>477.83</v>
      </c>
      <c r="D4" s="5">
        <f t="shared" ref="D4:D9" si="2">(C4/$C$3)</f>
        <v>0.15529475</v>
      </c>
      <c r="G4" s="2" t="s">
        <v>5</v>
      </c>
      <c r="H4" s="3">
        <f t="shared" ref="H4:H10" si="3">I4*26</f>
        <v>9274.46</v>
      </c>
      <c r="I4" s="3">
        <v>356.71</v>
      </c>
      <c r="J4" s="5">
        <f t="shared" ref="J4:J10" si="4">(I4/$I$3)</f>
        <v>0.1007181176</v>
      </c>
    </row>
    <row r="5" ht="15.75" customHeight="1">
      <c r="A5" s="2" t="s">
        <v>6</v>
      </c>
      <c r="B5" s="3">
        <f t="shared" si="1"/>
        <v>5270.16</v>
      </c>
      <c r="C5" s="3">
        <v>219.59</v>
      </c>
      <c r="D5" s="5">
        <f t="shared" si="2"/>
        <v>0.07136675</v>
      </c>
      <c r="G5" s="2" t="s">
        <v>6</v>
      </c>
      <c r="H5" s="3">
        <f t="shared" si="3"/>
        <v>5373.42</v>
      </c>
      <c r="I5" s="3">
        <f>206.67</f>
        <v>206.67</v>
      </c>
      <c r="J5" s="5">
        <f t="shared" si="4"/>
        <v>0.05835388235</v>
      </c>
    </row>
    <row r="6" ht="15.75" customHeight="1">
      <c r="A6" s="2" t="s">
        <v>7</v>
      </c>
      <c r="B6" s="3">
        <f t="shared" si="1"/>
        <v>1232.64</v>
      </c>
      <c r="C6" s="3">
        <v>51.36</v>
      </c>
      <c r="D6" s="5">
        <f t="shared" si="2"/>
        <v>0.016692</v>
      </c>
      <c r="G6" s="2" t="s">
        <v>7</v>
      </c>
      <c r="H6" s="3">
        <f t="shared" si="3"/>
        <v>1256.58</v>
      </c>
      <c r="I6" s="3">
        <f>48.33</f>
        <v>48.33</v>
      </c>
      <c r="J6" s="5">
        <f t="shared" si="4"/>
        <v>0.01364611765</v>
      </c>
    </row>
    <row r="7" ht="15.75" customHeight="1">
      <c r="A7" s="2" t="s">
        <v>8</v>
      </c>
      <c r="B7" s="3">
        <f t="shared" si="1"/>
        <v>4906.56</v>
      </c>
      <c r="C7" s="3">
        <v>204.44</v>
      </c>
      <c r="D7" s="5">
        <f t="shared" si="2"/>
        <v>0.066443</v>
      </c>
      <c r="G7" s="2" t="s">
        <v>9</v>
      </c>
      <c r="H7" s="3">
        <f t="shared" si="3"/>
        <v>3909.1</v>
      </c>
      <c r="I7" s="3">
        <f>150.35</f>
        <v>150.35</v>
      </c>
      <c r="J7" s="5">
        <f t="shared" si="4"/>
        <v>0.04245176471</v>
      </c>
    </row>
    <row r="8" ht="15.75" customHeight="1">
      <c r="A8" s="2" t="s">
        <v>10</v>
      </c>
      <c r="B8" s="3">
        <f t="shared" si="1"/>
        <v>935.04</v>
      </c>
      <c r="C8" s="3">
        <v>38.96</v>
      </c>
      <c r="D8" s="5">
        <f t="shared" si="2"/>
        <v>0.012662</v>
      </c>
      <c r="G8" s="2" t="s">
        <v>11</v>
      </c>
      <c r="H8" s="3">
        <f t="shared" si="3"/>
        <v>356.98</v>
      </c>
      <c r="I8" s="3">
        <f>12.43+1.3</f>
        <v>13.73</v>
      </c>
      <c r="J8" s="5">
        <f t="shared" si="4"/>
        <v>0.003876705882</v>
      </c>
    </row>
    <row r="9" ht="15.75" customHeight="1">
      <c r="A9" s="2" t="s">
        <v>12</v>
      </c>
      <c r="B9" s="3">
        <v>0.0</v>
      </c>
      <c r="C9" s="3">
        <v>0.0</v>
      </c>
      <c r="D9" s="5">
        <f t="shared" si="2"/>
        <v>0</v>
      </c>
      <c r="G9" s="2" t="s">
        <v>13</v>
      </c>
      <c r="H9" s="3">
        <f t="shared" si="3"/>
        <v>2928.9</v>
      </c>
      <c r="I9" s="3">
        <v>112.65</v>
      </c>
      <c r="J9" s="5">
        <f t="shared" si="4"/>
        <v>0.03180705882</v>
      </c>
    </row>
    <row r="10" ht="15.75" customHeight="1">
      <c r="A10" s="2" t="s">
        <v>14</v>
      </c>
      <c r="B10" s="3">
        <f>C10*26</f>
        <v>54203.32</v>
      </c>
      <c r="C10" s="3">
        <f>C3-SUM(C4:C9)</f>
        <v>2084.743077</v>
      </c>
      <c r="G10" s="2" t="s">
        <v>15</v>
      </c>
      <c r="H10" s="3">
        <f t="shared" si="3"/>
        <v>4333.42</v>
      </c>
      <c r="I10" s="3">
        <v>166.67</v>
      </c>
      <c r="J10" s="5">
        <f t="shared" si="4"/>
        <v>0.04705976471</v>
      </c>
    </row>
    <row r="11" ht="15.75" customHeight="1">
      <c r="G11" s="2" t="s">
        <v>14</v>
      </c>
      <c r="H11" s="3">
        <f t="shared" ref="H11:I11" si="5">H3-SUM(H4:H10)</f>
        <v>57567.14</v>
      </c>
      <c r="I11" s="3">
        <f t="shared" si="5"/>
        <v>2486.556667</v>
      </c>
    </row>
    <row r="12" ht="15.75" customHeight="1"/>
    <row r="13" ht="15.75" customHeight="1">
      <c r="C13" s="3"/>
    </row>
    <row r="14" ht="15.75" customHeight="1"/>
    <row r="15" ht="15.75" customHeight="1"/>
    <row r="16" ht="15.75" customHeight="1"/>
    <row r="17" ht="15.75" customHeight="1">
      <c r="N17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G1:J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78"/>
    <col customWidth="1" min="2" max="2" width="16.78"/>
    <col customWidth="1" min="3" max="3" width="14.22"/>
    <col customWidth="1" min="4" max="4" width="12.67"/>
    <col customWidth="1" min="5" max="5" width="13.67"/>
    <col customWidth="1" min="6" max="6" width="13.22"/>
    <col customWidth="1" min="7" max="7" width="15.67"/>
    <col customWidth="1" min="8" max="8" width="10.22"/>
    <col customWidth="1" min="9" max="11" width="10.56"/>
    <col customWidth="1" min="12" max="12" width="12.11"/>
    <col customWidth="1" min="13" max="19" width="10.56"/>
    <col customWidth="1" min="20" max="21" width="11.0"/>
    <col customWidth="1" min="22" max="22" width="13.33"/>
    <col customWidth="1" min="23" max="23" width="12.11"/>
    <col customWidth="1" min="24" max="24" width="10.56"/>
    <col customWidth="1" min="25" max="25" width="13.11"/>
    <col customWidth="1" min="26" max="26" width="12.11"/>
  </cols>
  <sheetData>
    <row r="1" ht="15.75" customHeight="1">
      <c r="A1" s="6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8" t="s">
        <v>21</v>
      </c>
      <c r="G1" s="8" t="s">
        <v>22</v>
      </c>
      <c r="H1" s="9" t="s">
        <v>23</v>
      </c>
    </row>
    <row r="2" ht="15.75" customHeight="1">
      <c r="A2" s="10">
        <v>44075.0</v>
      </c>
      <c r="B2" s="11">
        <v>0.0</v>
      </c>
      <c r="C2" s="11">
        <f>Investments!K3+Expenses!F2+Expenses!G2+Expenses!H2+Investments!S3</f>
        <v>0</v>
      </c>
      <c r="D2" s="12">
        <f>'Monthly Finances'!E2</f>
        <v>6028.46</v>
      </c>
      <c r="E2" s="13">
        <f t="shared" ref="E2:E52" si="1">B2+D2</f>
        <v>6028.46</v>
      </c>
      <c r="F2" s="14" t="s">
        <v>24</v>
      </c>
      <c r="G2" s="15" t="s">
        <v>24</v>
      </c>
      <c r="H2" s="16" t="s">
        <v>24</v>
      </c>
    </row>
    <row r="3" ht="15.75" customHeight="1">
      <c r="A3" s="17">
        <v>44105.0</v>
      </c>
      <c r="B3" s="18">
        <f>Investments!D4+Investments!H4+Investments!L4+Investments!P4+Investments!T4</f>
        <v>200.01</v>
      </c>
      <c r="C3" s="18">
        <f>Investments!C4+Investments!G4+Investments!K4+Investments!O4+Investments!S4+Investments!W4+Investments!AA4</f>
        <v>200</v>
      </c>
      <c r="D3" s="19">
        <f>'Monthly Finances'!E3</f>
        <v>8158.28</v>
      </c>
      <c r="E3" s="20">
        <f t="shared" si="1"/>
        <v>8358.29</v>
      </c>
      <c r="F3" s="21">
        <f t="shared" ref="F3:F52" si="2">(E3-E2)/E2</f>
        <v>0.3864718353</v>
      </c>
      <c r="G3" s="22" t="s">
        <v>24</v>
      </c>
      <c r="H3" s="23">
        <f t="shared" ref="H3:H52" si="3">(D3-D2)/D2</f>
        <v>0.3532942078</v>
      </c>
      <c r="Y3" s="4"/>
    </row>
    <row r="4" ht="15.75" customHeight="1">
      <c r="A4" s="10">
        <v>44136.0</v>
      </c>
      <c r="B4" s="11">
        <f>Investments!D5+Investments!H5+Investments!L5+Investments!P5+Investments!T5</f>
        <v>620.94</v>
      </c>
      <c r="C4" s="11">
        <f>Investments!C5+Investments!G5+Investments!K5+Investments!O5+Investments!S5+Investments!W5+Investments!AA5</f>
        <v>400</v>
      </c>
      <c r="D4" s="12">
        <f>'Monthly Finances'!E4</f>
        <v>9946.06</v>
      </c>
      <c r="E4" s="24">
        <f t="shared" si="1"/>
        <v>10567</v>
      </c>
      <c r="F4" s="25">
        <f t="shared" si="2"/>
        <v>0.2642538127</v>
      </c>
      <c r="G4" s="25">
        <f t="shared" ref="G4:G52" si="4">(B4-C4-B3)/B3</f>
        <v>0.1046447678</v>
      </c>
      <c r="H4" s="26">
        <f t="shared" si="3"/>
        <v>0.2191368769</v>
      </c>
      <c r="Y4" s="4"/>
      <c r="Z4" s="5"/>
    </row>
    <row r="5" ht="15.75" customHeight="1">
      <c r="A5" s="17">
        <v>44166.0</v>
      </c>
      <c r="B5" s="18">
        <f>Investments!D6+Investments!H6+Investments!L6+Investments!P6+Investments!T6</f>
        <v>1045.07</v>
      </c>
      <c r="C5" s="18">
        <f>Investments!C6+Investments!G6+Investments!K6+Investments!O6+Investments!S6+Investments!W6+Investments!AA6</f>
        <v>400</v>
      </c>
      <c r="D5" s="19">
        <f>'Monthly Finances'!E5</f>
        <v>11758.03</v>
      </c>
      <c r="E5" s="20">
        <f t="shared" si="1"/>
        <v>12803.1</v>
      </c>
      <c r="F5" s="21">
        <f t="shared" si="2"/>
        <v>0.2116116211</v>
      </c>
      <c r="G5" s="21">
        <f t="shared" si="4"/>
        <v>0.0388604374</v>
      </c>
      <c r="H5" s="23">
        <f t="shared" si="3"/>
        <v>0.1821796772</v>
      </c>
      <c r="Y5" s="4"/>
      <c r="Z5" s="5"/>
    </row>
    <row r="6" ht="15.75" customHeight="1">
      <c r="A6" s="10">
        <v>44197.0</v>
      </c>
      <c r="B6" s="11">
        <f>Investments!D7+Investments!H7+Investments!L7+Investments!P7+Investments!T7</f>
        <v>1499.43</v>
      </c>
      <c r="C6" s="11">
        <f>Investments!C7+Investments!G7+Investments!K7+Investments!O7+Investments!S7+Investments!W7+Investments!AA7</f>
        <v>478</v>
      </c>
      <c r="D6" s="12">
        <f>'Monthly Finances'!E6</f>
        <v>14838.49</v>
      </c>
      <c r="E6" s="24">
        <f t="shared" si="1"/>
        <v>16337.92</v>
      </c>
      <c r="F6" s="25">
        <f t="shared" si="2"/>
        <v>0.2760909467</v>
      </c>
      <c r="G6" s="25">
        <f t="shared" si="4"/>
        <v>-0.02262049432</v>
      </c>
      <c r="H6" s="26">
        <f t="shared" si="3"/>
        <v>0.261987765</v>
      </c>
    </row>
    <row r="7" ht="15.75" customHeight="1">
      <c r="A7" s="17">
        <v>44228.0</v>
      </c>
      <c r="B7" s="18">
        <f>Investments!D8+Investments!H8+Investments!L8+Investments!P8+Investments!T8</f>
        <v>3025.57</v>
      </c>
      <c r="C7" s="18">
        <f>Investments!C8+Investments!G8+Investments!K8+Investments!O8+Investments!S8+Investments!W8+Investments!AA8</f>
        <v>1519.61</v>
      </c>
      <c r="D7" s="19">
        <f>'Monthly Finances'!E7</f>
        <v>18119.39</v>
      </c>
      <c r="E7" s="20">
        <f t="shared" si="1"/>
        <v>21144.96</v>
      </c>
      <c r="F7" s="21">
        <f t="shared" si="2"/>
        <v>0.294225948</v>
      </c>
      <c r="G7" s="21">
        <f t="shared" si="4"/>
        <v>0.004354988229</v>
      </c>
      <c r="H7" s="23">
        <f t="shared" si="3"/>
        <v>0.2211074038</v>
      </c>
    </row>
    <row r="8" ht="15.75" customHeight="1">
      <c r="A8" s="10">
        <v>44256.0</v>
      </c>
      <c r="B8" s="11">
        <f>Investments!D9+Investments!H9+Investments!L9+Investments!P9+Investments!T9</f>
        <v>5176.39</v>
      </c>
      <c r="C8" s="11">
        <f>Investments!C9+Investments!G9+Investments!K9+Investments!O9+Investments!S9+Investments!W9+Investments!AA9</f>
        <v>7045.21</v>
      </c>
      <c r="D8" s="12">
        <f>'Monthly Finances'!E8</f>
        <v>20624.55</v>
      </c>
      <c r="E8" s="24">
        <f t="shared" si="1"/>
        <v>25800.94</v>
      </c>
      <c r="F8" s="25">
        <f t="shared" si="2"/>
        <v>0.22019337</v>
      </c>
      <c r="G8" s="25">
        <f t="shared" si="4"/>
        <v>-1.617675347</v>
      </c>
      <c r="H8" s="26">
        <f t="shared" si="3"/>
        <v>0.1382585175</v>
      </c>
    </row>
    <row r="9" ht="15.75" customHeight="1">
      <c r="A9" s="17">
        <v>44287.0</v>
      </c>
      <c r="B9" s="18">
        <f>Investments!D10+Investments!H10+Investments!L10+Investments!P10+Investments!T10</f>
        <v>14004.65</v>
      </c>
      <c r="C9" s="18">
        <f>Investments!C10+Investments!G10+Investments!K10+Investments!O10+Investments!S10+Investments!W10+Investments!AA10</f>
        <v>3531.72</v>
      </c>
      <c r="D9" s="19">
        <f>'Monthly Finances'!E9</f>
        <v>18899.3</v>
      </c>
      <c r="E9" s="20">
        <f t="shared" si="1"/>
        <v>32903.95</v>
      </c>
      <c r="F9" s="21">
        <f t="shared" si="2"/>
        <v>0.2753004348</v>
      </c>
      <c r="G9" s="21">
        <f t="shared" si="4"/>
        <v>1.023211157</v>
      </c>
      <c r="H9" s="23">
        <f t="shared" si="3"/>
        <v>-0.08365030995</v>
      </c>
    </row>
    <row r="10" ht="15.75" customHeight="1">
      <c r="A10" s="10">
        <v>44317.0</v>
      </c>
      <c r="B10" s="11">
        <f>Investments!D11+Investments!H11+Investments!L11+Investments!P11+Investments!T11</f>
        <v>16333.38</v>
      </c>
      <c r="C10" s="11">
        <f>Investments!C11+Investments!G11+Investments!K11+Investments!O11+Investments!S11+Investments!W11+Investments!AA11</f>
        <v>2028.66</v>
      </c>
      <c r="D10" s="12">
        <f>'Monthly Finances'!E10</f>
        <v>15736.93</v>
      </c>
      <c r="E10" s="24">
        <f t="shared" si="1"/>
        <v>32070.31</v>
      </c>
      <c r="F10" s="25">
        <f t="shared" si="2"/>
        <v>-0.02533556002</v>
      </c>
      <c r="G10" s="25">
        <f t="shared" si="4"/>
        <v>0.02142645478</v>
      </c>
      <c r="H10" s="26">
        <f t="shared" si="3"/>
        <v>-0.1673273613</v>
      </c>
    </row>
    <row r="11" ht="15.75" customHeight="1">
      <c r="A11" s="17">
        <v>44348.0</v>
      </c>
      <c r="B11" s="18">
        <f>Investments!D12+Investments!H12+Investments!L12+Investments!P12+Investments!T12</f>
        <v>17372.48</v>
      </c>
      <c r="C11" s="18">
        <f>Investments!C12+Investments!G12+Investments!K12+Investments!O12+Investments!S12+Investments!W12+Investments!AA12</f>
        <v>575.31</v>
      </c>
      <c r="D11" s="19">
        <f>'Monthly Finances'!E11</f>
        <v>16495.96</v>
      </c>
      <c r="E11" s="20">
        <f t="shared" si="1"/>
        <v>33868.44</v>
      </c>
      <c r="F11" s="21">
        <f t="shared" si="2"/>
        <v>0.05606836978</v>
      </c>
      <c r="G11" s="21">
        <f t="shared" si="4"/>
        <v>0.02839522499</v>
      </c>
      <c r="H11" s="23">
        <f t="shared" si="3"/>
        <v>0.04823240619</v>
      </c>
    </row>
    <row r="12" ht="15.75" customHeight="1">
      <c r="A12" s="10">
        <v>44378.0</v>
      </c>
      <c r="B12" s="11">
        <f>Investments!D13+Investments!H13+Investments!L13+Investments!P13+Investments!T13</f>
        <v>18088.37</v>
      </c>
      <c r="C12" s="11">
        <f>Investments!C13+Investments!G13+Investments!K13+Investments!O13+Investments!S13+Investments!W13+Investments!AA13</f>
        <v>567.58</v>
      </c>
      <c r="D12" s="12">
        <f>'Monthly Finances'!E12</f>
        <v>17279.58</v>
      </c>
      <c r="E12" s="24">
        <f t="shared" si="1"/>
        <v>35367.95</v>
      </c>
      <c r="F12" s="25">
        <f t="shared" si="2"/>
        <v>0.04427455177</v>
      </c>
      <c r="G12" s="25">
        <f t="shared" si="4"/>
        <v>0.00853706552</v>
      </c>
      <c r="H12" s="26">
        <f t="shared" si="3"/>
        <v>0.04750375243</v>
      </c>
    </row>
    <row r="13" ht="15.75" customHeight="1">
      <c r="A13" s="17">
        <v>44409.0</v>
      </c>
      <c r="B13" s="18">
        <f>Investments!D14+Investments!H14+Investments!L14+Investments!P14+Investments!T14</f>
        <v>19207.7</v>
      </c>
      <c r="C13" s="18">
        <f>Investments!C14+Investments!G14+Investments!K14+Investments!O14+Investments!S14+Investments!W14+Investments!AA14</f>
        <v>544.67</v>
      </c>
      <c r="D13" s="19">
        <f>'Monthly Finances'!E13</f>
        <v>18309.95</v>
      </c>
      <c r="E13" s="20">
        <f t="shared" si="1"/>
        <v>37517.65</v>
      </c>
      <c r="F13" s="21">
        <f t="shared" si="2"/>
        <v>0.06078101784</v>
      </c>
      <c r="G13" s="21">
        <f t="shared" si="4"/>
        <v>0.03176958455</v>
      </c>
      <c r="H13" s="23">
        <f t="shared" si="3"/>
        <v>0.05962934284</v>
      </c>
    </row>
    <row r="14" ht="15.75" customHeight="1">
      <c r="A14" s="10">
        <v>44440.0</v>
      </c>
      <c r="B14" s="11">
        <f>Investments!D15+Investments!H15+Investments!L15+Investments!P15+Investments!T15</f>
        <v>18739.77</v>
      </c>
      <c r="C14" s="11">
        <f>Investments!C15+Investments!G15+Investments!K15+Investments!O15+Investments!S15+Investments!W15+Investments!AA15</f>
        <v>518.43</v>
      </c>
      <c r="D14" s="12">
        <f>'Monthly Finances'!E14</f>
        <v>19753.92</v>
      </c>
      <c r="E14" s="24">
        <f t="shared" si="1"/>
        <v>38493.69</v>
      </c>
      <c r="F14" s="25">
        <f t="shared" si="2"/>
        <v>0.02601548871</v>
      </c>
      <c r="G14" s="25">
        <f t="shared" si="4"/>
        <v>-0.05135232225</v>
      </c>
      <c r="H14" s="26">
        <f t="shared" si="3"/>
        <v>0.07886258564</v>
      </c>
    </row>
    <row r="15" ht="15.75" customHeight="1">
      <c r="A15" s="17">
        <v>44470.0</v>
      </c>
      <c r="B15" s="18">
        <f>Investments!D16+Investments!H16+Investments!L16+Investments!P16+Investments!T16</f>
        <v>20349.59</v>
      </c>
      <c r="C15" s="18">
        <f>Investments!C16+Investments!G16+Investments!K16+Investments!O16+Investments!S16+Investments!W16+Investments!AA16</f>
        <v>503.42</v>
      </c>
      <c r="D15" s="19">
        <f>'Monthly Finances'!E15</f>
        <v>6733.49</v>
      </c>
      <c r="E15" s="20">
        <f t="shared" si="1"/>
        <v>27083.08</v>
      </c>
      <c r="F15" s="21">
        <f t="shared" si="2"/>
        <v>-0.2964280639</v>
      </c>
      <c r="G15" s="21">
        <f t="shared" si="4"/>
        <v>0.05904021234</v>
      </c>
      <c r="H15" s="23">
        <f t="shared" si="3"/>
        <v>-0.6591314534</v>
      </c>
    </row>
    <row r="16" ht="15.75" customHeight="1">
      <c r="A16" s="10">
        <v>44501.0</v>
      </c>
      <c r="B16" s="11">
        <f>Investments!D17+Investments!H17+Investments!L17+Investments!P17+Investments!T17</f>
        <v>20033.71</v>
      </c>
      <c r="C16" s="11">
        <f>Investments!C17+Investments!G17+Investments!K17+Investments!O17+Investments!S17+Investments!W17+Investments!AA17</f>
        <v>518</v>
      </c>
      <c r="D16" s="12">
        <f>'Monthly Finances'!E16</f>
        <v>7546.27</v>
      </c>
      <c r="E16" s="24">
        <f t="shared" si="1"/>
        <v>27579.98</v>
      </c>
      <c r="F16" s="25">
        <f t="shared" si="2"/>
        <v>0.01834724854</v>
      </c>
      <c r="G16" s="25">
        <f t="shared" si="4"/>
        <v>-0.04097772977</v>
      </c>
      <c r="H16" s="26">
        <f t="shared" si="3"/>
        <v>0.1207070925</v>
      </c>
    </row>
    <row r="17" ht="15.75" customHeight="1">
      <c r="A17" s="17">
        <v>44531.0</v>
      </c>
      <c r="B17" s="18">
        <f>Investments!D18+Investments!H18+Investments!L18+Investments!P18+Investments!T18</f>
        <v>20766.4</v>
      </c>
      <c r="C17" s="18">
        <f>Investments!C18+Investments!G18+Investments!K18+Investments!O18+Investments!S18+Investments!W18+Investments!AA18</f>
        <v>503.45</v>
      </c>
      <c r="D17" s="19">
        <f>'Monthly Finances'!E17</f>
        <v>6113</v>
      </c>
      <c r="E17" s="20">
        <f t="shared" si="1"/>
        <v>26879.4</v>
      </c>
      <c r="F17" s="21">
        <f t="shared" si="2"/>
        <v>-0.02540175881</v>
      </c>
      <c r="G17" s="21">
        <f t="shared" si="4"/>
        <v>0.01144271331</v>
      </c>
      <c r="H17" s="23">
        <f t="shared" si="3"/>
        <v>-0.1899309195</v>
      </c>
    </row>
    <row r="18" ht="15.75" customHeight="1">
      <c r="A18" s="10">
        <v>44562.0</v>
      </c>
      <c r="B18" s="11">
        <f>Investments!D19+Investments!H19+Investments!L19+Investments!P19+Investments!T19</f>
        <v>20457.07</v>
      </c>
      <c r="C18" s="11">
        <f>Investments!C19+Investments!G19+Investments!K19+Investments!O19+Investments!S19+Investments!W19+Investments!AA19</f>
        <v>1066.64</v>
      </c>
      <c r="D18" s="12">
        <f>'Monthly Finances'!E18</f>
        <v>8176.17</v>
      </c>
      <c r="E18" s="24">
        <f t="shared" si="1"/>
        <v>28633.24</v>
      </c>
      <c r="F18" s="25">
        <f t="shared" si="2"/>
        <v>0.06524848025</v>
      </c>
      <c r="G18" s="25">
        <f t="shared" si="4"/>
        <v>-0.06625943832</v>
      </c>
      <c r="H18" s="26">
        <f t="shared" si="3"/>
        <v>0.3375053165</v>
      </c>
    </row>
    <row r="19" ht="15.75" customHeight="1">
      <c r="A19" s="17">
        <v>44593.0</v>
      </c>
      <c r="B19" s="18">
        <f>Investments!D20+Investments!H20+Investments!L20+Investments!P20+Investments!T20</f>
        <v>26536.98</v>
      </c>
      <c r="C19" s="18">
        <f>Investments!C20+Investments!G20+Investments!K20+Investments!O20+Investments!S20+Investments!W20+Investments!AA20</f>
        <v>6584.87</v>
      </c>
      <c r="D19" s="19">
        <f>'Monthly Finances'!E19</f>
        <v>8407.75</v>
      </c>
      <c r="E19" s="20">
        <f t="shared" si="1"/>
        <v>34944.73</v>
      </c>
      <c r="F19" s="21">
        <f t="shared" si="2"/>
        <v>0.2204252819</v>
      </c>
      <c r="G19" s="21">
        <f t="shared" si="4"/>
        <v>-0.02468388679</v>
      </c>
      <c r="H19" s="23">
        <f t="shared" si="3"/>
        <v>0.02832377507</v>
      </c>
    </row>
    <row r="20" ht="15.75" customHeight="1">
      <c r="A20" s="10">
        <v>44621.0</v>
      </c>
      <c r="B20" s="11">
        <f>Investments!D21+Investments!H21+Investments!L21+Investments!P21+Investments!T21</f>
        <v>27909.2</v>
      </c>
      <c r="C20" s="11">
        <f>Investments!C21+Investments!G21+Investments!K21+Investments!O21+Investments!S21+Investments!W21+Investments!AA21</f>
        <v>588.1</v>
      </c>
      <c r="D20" s="12">
        <f>'Monthly Finances'!E20</f>
        <v>8640.11</v>
      </c>
      <c r="E20" s="24">
        <f t="shared" si="1"/>
        <v>36549.31</v>
      </c>
      <c r="F20" s="25">
        <f t="shared" si="2"/>
        <v>0.04591765339</v>
      </c>
      <c r="G20" s="25">
        <f t="shared" si="4"/>
        <v>0.02954820029</v>
      </c>
      <c r="H20" s="26">
        <f t="shared" si="3"/>
        <v>0.02763640689</v>
      </c>
    </row>
    <row r="21" ht="15.75" customHeight="1">
      <c r="A21" s="17">
        <v>44652.0</v>
      </c>
      <c r="B21" s="18">
        <f>Investments!D22+Investments!H22+Investments!L22+Investments!P22+Investments!T22</f>
        <v>25452.96</v>
      </c>
      <c r="C21" s="18">
        <f>Investments!C22+Investments!G22+Investments!K22+Investments!O22+Investments!S22+Investments!W22+Investments!AA22</f>
        <v>207.52</v>
      </c>
      <c r="D21" s="19">
        <f>'Monthly Finances'!E21</f>
        <v>7473.54</v>
      </c>
      <c r="E21" s="20">
        <f t="shared" si="1"/>
        <v>32926.5</v>
      </c>
      <c r="F21" s="21">
        <f t="shared" si="2"/>
        <v>-0.09912115988</v>
      </c>
      <c r="G21" s="21">
        <f t="shared" si="4"/>
        <v>-0.09544379631</v>
      </c>
      <c r="H21" s="23">
        <f t="shared" si="3"/>
        <v>-0.1350179569</v>
      </c>
      <c r="T21" s="27"/>
    </row>
    <row r="22" ht="15.75" customHeight="1">
      <c r="A22" s="10">
        <v>44682.0</v>
      </c>
      <c r="B22" s="11">
        <f>Investments!D23+Investments!H23+Investments!L23+Investments!P23+Investments!T23</f>
        <v>25599.7</v>
      </c>
      <c r="C22" s="11">
        <f>Investments!C23+Investments!G23+Investments!K23+Investments!O23+Investments!S23+Investments!W23+Investments!AA23</f>
        <v>212.95</v>
      </c>
      <c r="D22" s="12">
        <f>'Monthly Finances'!E22</f>
        <v>8477.44</v>
      </c>
      <c r="E22" s="24">
        <f t="shared" si="1"/>
        <v>34077.14</v>
      </c>
      <c r="F22" s="25">
        <f t="shared" si="2"/>
        <v>0.03494571242</v>
      </c>
      <c r="G22" s="25">
        <f t="shared" si="4"/>
        <v>-0.002601269165</v>
      </c>
      <c r="H22" s="26">
        <f t="shared" si="3"/>
        <v>0.1343272398</v>
      </c>
      <c r="T22" s="27"/>
    </row>
    <row r="23" ht="15.75" customHeight="1">
      <c r="A23" s="17">
        <v>44713.0</v>
      </c>
      <c r="B23" s="18">
        <f>Investments!D24+Investments!H24+Investments!L24+Investments!P24+Investments!T24</f>
        <v>23518.14</v>
      </c>
      <c r="C23" s="18">
        <f>Investments!C24+Investments!G24+Investments!K24+Investments!O24+Investments!S24+Investments!W24+Investments!AA24</f>
        <v>243.03</v>
      </c>
      <c r="D23" s="19">
        <f>'Monthly Finances'!E23</f>
        <v>8711.55</v>
      </c>
      <c r="E23" s="20">
        <f t="shared" si="1"/>
        <v>32229.69</v>
      </c>
      <c r="F23" s="21">
        <f t="shared" si="2"/>
        <v>-0.05421376324</v>
      </c>
      <c r="G23" s="21">
        <f t="shared" si="4"/>
        <v>-0.090805361</v>
      </c>
      <c r="H23" s="23">
        <f t="shared" si="3"/>
        <v>0.02761564812</v>
      </c>
      <c r="T23" s="27"/>
    </row>
    <row r="24" ht="15.75" customHeight="1">
      <c r="A24" s="10">
        <v>44743.0</v>
      </c>
      <c r="B24" s="11">
        <f>Investments!D25+Investments!H25+Investments!L25+Investments!P25+Investments!T25</f>
        <v>25929.21</v>
      </c>
      <c r="C24" s="11">
        <f>Investments!C25+Investments!G25+Investments!K25+Investments!O25+Investments!S25+Investments!W25+Investments!AA25</f>
        <v>364.28</v>
      </c>
      <c r="D24" s="12">
        <f>'Monthly Finances'!E24</f>
        <v>9443.48</v>
      </c>
      <c r="E24" s="24">
        <f t="shared" si="1"/>
        <v>35372.69</v>
      </c>
      <c r="F24" s="25">
        <f t="shared" si="2"/>
        <v>0.09751877849</v>
      </c>
      <c r="G24" s="25">
        <f t="shared" si="4"/>
        <v>0.08703026685</v>
      </c>
      <c r="H24" s="26">
        <f t="shared" si="3"/>
        <v>0.08401834346</v>
      </c>
      <c r="T24" s="27"/>
    </row>
    <row r="25" ht="15.75" customHeight="1">
      <c r="A25" s="17">
        <v>44774.0</v>
      </c>
      <c r="B25" s="18">
        <f>Investments!D26+Investments!H26+Investments!L26+Investments!P26+Investments!T26</f>
        <v>25195.89</v>
      </c>
      <c r="C25" s="18">
        <f>Investments!C26+Investments!G26+Investments!K26+Investments!O26+Investments!S26+Investments!W26+Investments!AA26</f>
        <v>347.04</v>
      </c>
      <c r="D25" s="19">
        <f>'Monthly Finances'!E25</f>
        <v>10164.61</v>
      </c>
      <c r="E25" s="20">
        <f t="shared" si="1"/>
        <v>35360.5</v>
      </c>
      <c r="F25" s="21">
        <f t="shared" si="2"/>
        <v>-0.0003446161431</v>
      </c>
      <c r="G25" s="21">
        <f t="shared" si="4"/>
        <v>-0.04166575071</v>
      </c>
      <c r="H25" s="23">
        <f t="shared" si="3"/>
        <v>0.07636273916</v>
      </c>
      <c r="T25" s="27"/>
    </row>
    <row r="26" ht="15.75" customHeight="1">
      <c r="A26" s="10">
        <v>44805.0</v>
      </c>
      <c r="B26" s="11">
        <f>Investments!D27+Investments!H27+Investments!L27+Investments!P27+Investments!T27</f>
        <v>23226.73</v>
      </c>
      <c r="C26" s="11">
        <f>Investments!C27+Investments!G27+Investments!K27+Investments!O27+Investments!S27+Investments!W27+Investments!AA27</f>
        <v>569.86</v>
      </c>
      <c r="D26" s="12">
        <f>'Monthly Finances'!E26</f>
        <v>11846.89</v>
      </c>
      <c r="E26" s="24">
        <f t="shared" si="1"/>
        <v>35073.62</v>
      </c>
      <c r="F26" s="25">
        <f t="shared" si="2"/>
        <v>-0.008113007452</v>
      </c>
      <c r="G26" s="25">
        <f t="shared" si="4"/>
        <v>-0.1007711972</v>
      </c>
      <c r="H26" s="26">
        <f t="shared" si="3"/>
        <v>0.1655036445</v>
      </c>
      <c r="T26" s="27"/>
    </row>
    <row r="27" ht="15.75" customHeight="1">
      <c r="A27" s="17">
        <v>44835.0</v>
      </c>
      <c r="B27" s="18">
        <f>Investments!D28+Investments!H28+Investments!L28+Investments!P28+Investments!T28</f>
        <v>25227.76</v>
      </c>
      <c r="C27" s="18">
        <f>Investments!C28+Investments!G28+Investments!K28+Investments!O28+Investments!S28+Investments!W28+Investments!AA28</f>
        <v>272.45</v>
      </c>
      <c r="D27" s="19">
        <f>'Monthly Finances'!E27</f>
        <v>11407.06</v>
      </c>
      <c r="E27" s="20">
        <f t="shared" si="1"/>
        <v>36634.82</v>
      </c>
      <c r="F27" s="21">
        <f t="shared" si="2"/>
        <v>0.04451208629</v>
      </c>
      <c r="G27" s="21">
        <f t="shared" si="4"/>
        <v>0.07442201291</v>
      </c>
      <c r="H27" s="23">
        <f t="shared" si="3"/>
        <v>-0.03712619937</v>
      </c>
      <c r="T27" s="27"/>
    </row>
    <row r="28" ht="15.75" customHeight="1">
      <c r="A28" s="10">
        <v>44866.0</v>
      </c>
      <c r="B28" s="11">
        <f>Investments!D29+Investments!H29+Investments!L29+Investments!P29+Investments!T29</f>
        <v>27223.62</v>
      </c>
      <c r="C28" s="11">
        <f>Investments!C29+Investments!G29+Investments!K29+Investments!O29+Investments!S29+Investments!W29+Investments!AA29</f>
        <v>292.64</v>
      </c>
      <c r="D28" s="12">
        <f>'Monthly Finances'!E28</f>
        <v>12312.44</v>
      </c>
      <c r="E28" s="24">
        <f t="shared" si="1"/>
        <v>39536.06</v>
      </c>
      <c r="F28" s="25">
        <f t="shared" si="2"/>
        <v>0.07919351044</v>
      </c>
      <c r="G28" s="25">
        <f t="shared" si="4"/>
        <v>0.06751372298</v>
      </c>
      <c r="H28" s="26">
        <f t="shared" si="3"/>
        <v>0.07937014445</v>
      </c>
      <c r="T28" s="27"/>
    </row>
    <row r="29" ht="15.75" customHeight="1">
      <c r="A29" s="17">
        <v>44896.0</v>
      </c>
      <c r="B29" s="18">
        <f>Investments!D30+Investments!H30+Investments!L30+Investments!P30+Investments!T30+Investments!W30</f>
        <v>25991.1</v>
      </c>
      <c r="C29" s="18">
        <f>Investments!C30+Investments!G30+Investments!K30+Investments!O30+Investments!S30+Investments!W30+Investments!AA30</f>
        <v>269.62</v>
      </c>
      <c r="D29" s="19">
        <f>'Monthly Finances'!E29</f>
        <v>13185.63</v>
      </c>
      <c r="E29" s="20">
        <f t="shared" si="1"/>
        <v>39176.73</v>
      </c>
      <c r="F29" s="21">
        <f t="shared" si="2"/>
        <v>-0.00908866488</v>
      </c>
      <c r="G29" s="21">
        <f t="shared" si="4"/>
        <v>-0.05517781985</v>
      </c>
      <c r="H29" s="23">
        <f t="shared" si="3"/>
        <v>0.07091933037</v>
      </c>
      <c r="T29" s="27"/>
    </row>
    <row r="30" ht="15.75" customHeight="1">
      <c r="A30" s="10">
        <v>44927.0</v>
      </c>
      <c r="B30" s="11">
        <f>Investments!D31+Investments!H31+Investments!L31+Investments!P31+Investments!T31+Investments!X31</f>
        <v>28387.44</v>
      </c>
      <c r="C30" s="11">
        <f>Investments!C31+Investments!G31+Investments!K31+Investments!O31+Investments!S31+Investments!W31+Investments!AA31</f>
        <v>365.65</v>
      </c>
      <c r="D30" s="12">
        <f>'Monthly Finances'!E30</f>
        <v>14449.54</v>
      </c>
      <c r="E30" s="24">
        <f t="shared" si="1"/>
        <v>42836.98</v>
      </c>
      <c r="F30" s="25">
        <f t="shared" si="2"/>
        <v>0.09342918615</v>
      </c>
      <c r="G30" s="25">
        <f t="shared" si="4"/>
        <v>0.07813020611</v>
      </c>
      <c r="H30" s="26">
        <f t="shared" si="3"/>
        <v>0.09585510893</v>
      </c>
      <c r="T30" s="27"/>
    </row>
    <row r="31" ht="15.75" customHeight="1">
      <c r="A31" s="17">
        <v>44958.0</v>
      </c>
      <c r="B31" s="18">
        <f>Investments!D32+Investments!H32+Investments!L32+Investments!P32+Investments!T32+Investments!X32</f>
        <v>34105.26</v>
      </c>
      <c r="C31" s="18">
        <f>Investments!C32+Investments!G32+Investments!K32+Investments!O32+Investments!S32+Investments!W32+Investments!AA32</f>
        <v>6458.76</v>
      </c>
      <c r="D31" s="19">
        <f>'Monthly Finances'!E31</f>
        <v>8519.62</v>
      </c>
      <c r="E31" s="20">
        <f t="shared" si="1"/>
        <v>42624.88</v>
      </c>
      <c r="F31" s="21">
        <f t="shared" si="2"/>
        <v>-0.004951329435</v>
      </c>
      <c r="G31" s="21">
        <f t="shared" si="4"/>
        <v>-0.02610097987</v>
      </c>
      <c r="H31" s="23">
        <f t="shared" si="3"/>
        <v>-0.4103881508</v>
      </c>
      <c r="T31" s="27"/>
    </row>
    <row r="32" ht="15.75" customHeight="1">
      <c r="A32" s="10">
        <v>44986.0</v>
      </c>
      <c r="B32" s="11">
        <f>Investments!D33+Investments!H33+Investments!L33+Investments!P33+Investments!T33+Investments!X33</f>
        <v>35482.77</v>
      </c>
      <c r="C32" s="11">
        <f>Investments!C33+Investments!G33+Investments!K33+Investments!O33+Investments!S33+Investments!W33+Investments!AA33</f>
        <v>465.9</v>
      </c>
      <c r="D32" s="12">
        <f>'Monthly Finances'!E32</f>
        <v>8208.36</v>
      </c>
      <c r="E32" s="24">
        <f t="shared" si="1"/>
        <v>43691.13</v>
      </c>
      <c r="F32" s="25">
        <f t="shared" si="2"/>
        <v>0.02501473318</v>
      </c>
      <c r="G32" s="25">
        <f t="shared" si="4"/>
        <v>0.02672930803</v>
      </c>
      <c r="H32" s="26">
        <f t="shared" si="3"/>
        <v>-0.03653449332</v>
      </c>
      <c r="T32" s="27"/>
    </row>
    <row r="33" ht="15.75" customHeight="1">
      <c r="A33" s="17">
        <v>45017.0</v>
      </c>
      <c r="B33" s="18">
        <f>Investments!D34+Investments!H34+Investments!L34+Investments!P34+Investments!T34+Investments!X34</f>
        <v>36246.81</v>
      </c>
      <c r="C33" s="18">
        <f>Investments!C34+Investments!G34+Investments!K34+Investments!O34+Investments!S34+Investments!W34+Investments!AA34</f>
        <v>461.52</v>
      </c>
      <c r="D33" s="19">
        <f>'Monthly Finances'!E33</f>
        <v>10841.33</v>
      </c>
      <c r="E33" s="20">
        <f t="shared" si="1"/>
        <v>47088.14</v>
      </c>
      <c r="F33" s="21">
        <f t="shared" si="2"/>
        <v>0.07775056402</v>
      </c>
      <c r="G33" s="21">
        <f t="shared" si="4"/>
        <v>0.00852582817</v>
      </c>
      <c r="H33" s="23">
        <f t="shared" si="3"/>
        <v>0.3207668767</v>
      </c>
    </row>
    <row r="34" ht="15.75" customHeight="1">
      <c r="A34" s="10">
        <v>45047.0</v>
      </c>
      <c r="B34" s="11">
        <f>Investments!D35+Investments!H35+Investments!L35+Investments!P35+Investments!T35+Investments!X35+Investments!AB35</f>
        <v>38928.69</v>
      </c>
      <c r="C34" s="11">
        <f>Investments!C35+Investments!G35+Investments!K35+Investments!O35+Investments!S35+Investments!W35+Investments!AA35</f>
        <v>2555.12</v>
      </c>
      <c r="D34" s="12">
        <f>'Monthly Finances'!E34</f>
        <v>10551.19</v>
      </c>
      <c r="E34" s="24">
        <f t="shared" si="1"/>
        <v>49479.88</v>
      </c>
      <c r="F34" s="25">
        <f t="shared" si="2"/>
        <v>0.05079283234</v>
      </c>
      <c r="G34" s="25">
        <f t="shared" si="4"/>
        <v>0.003497135334</v>
      </c>
      <c r="H34" s="26">
        <f t="shared" si="3"/>
        <v>-0.02676239908</v>
      </c>
    </row>
    <row r="35" ht="15.75" customHeight="1">
      <c r="A35" s="17">
        <v>45078.0</v>
      </c>
      <c r="B35" s="18">
        <f>Investments!D36+Investments!H36+Investments!L36+Investments!P36+Investments!T36+Investments!X36+Investments!AB36</f>
        <v>41854.86</v>
      </c>
      <c r="C35" s="18">
        <f>Investments!C36+Investments!G36+Investments!K36+Investments!O36+Investments!S36+Investments!W36+Investments!AA36</f>
        <v>476.98</v>
      </c>
      <c r="D35" s="19">
        <f>'Monthly Finances'!E35</f>
        <v>10560.68</v>
      </c>
      <c r="E35" s="20">
        <f t="shared" si="1"/>
        <v>52415.54</v>
      </c>
      <c r="F35" s="21">
        <f t="shared" si="2"/>
        <v>0.05933037833</v>
      </c>
      <c r="G35" s="21">
        <f t="shared" si="4"/>
        <v>0.06291478085</v>
      </c>
      <c r="H35" s="23">
        <f t="shared" si="3"/>
        <v>0.0008994246147</v>
      </c>
      <c r="M35" s="28"/>
    </row>
    <row r="36" ht="15.75" customHeight="1">
      <c r="A36" s="10">
        <v>45108.0</v>
      </c>
      <c r="B36" s="11">
        <f>Investments!D37+Investments!H37+Investments!L37+Investments!P37+Investments!T37+Investments!X37+Investments!AB37</f>
        <v>43945.23</v>
      </c>
      <c r="C36" s="11">
        <f>Investments!C37+Investments!G37+Investments!K37+Investments!O37+Investments!S37+Investments!W37+Investments!AA37</f>
        <v>445.6</v>
      </c>
      <c r="D36" s="12">
        <f>'Monthly Finances'!E36</f>
        <v>13693.37</v>
      </c>
      <c r="E36" s="24">
        <f t="shared" si="1"/>
        <v>57638.6</v>
      </c>
      <c r="F36" s="25">
        <f t="shared" si="2"/>
        <v>0.09964716571</v>
      </c>
      <c r="G36" s="25">
        <f t="shared" si="4"/>
        <v>0.03929698964</v>
      </c>
      <c r="H36" s="26">
        <f t="shared" si="3"/>
        <v>0.2966371484</v>
      </c>
    </row>
    <row r="37" ht="15.75" customHeight="1">
      <c r="A37" s="17">
        <v>45139.0</v>
      </c>
      <c r="B37" s="18">
        <f>Investments!D38+Investments!F38+Investments!L38+Investments!P38+Investments!T38+Investments!X38+Investments!AB38</f>
        <v>48890.43</v>
      </c>
      <c r="C37" s="18">
        <f>Investments!C38+Investments!G38+Investments!K38+Investments!O38+Investments!S38+Investments!W38+Investments!AA38</f>
        <v>5672.18</v>
      </c>
      <c r="D37" s="19">
        <f>'Monthly Finances'!E37</f>
        <v>11012.07</v>
      </c>
      <c r="E37" s="20">
        <f t="shared" si="1"/>
        <v>59902.5</v>
      </c>
      <c r="F37" s="21">
        <f t="shared" si="2"/>
        <v>0.03927749807</v>
      </c>
      <c r="G37" s="21">
        <f t="shared" si="4"/>
        <v>-0.01654286483</v>
      </c>
      <c r="H37" s="23">
        <f t="shared" si="3"/>
        <v>-0.1958100891</v>
      </c>
    </row>
    <row r="38" ht="15.75" customHeight="1">
      <c r="A38" s="10">
        <v>45170.0</v>
      </c>
      <c r="B38" s="11">
        <f>Investments!D39+Investments!F39+Investments!L39+Investments!P39+Investments!T39+Investments!X39+Investments!AB39</f>
        <v>51909.66</v>
      </c>
      <c r="C38" s="11">
        <f>Investments!C39+Investments!G39+Investments!K39+Investments!O39+Investments!S39+Investments!W39+Investments!AA39</f>
        <v>5496.52</v>
      </c>
      <c r="D38" s="12">
        <f>'Monthly Finances'!E38</f>
        <v>8603.45</v>
      </c>
      <c r="E38" s="24">
        <f t="shared" si="1"/>
        <v>60513.11</v>
      </c>
      <c r="F38" s="25">
        <f t="shared" si="2"/>
        <v>0.0101933976</v>
      </c>
      <c r="G38" s="25">
        <f t="shared" si="4"/>
        <v>-0.05067024364</v>
      </c>
      <c r="H38" s="26">
        <f t="shared" si="3"/>
        <v>-0.2187254531</v>
      </c>
    </row>
    <row r="39" ht="15.75" customHeight="1">
      <c r="A39" s="17">
        <v>45200.0</v>
      </c>
      <c r="B39" s="18">
        <f>Investments!D40+Investments!F40+Investments!L40+Investments!P40+Investments!T40+Investments!X40+Investments!AB40</f>
        <v>51926.47</v>
      </c>
      <c r="C39" s="18">
        <f>Investments!C40+Investments!G40+Investments!K40+Investments!O40+Investments!S40+Investments!W40+Investments!AA40</f>
        <v>1446.62</v>
      </c>
      <c r="D39" s="19">
        <f>'Monthly Finances'!E39</f>
        <v>7598.21</v>
      </c>
      <c r="E39" s="20">
        <f t="shared" si="1"/>
        <v>59524.68</v>
      </c>
      <c r="F39" s="21">
        <f t="shared" si="2"/>
        <v>-0.01633414644</v>
      </c>
      <c r="G39" s="21">
        <f t="shared" si="4"/>
        <v>-0.0275441989</v>
      </c>
      <c r="H39" s="23">
        <f t="shared" si="3"/>
        <v>-0.1168414996</v>
      </c>
      <c r="L39" s="4"/>
    </row>
    <row r="40" ht="15.75" customHeight="1">
      <c r="A40" s="10">
        <v>45231.0</v>
      </c>
      <c r="B40" s="11">
        <f>Investments!D41+Investments!F41+Investments!L41+Investments!P41+Investments!T41+Investments!X41+Investments!AB41</f>
        <v>56354.21</v>
      </c>
      <c r="C40" s="11">
        <f>Investments!C41+Investments!G41+Investments!K41+Investments!O41+Investments!S41+Investments!W41+Investments!AA41</f>
        <v>437.84</v>
      </c>
      <c r="D40" s="12">
        <f>'Monthly Finances'!E40</f>
        <v>9555.92</v>
      </c>
      <c r="E40" s="24">
        <f t="shared" si="1"/>
        <v>65910.13</v>
      </c>
      <c r="F40" s="25">
        <f t="shared" si="2"/>
        <v>0.1072739912</v>
      </c>
      <c r="G40" s="25">
        <f t="shared" si="4"/>
        <v>0.07683749733</v>
      </c>
      <c r="H40" s="26">
        <f t="shared" si="3"/>
        <v>0.2576541054</v>
      </c>
    </row>
    <row r="41" ht="15.75" customHeight="1">
      <c r="A41" s="17">
        <v>45261.0</v>
      </c>
      <c r="B41" s="18">
        <f>Investments!D42+Investments!F42+Investments!L42+Investments!P42+Investments!T42+Investments!X42+Investments!AB42</f>
        <v>62325.53</v>
      </c>
      <c r="C41" s="18">
        <f>Investments!C42+Investments!G42+Investments!K42+Investments!O42+Investments!S42+Investments!W42+Investments!AA42</f>
        <v>2824.06</v>
      </c>
      <c r="D41" s="19">
        <f>'Monthly Finances'!E41</f>
        <v>8486.11</v>
      </c>
      <c r="E41" s="20">
        <f t="shared" si="1"/>
        <v>70811.64</v>
      </c>
      <c r="F41" s="21">
        <f t="shared" si="2"/>
        <v>0.0743665655</v>
      </c>
      <c r="G41" s="21">
        <f t="shared" si="4"/>
        <v>0.05584782397</v>
      </c>
      <c r="H41" s="23">
        <f t="shared" si="3"/>
        <v>-0.1119525906</v>
      </c>
    </row>
    <row r="42" ht="15.75" customHeight="1">
      <c r="A42" s="10">
        <v>45292.0</v>
      </c>
      <c r="B42" s="11">
        <f>Investments!D43+Investments!F43+Investments!L43+Investments!P43+Investments!T43+Investments!X43+Investments!AB43</f>
        <v>67027.86</v>
      </c>
      <c r="C42" s="11">
        <f>Investments!C43+Investments!G43+Investments!K43+Investments!O43+Investments!S43+Investments!W43+Investments!AA43</f>
        <v>3359.2</v>
      </c>
      <c r="D42" s="12">
        <f>'Monthly Finances'!E42</f>
        <v>8794.32</v>
      </c>
      <c r="E42" s="24">
        <f t="shared" si="1"/>
        <v>75822.18</v>
      </c>
      <c r="F42" s="25">
        <f t="shared" si="2"/>
        <v>0.07075870577</v>
      </c>
      <c r="G42" s="25">
        <f t="shared" si="4"/>
        <v>0.02155023792</v>
      </c>
      <c r="H42" s="26">
        <f t="shared" si="3"/>
        <v>0.03631935009</v>
      </c>
    </row>
    <row r="43" ht="15.75" customHeight="1">
      <c r="A43" s="17">
        <v>45323.0</v>
      </c>
      <c r="B43" s="18">
        <f>Investments!D44+Investments!F44+Investments!L44+Investments!P44+Investments!T44+Investments!X44+Investments!AB44</f>
        <v>70596.78</v>
      </c>
      <c r="C43" s="18">
        <f>Investments!C44+Investments!G44+Investments!K44+Investments!O44+Investments!S44+Investments!W44+Investments!AA44</f>
        <v>763.1</v>
      </c>
      <c r="D43" s="19">
        <f>'Monthly Finances'!E43</f>
        <v>9363.23</v>
      </c>
      <c r="E43" s="20">
        <f t="shared" si="1"/>
        <v>79960.01</v>
      </c>
      <c r="F43" s="21">
        <f t="shared" si="2"/>
        <v>0.05457281761</v>
      </c>
      <c r="G43" s="21">
        <f t="shared" si="4"/>
        <v>0.04186050398</v>
      </c>
      <c r="H43" s="23">
        <f t="shared" si="3"/>
        <v>0.06469061849</v>
      </c>
    </row>
    <row r="44" ht="15.75" customHeight="1">
      <c r="A44" s="10">
        <v>45352.0</v>
      </c>
      <c r="B44" s="11">
        <f>Investments!D45+Investments!F45+Investments!L45+Investments!P45+Investments!T45+Investments!X45+Investments!AB45</f>
        <v>73958.29</v>
      </c>
      <c r="C44" s="11">
        <f>Investments!C45+Investments!G45+Investments!K45+Investments!O45+Investments!S45+Investments!W45+Investments!AA45</f>
        <v>901.2</v>
      </c>
      <c r="D44" s="12">
        <f>'Monthly Finances'!E44</f>
        <v>8607.75</v>
      </c>
      <c r="E44" s="24">
        <f t="shared" si="1"/>
        <v>82566.04</v>
      </c>
      <c r="F44" s="25">
        <f t="shared" si="2"/>
        <v>0.03259166676</v>
      </c>
      <c r="G44" s="25">
        <f t="shared" si="4"/>
        <v>0.03485017305</v>
      </c>
      <c r="H44" s="26">
        <f t="shared" si="3"/>
        <v>-0.08068583171</v>
      </c>
    </row>
    <row r="45" ht="15.75" customHeight="1">
      <c r="A45" s="17">
        <v>45383.0</v>
      </c>
      <c r="B45" s="18">
        <f>Investments!D46+Investments!F46+Investments!L46+Investments!P46+Investments!T46+Investments!X46+Investments!AB46</f>
        <v>75190.3</v>
      </c>
      <c r="C45" s="18">
        <f>Investments!C46+Investments!G46+Investments!K46+Investments!O46+Investments!S46+Investments!W46+Investments!AA46</f>
        <v>3492.8</v>
      </c>
      <c r="D45" s="19">
        <f>'Monthly Finances'!E45</f>
        <v>6197.38</v>
      </c>
      <c r="E45" s="20">
        <f t="shared" si="1"/>
        <v>81387.68</v>
      </c>
      <c r="F45" s="21">
        <f t="shared" si="2"/>
        <v>-0.01427172721</v>
      </c>
      <c r="G45" s="21">
        <f t="shared" si="4"/>
        <v>-0.03056844608</v>
      </c>
      <c r="H45" s="23">
        <f t="shared" si="3"/>
        <v>-0.2800232349</v>
      </c>
    </row>
    <row r="46" ht="15.75" customHeight="1">
      <c r="A46" s="10">
        <v>45413.0</v>
      </c>
      <c r="B46" s="11">
        <f>Investments!D47+Investments!F47+Investments!L47+Investments!P47+Investments!T47+Investments!X47+Investments!AB47</f>
        <v>78497.26</v>
      </c>
      <c r="C46" s="11">
        <f>Investments!C47+Investments!G47+Investments!K47+Investments!O47+Investments!S47+Investments!W47+Investments!AA47</f>
        <v>527.98</v>
      </c>
      <c r="D46" s="12">
        <f>'Monthly Finances'!E46</f>
        <v>9582.75</v>
      </c>
      <c r="E46" s="24">
        <f t="shared" si="1"/>
        <v>88080.01</v>
      </c>
      <c r="F46" s="25">
        <f t="shared" si="2"/>
        <v>0.08222780155</v>
      </c>
      <c r="G46" s="25">
        <f t="shared" si="4"/>
        <v>0.03695928863</v>
      </c>
      <c r="H46" s="26">
        <f t="shared" si="3"/>
        <v>0.5462582575</v>
      </c>
    </row>
    <row r="47" ht="15.75" customHeight="1">
      <c r="A47" s="17">
        <v>45444.0</v>
      </c>
      <c r="B47" s="18">
        <f>Investments!D48+Investments!F48+Investments!L48+Investments!P48+Investments!T48+Investments!X48+Investments!AB48</f>
        <v>81252.19</v>
      </c>
      <c r="C47" s="18">
        <f>Investments!C48+Investments!G48+Investments!K48+Investments!O48+Investments!S48+Investments!W48+Investments!AA48</f>
        <v>664.14</v>
      </c>
      <c r="D47" s="19">
        <f>'Monthly Finances'!E47</f>
        <v>12227.39</v>
      </c>
      <c r="E47" s="20">
        <f t="shared" si="1"/>
        <v>93479.58</v>
      </c>
      <c r="F47" s="21">
        <f t="shared" si="2"/>
        <v>0.06130301302</v>
      </c>
      <c r="G47" s="21">
        <f t="shared" si="4"/>
        <v>0.0266351972</v>
      </c>
      <c r="H47" s="23">
        <f t="shared" si="3"/>
        <v>0.2759792335</v>
      </c>
    </row>
    <row r="48" ht="15.75" customHeight="1">
      <c r="A48" s="10">
        <v>45474.0</v>
      </c>
      <c r="B48" s="11">
        <f>Investments!D49+Investments!F49+Investments!L49+Investments!P49+Investments!T49+Investments!X49+Investments!AB49</f>
        <v>83548.77</v>
      </c>
      <c r="C48" s="11">
        <f>Investments!C49+Investments!G49+Investments!K49+Investments!O49+Investments!S49+Investments!W49+Investments!AA49</f>
        <v>1012.22</v>
      </c>
      <c r="D48" s="12">
        <f>'Monthly Finances'!E48</f>
        <v>14783.45</v>
      </c>
      <c r="E48" s="24">
        <f t="shared" si="1"/>
        <v>98332.22</v>
      </c>
      <c r="F48" s="25">
        <f t="shared" si="2"/>
        <v>0.05191123024</v>
      </c>
      <c r="G48" s="25">
        <f t="shared" si="4"/>
        <v>0.01580708163</v>
      </c>
      <c r="H48" s="26">
        <f t="shared" si="3"/>
        <v>0.2090437943</v>
      </c>
    </row>
    <row r="49" ht="15.75" customHeight="1">
      <c r="A49" s="17">
        <v>45505.0</v>
      </c>
      <c r="B49" s="18">
        <f>Investments!D50+Investments!F50+Investments!L50+Investments!P50+Investments!T50+Investments!X50+Investments!AB50</f>
        <v>87544.72</v>
      </c>
      <c r="C49" s="18">
        <f>Investments!C50+Investments!G50+Investments!K50+Investments!O50+Investments!S50+Investments!W50+Investments!AA50</f>
        <v>2468.86</v>
      </c>
      <c r="D49" s="19">
        <f>'Monthly Finances'!E49</f>
        <v>12902.63</v>
      </c>
      <c r="E49" s="20">
        <f t="shared" si="1"/>
        <v>100447.35</v>
      </c>
      <c r="F49" s="21">
        <f t="shared" si="2"/>
        <v>0.02151004015</v>
      </c>
      <c r="G49" s="21">
        <f t="shared" si="4"/>
        <v>0.01827782743</v>
      </c>
      <c r="H49" s="23">
        <f t="shared" si="3"/>
        <v>-0.1272247006</v>
      </c>
    </row>
    <row r="50" ht="15.75" customHeight="1">
      <c r="A50" s="10">
        <v>45536.0</v>
      </c>
      <c r="B50" s="11">
        <f>Investments!D51+Investments!F51+Investments!L51+Investments!P51+Investments!T51+Investments!X51+Investments!AB51</f>
        <v>93017.12</v>
      </c>
      <c r="C50" s="11">
        <f>Investments!C51+Investments!G51+Investments!K51+Investments!O51+Investments!S51+Investments!W51+Investments!AA51</f>
        <v>3708.74</v>
      </c>
      <c r="D50" s="12">
        <f>'Monthly Finances'!E50</f>
        <v>18098.14</v>
      </c>
      <c r="E50" s="24">
        <f t="shared" si="1"/>
        <v>111115.26</v>
      </c>
      <c r="F50" s="25">
        <f t="shared" si="2"/>
        <v>0.1062039964</v>
      </c>
      <c r="G50" s="25">
        <f t="shared" si="4"/>
        <v>0.02014581805</v>
      </c>
      <c r="H50" s="26">
        <f t="shared" si="3"/>
        <v>0.4026706183</v>
      </c>
    </row>
    <row r="51" ht="15.75" customHeight="1">
      <c r="A51" s="17">
        <v>45566.0</v>
      </c>
      <c r="B51" s="18">
        <f>Investments!D52+Investments!F52+Investments!L52+Investments!P52+Investments!T52+Investments!X52+Investments!AB52</f>
        <v>97179.74</v>
      </c>
      <c r="C51" s="18">
        <f>Investments!C52+Investments!G52+Investments!K52+Investments!O52+Investments!S52+Investments!W52+Investments!AA52</f>
        <v>4539.68</v>
      </c>
      <c r="D51" s="19">
        <f>'Monthly Finances'!E51</f>
        <v>18998.2</v>
      </c>
      <c r="E51" s="20">
        <f t="shared" si="1"/>
        <v>116177.94</v>
      </c>
      <c r="F51" s="21">
        <f t="shared" si="2"/>
        <v>0.0455624187</v>
      </c>
      <c r="G51" s="21">
        <f t="shared" si="4"/>
        <v>-0.00405366238</v>
      </c>
      <c r="H51" s="23">
        <f t="shared" si="3"/>
        <v>0.04973218242</v>
      </c>
    </row>
    <row r="52" ht="15.75" customHeight="1">
      <c r="A52" s="10">
        <v>45597.0</v>
      </c>
      <c r="B52" s="11">
        <f>Investments!D53+Investments!F53+Investments!L53+Investments!P53+Investments!T53+Investments!X53+Investments!AB53</f>
        <v>106691.51</v>
      </c>
      <c r="C52" s="11">
        <f>Investments!C53+Investments!G53+Investments!K53+Investments!O53+Investments!S53+Investments!W53+Investments!AA53</f>
        <v>5486.24</v>
      </c>
      <c r="D52" s="12">
        <f>'Monthly Finances'!E52</f>
        <v>31459.43</v>
      </c>
      <c r="E52" s="24">
        <f t="shared" si="1"/>
        <v>138150.94</v>
      </c>
      <c r="F52" s="25">
        <f t="shared" si="2"/>
        <v>0.1891322914</v>
      </c>
      <c r="G52" s="25">
        <f t="shared" si="4"/>
        <v>0.04142355186</v>
      </c>
      <c r="H52" s="26">
        <f t="shared" si="3"/>
        <v>0.65591635</v>
      </c>
    </row>
    <row r="53" ht="15.75" customHeight="1">
      <c r="A53" s="17">
        <v>45627.0</v>
      </c>
      <c r="B53" s="18"/>
      <c r="C53" s="18"/>
      <c r="D53" s="19"/>
      <c r="E53" s="20"/>
      <c r="F53" s="21"/>
    </row>
    <row r="54" ht="15.75" customHeight="1">
      <c r="A54" s="10">
        <v>45658.0</v>
      </c>
      <c r="B54" s="11"/>
      <c r="C54" s="11"/>
      <c r="D54" s="12"/>
      <c r="E54" s="24"/>
      <c r="F54" s="25"/>
    </row>
    <row r="55" ht="15.75" customHeight="1">
      <c r="A55" s="17">
        <v>45689.0</v>
      </c>
      <c r="B55" s="18"/>
      <c r="C55" s="18"/>
      <c r="D55" s="19"/>
      <c r="E55" s="20"/>
      <c r="F55" s="21"/>
      <c r="K55" s="29"/>
    </row>
    <row r="56" ht="15.75" customHeight="1">
      <c r="A56" s="10">
        <v>45717.0</v>
      </c>
      <c r="B56" s="11"/>
      <c r="C56" s="11"/>
      <c r="D56" s="12"/>
      <c r="E56" s="24"/>
      <c r="F56" s="25"/>
    </row>
    <row r="57" ht="15.75" customHeight="1">
      <c r="A57" s="30">
        <v>45748.0</v>
      </c>
      <c r="B57" s="31"/>
      <c r="C57" s="31"/>
      <c r="D57" s="32"/>
      <c r="E57" s="33"/>
      <c r="F57" s="34"/>
    </row>
    <row r="58" ht="15.75" customHeight="1">
      <c r="E58" s="4"/>
      <c r="F58" s="5"/>
    </row>
    <row r="59" ht="15.75" customHeight="1">
      <c r="A59" s="1" t="s">
        <v>25</v>
      </c>
      <c r="C59" s="35">
        <f>SUM(C2:C53)</f>
        <v>84383.97</v>
      </c>
      <c r="E59" s="4"/>
      <c r="F59" s="5"/>
      <c r="G59" s="5"/>
      <c r="H59" s="5"/>
    </row>
    <row r="60" ht="15.75" customHeight="1">
      <c r="E60" s="4"/>
      <c r="F60" s="5"/>
    </row>
    <row r="61" ht="15.75" customHeight="1">
      <c r="E61" s="4"/>
      <c r="F61" s="5"/>
    </row>
    <row r="62" ht="15.75" customHeight="1">
      <c r="E62" s="4"/>
      <c r="F62" s="5"/>
    </row>
    <row r="63" ht="15.75" customHeight="1">
      <c r="E63" s="4"/>
      <c r="F63" s="5"/>
    </row>
    <row r="64" ht="15.75" customHeight="1">
      <c r="E64" s="4"/>
      <c r="F64" s="5"/>
    </row>
    <row r="65" ht="15.75" customHeight="1">
      <c r="E65" s="4"/>
      <c r="F65" s="5"/>
    </row>
    <row r="66" ht="15.75" customHeight="1">
      <c r="E66" s="4"/>
      <c r="F66" s="5"/>
    </row>
    <row r="67" ht="15.75" customHeight="1">
      <c r="E67" s="4"/>
      <c r="F67" s="5"/>
    </row>
    <row r="68" ht="15.75" customHeight="1">
      <c r="E68" s="4"/>
      <c r="F68" s="5"/>
    </row>
    <row r="69" ht="15.75" customHeight="1">
      <c r="E69" s="4"/>
      <c r="F69" s="5"/>
    </row>
    <row r="70" ht="15.75" customHeight="1">
      <c r="E70" s="4"/>
      <c r="F70" s="5"/>
    </row>
    <row r="71" ht="15.75" customHeight="1">
      <c r="E71" s="4"/>
      <c r="F71" s="5"/>
    </row>
    <row r="72" ht="15.75" customHeight="1">
      <c r="E72" s="4"/>
      <c r="F72" s="5"/>
      <c r="U72" s="27"/>
      <c r="V72" s="4"/>
      <c r="W72" s="5"/>
    </row>
    <row r="73" ht="15.75" customHeight="1">
      <c r="E73" s="4"/>
      <c r="F73" s="5"/>
      <c r="U73" s="27"/>
      <c r="V73" s="4"/>
      <c r="W73" s="5"/>
    </row>
    <row r="74" ht="15.75" customHeight="1">
      <c r="E74" s="4"/>
      <c r="F74" s="5"/>
      <c r="U74" s="27"/>
      <c r="V74" s="4"/>
      <c r="W74" s="5"/>
    </row>
    <row r="75" ht="15.75" customHeight="1">
      <c r="E75" s="4"/>
      <c r="F75" s="5"/>
      <c r="U75" s="27"/>
      <c r="V75" s="4"/>
      <c r="W75" s="5"/>
    </row>
    <row r="76" ht="15.75" customHeight="1">
      <c r="E76" s="4"/>
      <c r="F76" s="5"/>
      <c r="U76" s="27"/>
      <c r="V76" s="4"/>
      <c r="W76" s="5"/>
    </row>
    <row r="77" ht="15.75" customHeight="1">
      <c r="E77" s="4"/>
      <c r="F77" s="5"/>
      <c r="U77" s="27"/>
      <c r="V77" s="4"/>
      <c r="W77" s="5"/>
    </row>
    <row r="78" ht="15.75" customHeight="1">
      <c r="E78" s="4"/>
      <c r="F78" s="5"/>
      <c r="U78" s="27"/>
      <c r="V78" s="4"/>
      <c r="W78" s="5"/>
    </row>
    <row r="79" ht="15.75" customHeight="1">
      <c r="E79" s="4"/>
      <c r="F79" s="5"/>
      <c r="U79" s="27"/>
      <c r="V79" s="4"/>
      <c r="W79" s="5"/>
    </row>
    <row r="80" ht="15.75" customHeight="1">
      <c r="E80" s="4"/>
      <c r="F80" s="5"/>
      <c r="U80" s="27"/>
      <c r="V80" s="4"/>
      <c r="W80" s="5"/>
    </row>
    <row r="81" ht="15.75" customHeight="1">
      <c r="E81" s="4"/>
      <c r="F81" s="5"/>
      <c r="U81" s="27"/>
      <c r="V81" s="4"/>
      <c r="W81" s="5"/>
    </row>
    <row r="82" ht="15.75" customHeight="1">
      <c r="E82" s="4"/>
      <c r="F82" s="5"/>
      <c r="U82" s="27"/>
      <c r="V82" s="4"/>
      <c r="W82" s="5"/>
    </row>
    <row r="83" ht="15.75" customHeight="1">
      <c r="E83" s="4"/>
      <c r="F83" s="5"/>
      <c r="T83" s="27"/>
      <c r="U83" s="27"/>
      <c r="V83" s="4"/>
      <c r="W83" s="5"/>
    </row>
    <row r="84" ht="15.75" customHeight="1">
      <c r="E84" s="4"/>
      <c r="F84" s="5"/>
      <c r="T84" s="27"/>
      <c r="U84" s="27"/>
      <c r="V84" s="4"/>
      <c r="W84" s="5"/>
    </row>
    <row r="85" ht="15.75" customHeight="1">
      <c r="E85" s="4"/>
      <c r="F85" s="5"/>
      <c r="T85" s="27"/>
      <c r="U85" s="36"/>
      <c r="V85" s="4"/>
      <c r="W85" s="5"/>
    </row>
    <row r="86" ht="15.75" customHeight="1">
      <c r="E86" s="4"/>
      <c r="F86" s="5"/>
      <c r="T86" s="27"/>
      <c r="U86" s="36"/>
      <c r="V86" s="4"/>
      <c r="W86" s="5"/>
    </row>
    <row r="87" ht="15.75" customHeight="1">
      <c r="E87" s="4"/>
      <c r="F87" s="5"/>
      <c r="T87" s="27"/>
      <c r="U87" s="36"/>
      <c r="V87" s="4"/>
      <c r="W87" s="5"/>
    </row>
    <row r="88" ht="15.75" customHeight="1">
      <c r="E88" s="4"/>
      <c r="F88" s="5"/>
      <c r="T88" s="27"/>
      <c r="U88" s="36"/>
      <c r="V88" s="4"/>
      <c r="W88" s="5"/>
    </row>
    <row r="89" ht="15.75" customHeight="1">
      <c r="E89" s="4"/>
      <c r="F89" s="5"/>
      <c r="T89" s="27"/>
      <c r="U89" s="36"/>
      <c r="V89" s="4"/>
      <c r="W89" s="5"/>
    </row>
    <row r="90" ht="15.75" customHeight="1">
      <c r="E90" s="4"/>
      <c r="F90" s="5"/>
      <c r="T90" s="27"/>
      <c r="U90" s="36"/>
      <c r="V90" s="4"/>
      <c r="W90" s="5"/>
    </row>
    <row r="91" ht="15.75" customHeight="1">
      <c r="E91" s="4"/>
      <c r="F91" s="5"/>
      <c r="T91" s="27"/>
      <c r="U91" s="36"/>
      <c r="V91" s="4"/>
      <c r="W91" s="5"/>
    </row>
    <row r="92" ht="15.75" customHeight="1">
      <c r="E92" s="4"/>
      <c r="F92" s="5"/>
      <c r="T92" s="27"/>
      <c r="U92" s="36"/>
      <c r="V92" s="4"/>
      <c r="W92" s="5"/>
    </row>
    <row r="93" ht="15.75" customHeight="1">
      <c r="E93" s="4"/>
      <c r="F93" s="5"/>
      <c r="T93" s="27"/>
      <c r="U93" s="36"/>
      <c r="V93" s="4"/>
      <c r="W93" s="5"/>
    </row>
    <row r="94" ht="15.75" customHeight="1">
      <c r="E94" s="4"/>
      <c r="F94" s="5"/>
      <c r="T94" s="27"/>
      <c r="U94" s="36"/>
      <c r="V94" s="4"/>
      <c r="W94" s="5"/>
    </row>
    <row r="95" ht="15.75" customHeight="1">
      <c r="E95" s="4"/>
      <c r="F95" s="5"/>
      <c r="T95" s="27"/>
      <c r="U95" s="36"/>
      <c r="V95" s="4"/>
      <c r="W95" s="5"/>
    </row>
    <row r="96" ht="15.75" customHeight="1">
      <c r="E96" s="4"/>
      <c r="F96" s="5"/>
      <c r="T96" s="27"/>
      <c r="U96" s="36"/>
      <c r="V96" s="4"/>
      <c r="W96" s="5"/>
    </row>
    <row r="97" ht="15.75" customHeight="1">
      <c r="E97" s="4"/>
      <c r="F97" s="5"/>
      <c r="T97" s="27"/>
      <c r="U97" s="36"/>
      <c r="V97" s="4"/>
      <c r="W97" s="5"/>
    </row>
    <row r="98" ht="15.75" customHeight="1">
      <c r="E98" s="4"/>
      <c r="F98" s="5"/>
      <c r="T98" s="27"/>
      <c r="U98" s="36"/>
      <c r="V98" s="4"/>
      <c r="W98" s="5"/>
    </row>
    <row r="99" ht="15.75" customHeight="1">
      <c r="E99" s="4"/>
      <c r="F99" s="5"/>
      <c r="T99" s="27"/>
      <c r="U99" s="36"/>
      <c r="V99" s="4"/>
      <c r="W99" s="5"/>
    </row>
    <row r="100" ht="15.75" customHeight="1">
      <c r="E100" s="4"/>
      <c r="F100" s="5"/>
      <c r="T100" s="27"/>
      <c r="U100" s="36"/>
      <c r="V100" s="4"/>
      <c r="W100" s="5"/>
    </row>
    <row r="101" ht="15.75" customHeight="1">
      <c r="E101" s="4"/>
      <c r="F101" s="5"/>
      <c r="T101" s="27"/>
      <c r="U101" s="36"/>
      <c r="V101" s="4"/>
      <c r="W101" s="5"/>
    </row>
    <row r="102" ht="15.75" customHeight="1">
      <c r="E102" s="4"/>
      <c r="F102" s="5"/>
      <c r="T102" s="27"/>
      <c r="U102" s="36"/>
      <c r="V102" s="4"/>
      <c r="W102" s="5"/>
    </row>
    <row r="103" ht="15.75" customHeight="1">
      <c r="E103" s="4"/>
      <c r="F103" s="5"/>
      <c r="T103" s="27"/>
      <c r="U103" s="36"/>
      <c r="V103" s="4"/>
      <c r="W103" s="5"/>
    </row>
    <row r="104" ht="15.75" customHeight="1">
      <c r="E104" s="4"/>
      <c r="F104" s="5"/>
      <c r="T104" s="27"/>
      <c r="U104" s="36"/>
      <c r="V104" s="4"/>
      <c r="W104" s="5"/>
    </row>
    <row r="105" ht="15.75" customHeight="1">
      <c r="E105" s="4"/>
      <c r="F105" s="5"/>
      <c r="T105" s="27"/>
      <c r="U105" s="36"/>
      <c r="V105" s="4"/>
      <c r="W105" s="5"/>
    </row>
    <row r="106" ht="15.75" customHeight="1">
      <c r="E106" s="4"/>
      <c r="F106" s="5"/>
      <c r="T106" s="27"/>
      <c r="U106" s="36"/>
      <c r="V106" s="4"/>
      <c r="W106" s="5"/>
    </row>
    <row r="107" ht="15.75" customHeight="1">
      <c r="E107" s="4"/>
      <c r="F107" s="5"/>
      <c r="T107" s="27"/>
      <c r="U107" s="36"/>
      <c r="V107" s="4"/>
      <c r="W107" s="5"/>
    </row>
    <row r="108" ht="15.75" customHeight="1">
      <c r="E108" s="4"/>
      <c r="F108" s="5"/>
      <c r="T108" s="27"/>
      <c r="U108" s="36"/>
      <c r="V108" s="4"/>
      <c r="W108" s="5"/>
    </row>
    <row r="109" ht="15.75" customHeight="1">
      <c r="E109" s="4"/>
      <c r="F109" s="5"/>
      <c r="T109" s="27"/>
      <c r="U109" s="36"/>
      <c r="V109" s="4"/>
      <c r="W109" s="5"/>
    </row>
    <row r="110" ht="15.75" customHeight="1">
      <c r="E110" s="4"/>
      <c r="F110" s="5"/>
      <c r="T110" s="27"/>
      <c r="U110" s="36"/>
      <c r="V110" s="4"/>
      <c r="W110" s="5"/>
    </row>
    <row r="111" ht="15.75" customHeight="1">
      <c r="E111" s="4"/>
      <c r="F111" s="5"/>
      <c r="T111" s="27"/>
      <c r="U111" s="36"/>
      <c r="V111" s="4"/>
      <c r="W111" s="5"/>
    </row>
    <row r="112" ht="15.75" customHeight="1">
      <c r="E112" s="4"/>
      <c r="F112" s="5"/>
      <c r="T112" s="27"/>
      <c r="U112" s="36"/>
      <c r="V112" s="4"/>
      <c r="W112" s="5"/>
    </row>
    <row r="113" ht="15.75" customHeight="1">
      <c r="E113" s="4"/>
      <c r="F113" s="5"/>
      <c r="T113" s="27"/>
      <c r="U113" s="36"/>
      <c r="V113" s="4"/>
      <c r="W113" s="5"/>
    </row>
    <row r="114" ht="15.75" customHeight="1">
      <c r="F114" s="5"/>
      <c r="T114" s="27"/>
      <c r="U114" s="36"/>
      <c r="V114" s="4"/>
      <c r="W114" s="5"/>
    </row>
    <row r="115" ht="15.75" customHeight="1">
      <c r="F115" s="5"/>
      <c r="T115" s="27"/>
      <c r="U115" s="36"/>
      <c r="V115" s="4"/>
      <c r="W115" s="5"/>
    </row>
    <row r="116" ht="15.75" customHeight="1">
      <c r="F116" s="5"/>
      <c r="T116" s="27"/>
      <c r="U116" s="36"/>
      <c r="V116" s="4"/>
      <c r="W116" s="5"/>
    </row>
    <row r="117" ht="15.75" customHeight="1">
      <c r="F117" s="5"/>
      <c r="T117" s="27"/>
      <c r="U117" s="36"/>
      <c r="V117" s="4"/>
      <c r="W117" s="5"/>
    </row>
    <row r="118" ht="15.75" customHeight="1">
      <c r="F118" s="5"/>
      <c r="T118" s="27"/>
      <c r="U118" s="36"/>
      <c r="V118" s="4"/>
      <c r="W118" s="5"/>
    </row>
    <row r="119" ht="15.75" customHeight="1">
      <c r="F119" s="5"/>
      <c r="T119" s="27"/>
      <c r="U119" s="36"/>
      <c r="V119" s="4"/>
      <c r="W119" s="5"/>
    </row>
    <row r="120" ht="15.75" customHeight="1">
      <c r="F120" s="5"/>
      <c r="T120" s="27"/>
      <c r="U120" s="36"/>
      <c r="V120" s="4"/>
      <c r="W120" s="5"/>
    </row>
    <row r="121" ht="15.75" customHeight="1">
      <c r="F121" s="5"/>
      <c r="T121" s="27"/>
      <c r="U121" s="36"/>
      <c r="V121" s="4"/>
      <c r="W121" s="5"/>
    </row>
    <row r="122" ht="15.75" customHeight="1">
      <c r="F122" s="5"/>
      <c r="T122" s="27"/>
      <c r="U122" s="36"/>
      <c r="V122" s="4"/>
      <c r="W122" s="5"/>
    </row>
    <row r="123" ht="15.75" customHeight="1">
      <c r="F123" s="5"/>
      <c r="T123" s="27"/>
      <c r="U123" s="36"/>
      <c r="V123" s="4"/>
      <c r="W123" s="5"/>
    </row>
    <row r="124" ht="15.75" customHeight="1">
      <c r="F124" s="5"/>
      <c r="T124" s="27"/>
      <c r="U124" s="36"/>
      <c r="V124" s="4"/>
      <c r="W124" s="5"/>
    </row>
    <row r="125" ht="15.75" customHeight="1">
      <c r="F125" s="5"/>
      <c r="T125" s="27"/>
      <c r="U125" s="36"/>
      <c r="V125" s="4"/>
      <c r="W125" s="5"/>
    </row>
    <row r="126" ht="15.75" customHeight="1">
      <c r="F126" s="5"/>
      <c r="T126" s="27"/>
      <c r="U126" s="36"/>
      <c r="V126" s="4"/>
      <c r="W126" s="5"/>
    </row>
    <row r="127" ht="15.75" customHeight="1">
      <c r="F127" s="5"/>
      <c r="T127" s="27"/>
      <c r="U127" s="36"/>
      <c r="V127" s="4"/>
      <c r="W127" s="5"/>
    </row>
    <row r="128" ht="15.75" customHeight="1">
      <c r="F128" s="5"/>
      <c r="T128" s="27"/>
      <c r="U128" s="36"/>
      <c r="V128" s="4"/>
      <c r="W128" s="5"/>
    </row>
    <row r="129" ht="15.75" customHeight="1">
      <c r="F129" s="5"/>
      <c r="T129" s="27"/>
      <c r="U129" s="36"/>
      <c r="V129" s="4"/>
      <c r="W129" s="5"/>
    </row>
    <row r="130" ht="15.75" customHeight="1">
      <c r="F130" s="5"/>
      <c r="T130" s="27"/>
      <c r="U130" s="36"/>
      <c r="V130" s="4"/>
      <c r="W130" s="5"/>
    </row>
    <row r="131" ht="15.75" customHeight="1">
      <c r="F131" s="5"/>
      <c r="T131" s="27"/>
      <c r="U131" s="36"/>
      <c r="V131" s="4"/>
      <c r="W131" s="5"/>
    </row>
    <row r="132" ht="15.75" customHeight="1">
      <c r="F132" s="5"/>
      <c r="T132" s="27"/>
      <c r="U132" s="36"/>
      <c r="V132" s="4"/>
      <c r="W132" s="5"/>
    </row>
    <row r="133" ht="15.75" customHeight="1">
      <c r="F133" s="5"/>
      <c r="T133" s="27"/>
      <c r="U133" s="36"/>
      <c r="V133" s="4"/>
      <c r="W133" s="5"/>
    </row>
    <row r="134" ht="15.75" customHeight="1">
      <c r="F134" s="5"/>
    </row>
    <row r="135" ht="15.75" customHeight="1">
      <c r="F135" s="5"/>
    </row>
    <row r="136" ht="15.75" customHeight="1">
      <c r="F136" s="5"/>
    </row>
    <row r="137" ht="15.75" customHeight="1">
      <c r="F137" s="5"/>
    </row>
    <row r="138" ht="15.75" customHeight="1">
      <c r="F138" s="5"/>
    </row>
    <row r="139" ht="15.75" customHeight="1">
      <c r="F139" s="5"/>
    </row>
    <row r="140" ht="15.75" customHeight="1">
      <c r="F140" s="5"/>
    </row>
    <row r="141" ht="15.75" customHeight="1">
      <c r="F141" s="5"/>
    </row>
    <row r="142" ht="15.75" customHeight="1">
      <c r="F142" s="5"/>
    </row>
    <row r="143" ht="15.75" customHeight="1">
      <c r="F143" s="5"/>
    </row>
    <row r="144" ht="15.75" customHeight="1">
      <c r="F144" s="5"/>
    </row>
    <row r="145" ht="15.75" customHeight="1">
      <c r="F145" s="5"/>
    </row>
    <row r="146" ht="15.75" customHeight="1">
      <c r="F146" s="5"/>
    </row>
    <row r="147" ht="15.75" customHeight="1">
      <c r="F147" s="5"/>
    </row>
    <row r="148" ht="15.75" customHeight="1">
      <c r="F148" s="5"/>
    </row>
    <row r="149" ht="15.75" customHeight="1">
      <c r="F149" s="5"/>
    </row>
    <row r="150" ht="15.75" customHeight="1">
      <c r="F150" s="5"/>
    </row>
    <row r="151" ht="15.75" customHeight="1">
      <c r="F151" s="5"/>
    </row>
    <row r="152" ht="15.75" customHeight="1">
      <c r="F152" s="5"/>
    </row>
    <row r="153" ht="15.75" customHeight="1">
      <c r="F153" s="5"/>
    </row>
    <row r="154" ht="15.75" customHeight="1">
      <c r="F154" s="5"/>
    </row>
    <row r="155" ht="15.75" customHeight="1">
      <c r="F155" s="5"/>
    </row>
    <row r="156" ht="15.75" customHeight="1">
      <c r="F156" s="5"/>
    </row>
    <row r="157" ht="15.75" customHeight="1">
      <c r="F157" s="5"/>
    </row>
    <row r="158" ht="15.75" customHeight="1">
      <c r="F158" s="5"/>
    </row>
    <row r="159" ht="15.75" customHeight="1">
      <c r="F159" s="5"/>
    </row>
    <row r="160" ht="15.75" customHeight="1">
      <c r="F160" s="5"/>
    </row>
    <row r="161" ht="15.75" customHeight="1">
      <c r="F161" s="5"/>
    </row>
    <row r="162" ht="15.75" customHeight="1">
      <c r="F162" s="5"/>
    </row>
    <row r="163" ht="15.75" customHeight="1">
      <c r="F163" s="5"/>
    </row>
    <row r="164" ht="15.75" customHeight="1">
      <c r="F164" s="5"/>
    </row>
    <row r="165" ht="15.75" customHeight="1">
      <c r="F165" s="5"/>
    </row>
    <row r="166" ht="15.75" customHeight="1">
      <c r="F166" s="5"/>
    </row>
    <row r="167" ht="15.75" customHeight="1">
      <c r="F167" s="5"/>
    </row>
    <row r="168" ht="15.75" customHeight="1">
      <c r="F168" s="5"/>
    </row>
    <row r="169" ht="15.75" customHeight="1">
      <c r="F169" s="5"/>
    </row>
    <row r="170" ht="15.75" customHeight="1">
      <c r="F170" s="5"/>
    </row>
    <row r="171" ht="15.75" customHeight="1">
      <c r="F171" s="5"/>
    </row>
    <row r="172" ht="15.75" customHeight="1">
      <c r="F172" s="5"/>
    </row>
    <row r="173" ht="15.75" customHeight="1">
      <c r="F173" s="5"/>
    </row>
    <row r="174" ht="15.75" customHeight="1">
      <c r="F174" s="5"/>
    </row>
    <row r="175" ht="15.75" customHeight="1">
      <c r="F175" s="5"/>
    </row>
    <row r="176" ht="15.75" customHeight="1">
      <c r="F176" s="5"/>
    </row>
    <row r="177" ht="15.75" customHeight="1">
      <c r="F177" s="5"/>
    </row>
    <row r="178" ht="15.75" customHeight="1">
      <c r="F178" s="5"/>
    </row>
    <row r="179" ht="15.75" customHeight="1">
      <c r="F179" s="5"/>
    </row>
    <row r="180" ht="15.75" customHeight="1">
      <c r="F180" s="5"/>
    </row>
    <row r="181" ht="15.75" customHeight="1">
      <c r="F181" s="5"/>
    </row>
    <row r="182" ht="15.75" customHeight="1">
      <c r="F182" s="5"/>
    </row>
    <row r="183" ht="15.75" customHeight="1">
      <c r="F183" s="5"/>
    </row>
    <row r="184" ht="15.75" customHeight="1">
      <c r="F184" s="5"/>
    </row>
    <row r="185" ht="15.75" customHeight="1">
      <c r="F185" s="5"/>
    </row>
    <row r="186" ht="15.75" customHeight="1">
      <c r="F186" s="5"/>
    </row>
    <row r="187" ht="15.75" customHeight="1">
      <c r="F187" s="5"/>
    </row>
    <row r="188" ht="15.75" customHeight="1">
      <c r="F188" s="5"/>
    </row>
    <row r="189" ht="15.75" customHeight="1">
      <c r="F189" s="5"/>
    </row>
    <row r="190" ht="15.75" customHeight="1">
      <c r="F190" s="5"/>
    </row>
    <row r="191" ht="15.75" customHeight="1">
      <c r="F191" s="5"/>
    </row>
    <row r="192" ht="15.75" customHeight="1">
      <c r="F192" s="5"/>
    </row>
    <row r="193" ht="15.75" customHeight="1">
      <c r="F193" s="5"/>
    </row>
    <row r="194" ht="15.75" customHeight="1">
      <c r="F194" s="5"/>
    </row>
    <row r="195" ht="15.75" customHeight="1">
      <c r="F195" s="5"/>
    </row>
    <row r="196" ht="15.75" customHeight="1">
      <c r="F196" s="5"/>
    </row>
    <row r="197" ht="15.75" customHeight="1">
      <c r="F197" s="5"/>
    </row>
    <row r="198" ht="15.75" customHeight="1">
      <c r="F198" s="5"/>
    </row>
    <row r="199" ht="15.75" customHeight="1">
      <c r="F199" s="5"/>
    </row>
    <row r="200" ht="15.75" customHeight="1">
      <c r="F200" s="5"/>
    </row>
    <row r="201" ht="15.75" customHeight="1">
      <c r="F201" s="5"/>
    </row>
    <row r="202" ht="15.75" customHeight="1">
      <c r="F202" s="5"/>
    </row>
    <row r="203" ht="15.75" customHeight="1">
      <c r="F203" s="5"/>
    </row>
    <row r="204" ht="15.75" customHeight="1">
      <c r="F204" s="5"/>
    </row>
    <row r="205" ht="15.75" customHeight="1">
      <c r="F205" s="5"/>
    </row>
    <row r="206" ht="15.75" customHeight="1">
      <c r="F206" s="5"/>
    </row>
    <row r="207" ht="15.75" customHeight="1">
      <c r="F207" s="5"/>
    </row>
    <row r="208" ht="15.75" customHeight="1">
      <c r="F208" s="5"/>
    </row>
    <row r="209" ht="15.75" customHeight="1">
      <c r="F209" s="5"/>
    </row>
    <row r="210" ht="15.75" customHeight="1">
      <c r="F210" s="5"/>
    </row>
    <row r="211" ht="15.75" customHeight="1">
      <c r="F211" s="5"/>
    </row>
    <row r="212" ht="15.75" customHeight="1">
      <c r="F212" s="5"/>
    </row>
    <row r="213" ht="15.75" customHeight="1">
      <c r="F213" s="5"/>
    </row>
    <row r="214" ht="15.75" customHeight="1">
      <c r="F214" s="5"/>
    </row>
    <row r="215" ht="15.75" customHeight="1">
      <c r="F215" s="5"/>
    </row>
    <row r="216" ht="15.75" customHeight="1">
      <c r="F216" s="5"/>
    </row>
    <row r="217" ht="15.75" customHeight="1">
      <c r="F217" s="5"/>
    </row>
    <row r="218" ht="15.75" customHeight="1">
      <c r="F218" s="5"/>
    </row>
    <row r="219" ht="15.75" customHeight="1">
      <c r="F219" s="5"/>
    </row>
    <row r="220" ht="15.75" customHeight="1">
      <c r="F220" s="5"/>
    </row>
    <row r="221" ht="15.75" customHeight="1">
      <c r="F221" s="5"/>
    </row>
    <row r="222" ht="15.75" customHeight="1">
      <c r="F222" s="5"/>
    </row>
    <row r="223" ht="15.75" customHeight="1">
      <c r="F223" s="5"/>
    </row>
    <row r="224" ht="15.75" customHeight="1">
      <c r="F224" s="5"/>
    </row>
    <row r="225" ht="15.75" customHeight="1">
      <c r="F225" s="5"/>
    </row>
    <row r="226" ht="15.75" customHeight="1">
      <c r="F226" s="5"/>
    </row>
    <row r="227" ht="15.75" customHeight="1">
      <c r="F227" s="5"/>
    </row>
    <row r="228" ht="15.75" customHeight="1">
      <c r="F228" s="5"/>
    </row>
    <row r="229" ht="15.75" customHeight="1">
      <c r="F229" s="5"/>
    </row>
    <row r="230" ht="15.75" customHeight="1">
      <c r="F230" s="5"/>
    </row>
    <row r="231" ht="15.75" customHeight="1">
      <c r="F231" s="5"/>
    </row>
    <row r="232" ht="15.75" customHeight="1">
      <c r="F232" s="5"/>
    </row>
    <row r="233" ht="15.75" customHeight="1">
      <c r="F233" s="5"/>
    </row>
    <row r="234" ht="15.75" customHeight="1">
      <c r="F234" s="5"/>
    </row>
    <row r="235" ht="15.75" customHeight="1">
      <c r="F235" s="5"/>
    </row>
    <row r="236" ht="15.75" customHeight="1">
      <c r="F236" s="5"/>
    </row>
    <row r="237" ht="15.75" customHeight="1">
      <c r="F237" s="5"/>
    </row>
    <row r="238" ht="15.75" customHeight="1">
      <c r="F238" s="5"/>
    </row>
    <row r="239" ht="15.75" customHeight="1">
      <c r="F239" s="5"/>
    </row>
    <row r="240" ht="15.75" customHeight="1">
      <c r="F240" s="5"/>
    </row>
    <row r="241" ht="15.75" customHeight="1">
      <c r="F241" s="5"/>
    </row>
    <row r="242" ht="15.75" customHeight="1">
      <c r="F242" s="5"/>
    </row>
    <row r="243" ht="15.75" customHeight="1">
      <c r="F243" s="5"/>
    </row>
    <row r="244" ht="15.75" customHeight="1">
      <c r="F244" s="5"/>
    </row>
    <row r="245" ht="15.75" customHeight="1">
      <c r="F245" s="5"/>
    </row>
    <row r="246" ht="15.75" customHeight="1">
      <c r="F246" s="5"/>
    </row>
    <row r="247" ht="15.75" customHeight="1">
      <c r="F247" s="5"/>
    </row>
    <row r="248" ht="15.75" customHeight="1">
      <c r="F248" s="5"/>
    </row>
    <row r="249" ht="15.75" customHeight="1">
      <c r="F249" s="5"/>
    </row>
    <row r="250" ht="15.75" customHeight="1">
      <c r="F250" s="5"/>
    </row>
    <row r="251" ht="15.75" customHeight="1">
      <c r="F251" s="5"/>
    </row>
    <row r="252" ht="15.75" customHeight="1">
      <c r="F252" s="5"/>
    </row>
    <row r="253" ht="15.75" customHeight="1">
      <c r="F253" s="5"/>
    </row>
    <row r="254" ht="15.75" customHeight="1">
      <c r="F254" s="5"/>
    </row>
    <row r="255" ht="15.75" customHeight="1">
      <c r="F255" s="5"/>
    </row>
    <row r="256" ht="15.75" customHeight="1">
      <c r="F256" s="5"/>
    </row>
    <row r="257" ht="15.75" customHeight="1">
      <c r="F257" s="5"/>
    </row>
    <row r="258" ht="15.75" customHeight="1">
      <c r="F258" s="5"/>
    </row>
    <row r="259" ht="15.75" customHeight="1">
      <c r="F259" s="5"/>
    </row>
    <row r="260" ht="15.75" customHeight="1">
      <c r="F260" s="5"/>
    </row>
    <row r="261" ht="15.75" customHeight="1">
      <c r="F261" s="5"/>
    </row>
    <row r="262" ht="15.75" customHeight="1">
      <c r="F262" s="5"/>
    </row>
    <row r="263" ht="15.75" customHeight="1">
      <c r="F263" s="5"/>
    </row>
    <row r="264" ht="15.75" customHeight="1">
      <c r="F264" s="5"/>
    </row>
    <row r="265" ht="15.75" customHeight="1">
      <c r="F265" s="5"/>
    </row>
    <row r="266" ht="15.75" customHeight="1">
      <c r="F266" s="5"/>
    </row>
    <row r="267" ht="15.75" customHeight="1">
      <c r="F267" s="5"/>
    </row>
    <row r="268" ht="15.75" customHeight="1">
      <c r="F268" s="5"/>
    </row>
    <row r="269" ht="15.75" customHeight="1">
      <c r="F269" s="5"/>
    </row>
    <row r="270" ht="15.75" customHeight="1">
      <c r="F270" s="5"/>
    </row>
    <row r="271" ht="15.75" customHeight="1">
      <c r="F271" s="5"/>
    </row>
    <row r="272" ht="15.75" customHeight="1">
      <c r="F272" s="5"/>
    </row>
    <row r="273" ht="15.75" customHeight="1">
      <c r="F273" s="5"/>
    </row>
    <row r="274" ht="15.75" customHeight="1">
      <c r="F274" s="5"/>
    </row>
    <row r="275" ht="15.75" customHeight="1">
      <c r="F275" s="5"/>
    </row>
    <row r="276" ht="15.75" customHeight="1">
      <c r="F276" s="5"/>
    </row>
    <row r="277" ht="15.75" customHeight="1">
      <c r="F277" s="5"/>
    </row>
    <row r="278" ht="15.75" customHeight="1">
      <c r="F278" s="5"/>
    </row>
    <row r="279" ht="15.75" customHeight="1">
      <c r="F279" s="5"/>
    </row>
    <row r="280" ht="15.75" customHeight="1">
      <c r="F280" s="5"/>
    </row>
    <row r="281" ht="15.75" customHeight="1">
      <c r="F281" s="5"/>
    </row>
    <row r="282" ht="15.75" customHeight="1">
      <c r="F282" s="5"/>
    </row>
    <row r="283" ht="15.75" customHeight="1">
      <c r="F283" s="5"/>
    </row>
    <row r="284" ht="15.75" customHeight="1">
      <c r="F284" s="5"/>
    </row>
    <row r="285" ht="15.75" customHeight="1">
      <c r="F285" s="5"/>
    </row>
    <row r="286" ht="15.75" customHeight="1">
      <c r="F286" s="5"/>
    </row>
    <row r="287" ht="15.75" customHeight="1">
      <c r="F287" s="5"/>
    </row>
    <row r="288" ht="15.75" customHeight="1">
      <c r="F288" s="5"/>
    </row>
    <row r="289" ht="15.75" customHeight="1">
      <c r="F289" s="5"/>
    </row>
    <row r="290" ht="15.75" customHeight="1">
      <c r="F290" s="5"/>
    </row>
    <row r="291" ht="15.75" customHeight="1">
      <c r="F291" s="5"/>
    </row>
    <row r="292" ht="15.75" customHeight="1">
      <c r="F292" s="5"/>
    </row>
    <row r="293" ht="15.75" customHeight="1">
      <c r="F293" s="5"/>
    </row>
    <row r="294" ht="15.75" customHeight="1">
      <c r="F294" s="5"/>
    </row>
    <row r="295" ht="15.75" customHeight="1">
      <c r="F295" s="5"/>
    </row>
    <row r="296" ht="15.75" customHeight="1">
      <c r="F296" s="5"/>
    </row>
    <row r="297" ht="15.75" customHeight="1">
      <c r="F297" s="5"/>
    </row>
    <row r="298" ht="15.75" customHeight="1">
      <c r="F298" s="5"/>
    </row>
    <row r="299" ht="15.75" customHeight="1">
      <c r="F299" s="5"/>
    </row>
    <row r="300" ht="15.75" customHeight="1">
      <c r="F300" s="5"/>
    </row>
    <row r="301" ht="15.75" customHeight="1">
      <c r="F301" s="5"/>
    </row>
    <row r="302" ht="15.75" customHeight="1">
      <c r="F302" s="5"/>
    </row>
    <row r="303" ht="15.75" customHeight="1">
      <c r="F303" s="5"/>
    </row>
    <row r="304" ht="15.75" customHeight="1">
      <c r="F304" s="5"/>
    </row>
    <row r="305" ht="15.75" customHeight="1">
      <c r="F305" s="5"/>
    </row>
    <row r="306" ht="15.75" customHeight="1">
      <c r="F306" s="5"/>
    </row>
    <row r="307" ht="15.75" customHeight="1">
      <c r="F307" s="5"/>
    </row>
    <row r="308" ht="15.75" customHeight="1">
      <c r="F308" s="5"/>
    </row>
    <row r="309" ht="15.75" customHeight="1">
      <c r="F309" s="5"/>
    </row>
    <row r="310" ht="15.75" customHeight="1">
      <c r="F310" s="5"/>
    </row>
    <row r="311" ht="15.75" customHeight="1">
      <c r="F311" s="5"/>
    </row>
    <row r="312" ht="15.75" customHeight="1">
      <c r="F312" s="5"/>
    </row>
    <row r="313" ht="15.75" customHeight="1">
      <c r="F313" s="5"/>
    </row>
    <row r="314" ht="15.75" customHeight="1">
      <c r="F314" s="5"/>
    </row>
    <row r="315" ht="15.75" customHeight="1">
      <c r="F315" s="5"/>
    </row>
    <row r="316" ht="15.75" customHeight="1">
      <c r="F316" s="5"/>
    </row>
    <row r="317" ht="15.75" customHeight="1">
      <c r="F317" s="5"/>
    </row>
    <row r="318" ht="15.75" customHeight="1">
      <c r="F318" s="5"/>
    </row>
    <row r="319" ht="15.75" customHeight="1">
      <c r="F319" s="5"/>
    </row>
    <row r="320" ht="15.75" customHeight="1">
      <c r="F320" s="5"/>
    </row>
    <row r="321" ht="15.75" customHeight="1">
      <c r="F321" s="5"/>
    </row>
    <row r="322" ht="15.75" customHeight="1">
      <c r="F322" s="5"/>
    </row>
    <row r="323" ht="15.75" customHeight="1">
      <c r="F323" s="5"/>
    </row>
    <row r="324" ht="15.75" customHeight="1">
      <c r="F324" s="5"/>
    </row>
    <row r="325" ht="15.75" customHeight="1">
      <c r="F325" s="5"/>
    </row>
    <row r="326" ht="15.75" customHeight="1">
      <c r="F326" s="5"/>
    </row>
    <row r="327" ht="15.75" customHeight="1">
      <c r="F327" s="5"/>
    </row>
    <row r="328" ht="15.75" customHeight="1">
      <c r="F328" s="5"/>
    </row>
    <row r="329" ht="15.75" customHeight="1">
      <c r="F329" s="5"/>
    </row>
    <row r="330" ht="15.75" customHeight="1">
      <c r="F330" s="5"/>
    </row>
    <row r="331" ht="15.75" customHeight="1">
      <c r="F331" s="5"/>
    </row>
    <row r="332" ht="15.75" customHeight="1">
      <c r="F332" s="5"/>
    </row>
    <row r="333" ht="15.75" customHeight="1">
      <c r="F333" s="5"/>
    </row>
    <row r="334" ht="15.75" customHeight="1">
      <c r="F334" s="5"/>
    </row>
    <row r="335" ht="15.75" customHeight="1">
      <c r="F335" s="5"/>
    </row>
    <row r="336" ht="15.75" customHeight="1">
      <c r="F336" s="5"/>
    </row>
    <row r="337" ht="15.75" customHeight="1">
      <c r="F337" s="5"/>
    </row>
    <row r="338" ht="15.75" customHeight="1">
      <c r="F338" s="5"/>
    </row>
    <row r="339" ht="15.75" customHeight="1">
      <c r="F339" s="5"/>
    </row>
    <row r="340" ht="15.75" customHeight="1">
      <c r="F340" s="5"/>
    </row>
    <row r="341" ht="15.75" customHeight="1">
      <c r="F341" s="5"/>
    </row>
    <row r="342" ht="15.75" customHeight="1">
      <c r="F342" s="5"/>
    </row>
    <row r="343" ht="15.75" customHeight="1">
      <c r="F343" s="5"/>
    </row>
    <row r="344" ht="15.75" customHeight="1">
      <c r="F344" s="5"/>
    </row>
    <row r="345" ht="15.75" customHeight="1">
      <c r="F345" s="5"/>
    </row>
    <row r="346" ht="15.75" customHeight="1">
      <c r="F346" s="5"/>
    </row>
    <row r="347" ht="15.75" customHeight="1">
      <c r="F347" s="5"/>
    </row>
    <row r="348" ht="15.75" customHeight="1">
      <c r="F348" s="5"/>
    </row>
    <row r="349" ht="15.75" customHeight="1">
      <c r="F349" s="5"/>
    </row>
    <row r="350" ht="15.75" customHeight="1">
      <c r="F350" s="5"/>
    </row>
    <row r="351" ht="15.75" customHeight="1">
      <c r="F351" s="5"/>
    </row>
    <row r="352" ht="15.75" customHeight="1">
      <c r="F352" s="5"/>
    </row>
    <row r="353" ht="15.75" customHeight="1">
      <c r="F353" s="5"/>
    </row>
    <row r="354" ht="15.75" customHeight="1">
      <c r="F354" s="5"/>
    </row>
    <row r="355" ht="15.75" customHeight="1">
      <c r="F355" s="5"/>
    </row>
    <row r="356" ht="15.75" customHeight="1">
      <c r="F356" s="5"/>
    </row>
    <row r="357" ht="15.75" customHeight="1">
      <c r="F357" s="5"/>
    </row>
    <row r="358" ht="15.75" customHeight="1">
      <c r="F358" s="5"/>
    </row>
    <row r="359" ht="15.75" customHeight="1">
      <c r="F359" s="5"/>
    </row>
    <row r="360" ht="15.75" customHeight="1">
      <c r="F360" s="5"/>
    </row>
    <row r="361" ht="15.75" customHeight="1">
      <c r="F361" s="5"/>
    </row>
    <row r="362" ht="15.75" customHeight="1">
      <c r="F362" s="5"/>
    </row>
    <row r="363" ht="15.75" customHeight="1">
      <c r="F363" s="5"/>
    </row>
    <row r="364" ht="15.75" customHeight="1">
      <c r="F364" s="5"/>
    </row>
    <row r="365" ht="15.75" customHeight="1">
      <c r="F365" s="5"/>
    </row>
    <row r="366" ht="15.75" customHeight="1">
      <c r="F366" s="5"/>
    </row>
    <row r="367" ht="15.75" customHeight="1">
      <c r="F367" s="5"/>
    </row>
    <row r="368" ht="15.75" customHeight="1">
      <c r="F368" s="5"/>
    </row>
    <row r="369" ht="15.75" customHeight="1">
      <c r="F369" s="5"/>
    </row>
    <row r="370" ht="15.75" customHeight="1">
      <c r="F370" s="5"/>
    </row>
    <row r="371" ht="15.75" customHeight="1">
      <c r="F371" s="5"/>
    </row>
    <row r="372" ht="15.75" customHeight="1">
      <c r="F372" s="5"/>
    </row>
    <row r="373" ht="15.75" customHeight="1">
      <c r="F373" s="5"/>
    </row>
    <row r="374" ht="15.75" customHeight="1">
      <c r="F374" s="5"/>
    </row>
    <row r="375" ht="15.75" customHeight="1">
      <c r="F375" s="5"/>
    </row>
    <row r="376" ht="15.75" customHeight="1">
      <c r="F376" s="5"/>
    </row>
    <row r="377" ht="15.75" customHeight="1">
      <c r="F377" s="5"/>
    </row>
    <row r="378" ht="15.75" customHeight="1">
      <c r="F378" s="5"/>
    </row>
    <row r="379" ht="15.75" customHeight="1">
      <c r="F379" s="5"/>
    </row>
    <row r="380" ht="15.75" customHeight="1">
      <c r="F380" s="5"/>
    </row>
    <row r="381" ht="15.75" customHeight="1">
      <c r="F381" s="5"/>
    </row>
    <row r="382" ht="15.75" customHeight="1">
      <c r="F382" s="5"/>
    </row>
    <row r="383" ht="15.75" customHeight="1">
      <c r="F383" s="5"/>
    </row>
    <row r="384" ht="15.75" customHeight="1">
      <c r="F384" s="5"/>
    </row>
    <row r="385" ht="15.75" customHeight="1">
      <c r="F385" s="5"/>
    </row>
    <row r="386" ht="15.75" customHeight="1">
      <c r="F386" s="5"/>
    </row>
    <row r="387" ht="15.75" customHeight="1">
      <c r="F387" s="5"/>
    </row>
    <row r="388" ht="15.75" customHeight="1">
      <c r="F388" s="5"/>
    </row>
    <row r="389" ht="15.75" customHeight="1">
      <c r="F389" s="5"/>
    </row>
    <row r="390" ht="15.75" customHeight="1">
      <c r="F390" s="5"/>
    </row>
    <row r="391" ht="15.75" customHeight="1">
      <c r="F391" s="5"/>
    </row>
    <row r="392" ht="15.75" customHeight="1">
      <c r="F392" s="5"/>
    </row>
    <row r="393" ht="15.75" customHeight="1">
      <c r="F393" s="5"/>
    </row>
    <row r="394" ht="15.75" customHeight="1">
      <c r="F394" s="5"/>
    </row>
    <row r="395" ht="15.75" customHeight="1">
      <c r="F395" s="5"/>
    </row>
    <row r="396" ht="15.75" customHeight="1">
      <c r="F396" s="5"/>
    </row>
    <row r="397" ht="15.75" customHeight="1">
      <c r="F397" s="5"/>
    </row>
    <row r="398" ht="15.75" customHeight="1">
      <c r="F398" s="5"/>
    </row>
    <row r="399" ht="15.75" customHeight="1">
      <c r="F399" s="5"/>
    </row>
    <row r="400" ht="15.75" customHeight="1">
      <c r="F400" s="5"/>
    </row>
    <row r="401" ht="15.75" customHeight="1">
      <c r="F401" s="5"/>
    </row>
    <row r="402" ht="15.75" customHeight="1">
      <c r="F402" s="5"/>
    </row>
    <row r="403" ht="15.75" customHeight="1">
      <c r="F403" s="5"/>
    </row>
    <row r="404" ht="15.75" customHeight="1">
      <c r="F404" s="5"/>
    </row>
    <row r="405" ht="15.75" customHeight="1">
      <c r="F405" s="5"/>
    </row>
    <row r="406" ht="15.75" customHeight="1">
      <c r="F406" s="5"/>
    </row>
    <row r="407" ht="15.75" customHeight="1">
      <c r="F407" s="5"/>
    </row>
    <row r="408" ht="15.75" customHeight="1">
      <c r="F408" s="5"/>
    </row>
    <row r="409" ht="15.75" customHeight="1">
      <c r="F409" s="5"/>
    </row>
    <row r="410" ht="15.75" customHeight="1">
      <c r="F410" s="5"/>
    </row>
    <row r="411" ht="15.75" customHeight="1">
      <c r="F411" s="5"/>
    </row>
    <row r="412" ht="15.75" customHeight="1">
      <c r="F412" s="5"/>
    </row>
    <row r="413" ht="15.75" customHeight="1">
      <c r="F413" s="5"/>
    </row>
    <row r="414" ht="15.75" customHeight="1">
      <c r="F414" s="5"/>
    </row>
    <row r="415" ht="15.75" customHeight="1">
      <c r="F415" s="5"/>
    </row>
    <row r="416" ht="15.75" customHeight="1">
      <c r="F416" s="5"/>
    </row>
    <row r="417" ht="15.75" customHeight="1">
      <c r="F417" s="5"/>
    </row>
    <row r="418" ht="15.75" customHeight="1">
      <c r="F418" s="5"/>
    </row>
    <row r="419" ht="15.75" customHeight="1">
      <c r="F419" s="5"/>
    </row>
    <row r="420" ht="15.75" customHeight="1">
      <c r="F420" s="5"/>
    </row>
    <row r="421" ht="15.75" customHeight="1">
      <c r="F421" s="5"/>
    </row>
    <row r="422" ht="15.75" customHeight="1">
      <c r="F422" s="5"/>
    </row>
    <row r="423" ht="15.75" customHeight="1">
      <c r="F423" s="5"/>
    </row>
    <row r="424" ht="15.75" customHeight="1">
      <c r="F424" s="5"/>
    </row>
    <row r="425" ht="15.75" customHeight="1">
      <c r="F425" s="5"/>
    </row>
    <row r="426" ht="15.75" customHeight="1">
      <c r="F426" s="5"/>
    </row>
    <row r="427" ht="15.75" customHeight="1">
      <c r="F427" s="5"/>
    </row>
    <row r="428" ht="15.75" customHeight="1">
      <c r="F428" s="5"/>
    </row>
    <row r="429" ht="15.75" customHeight="1">
      <c r="F429" s="5"/>
    </row>
    <row r="430" ht="15.75" customHeight="1">
      <c r="F430" s="5"/>
    </row>
    <row r="431" ht="15.75" customHeight="1">
      <c r="F431" s="5"/>
    </row>
    <row r="432" ht="15.75" customHeight="1">
      <c r="F432" s="5"/>
    </row>
    <row r="433" ht="15.75" customHeight="1">
      <c r="F433" s="5"/>
    </row>
    <row r="434" ht="15.75" customHeight="1">
      <c r="F434" s="5"/>
    </row>
    <row r="435" ht="15.75" customHeight="1">
      <c r="F435" s="5"/>
    </row>
    <row r="436" ht="15.75" customHeight="1">
      <c r="F436" s="5"/>
    </row>
    <row r="437" ht="15.75" customHeight="1">
      <c r="F437" s="5"/>
    </row>
    <row r="438" ht="15.75" customHeight="1">
      <c r="F438" s="5"/>
    </row>
    <row r="439" ht="15.75" customHeight="1">
      <c r="F439" s="5"/>
    </row>
    <row r="440" ht="15.75" customHeight="1">
      <c r="F440" s="5"/>
    </row>
    <row r="441" ht="15.75" customHeight="1">
      <c r="F441" s="5"/>
    </row>
    <row r="442" ht="15.75" customHeight="1">
      <c r="F442" s="5"/>
    </row>
    <row r="443" ht="15.75" customHeight="1">
      <c r="F443" s="5"/>
    </row>
    <row r="444" ht="15.75" customHeight="1">
      <c r="F444" s="5"/>
    </row>
    <row r="445" ht="15.75" customHeight="1">
      <c r="F445" s="5"/>
    </row>
    <row r="446" ht="15.75" customHeight="1">
      <c r="F446" s="5"/>
    </row>
    <row r="447" ht="15.75" customHeight="1">
      <c r="F447" s="5"/>
    </row>
    <row r="448" ht="15.75" customHeight="1">
      <c r="F448" s="5"/>
    </row>
    <row r="449" ht="15.75" customHeight="1">
      <c r="F449" s="5"/>
    </row>
    <row r="450" ht="15.75" customHeight="1">
      <c r="F450" s="5"/>
    </row>
    <row r="451" ht="15.75" customHeight="1">
      <c r="F451" s="5"/>
    </row>
    <row r="452" ht="15.75" customHeight="1">
      <c r="F452" s="5"/>
    </row>
    <row r="453" ht="15.75" customHeight="1">
      <c r="F453" s="5"/>
    </row>
    <row r="454" ht="15.75" customHeight="1">
      <c r="F454" s="5"/>
    </row>
    <row r="455" ht="15.75" customHeight="1">
      <c r="F455" s="5"/>
    </row>
    <row r="456" ht="15.75" customHeight="1">
      <c r="F456" s="5"/>
    </row>
    <row r="457" ht="15.75" customHeight="1">
      <c r="F457" s="5"/>
    </row>
    <row r="458" ht="15.75" customHeight="1">
      <c r="F458" s="5"/>
    </row>
    <row r="459" ht="15.75" customHeight="1">
      <c r="F459" s="5"/>
    </row>
    <row r="460" ht="15.75" customHeight="1">
      <c r="F460" s="5"/>
    </row>
    <row r="461" ht="15.75" customHeight="1">
      <c r="F461" s="5"/>
    </row>
    <row r="462" ht="15.75" customHeight="1">
      <c r="F462" s="5"/>
    </row>
    <row r="463" ht="15.75" customHeight="1">
      <c r="F463" s="5"/>
    </row>
    <row r="464" ht="15.75" customHeight="1">
      <c r="F464" s="5"/>
    </row>
    <row r="465" ht="15.75" customHeight="1">
      <c r="F465" s="5"/>
    </row>
    <row r="466" ht="15.75" customHeight="1">
      <c r="F466" s="5"/>
    </row>
    <row r="467" ht="15.75" customHeight="1">
      <c r="F467" s="5"/>
    </row>
    <row r="468" ht="15.75" customHeight="1">
      <c r="F468" s="5"/>
    </row>
    <row r="469" ht="15.75" customHeight="1">
      <c r="F469" s="5"/>
    </row>
    <row r="470" ht="15.75" customHeight="1">
      <c r="F470" s="5"/>
    </row>
    <row r="471" ht="15.75" customHeight="1">
      <c r="F471" s="5"/>
    </row>
    <row r="472" ht="15.75" customHeight="1">
      <c r="F472" s="5"/>
    </row>
    <row r="473" ht="15.75" customHeight="1">
      <c r="F473" s="5"/>
    </row>
    <row r="474" ht="15.75" customHeight="1">
      <c r="F474" s="5"/>
    </row>
    <row r="475" ht="15.75" customHeight="1">
      <c r="F475" s="5"/>
    </row>
    <row r="476" ht="15.75" customHeight="1">
      <c r="F476" s="5"/>
    </row>
    <row r="477" ht="15.75" customHeight="1">
      <c r="F477" s="5"/>
    </row>
    <row r="478" ht="15.75" customHeight="1">
      <c r="F478" s="5"/>
    </row>
    <row r="479" ht="15.75" customHeight="1">
      <c r="F479" s="5"/>
    </row>
    <row r="480" ht="15.75" customHeight="1">
      <c r="F480" s="5"/>
    </row>
    <row r="481" ht="15.75" customHeight="1">
      <c r="F481" s="5"/>
    </row>
    <row r="482" ht="15.75" customHeight="1">
      <c r="F482" s="5"/>
    </row>
    <row r="483" ht="15.75" customHeight="1">
      <c r="F483" s="5"/>
    </row>
    <row r="484" ht="15.75" customHeight="1">
      <c r="F484" s="5"/>
    </row>
    <row r="485" ht="15.75" customHeight="1">
      <c r="F485" s="5"/>
    </row>
    <row r="486" ht="15.75" customHeight="1">
      <c r="F486" s="5"/>
    </row>
    <row r="487" ht="15.75" customHeight="1">
      <c r="F487" s="5"/>
    </row>
    <row r="488" ht="15.75" customHeight="1">
      <c r="F488" s="5"/>
    </row>
    <row r="489" ht="15.75" customHeight="1">
      <c r="F489" s="5"/>
    </row>
    <row r="490" ht="15.75" customHeight="1">
      <c r="F490" s="5"/>
    </row>
    <row r="491" ht="15.75" customHeight="1">
      <c r="F491" s="5"/>
    </row>
    <row r="492" ht="15.75" customHeight="1">
      <c r="F492" s="5"/>
    </row>
    <row r="493" ht="15.75" customHeight="1">
      <c r="F493" s="5"/>
    </row>
    <row r="494" ht="15.75" customHeight="1">
      <c r="F494" s="5"/>
    </row>
    <row r="495" ht="15.75" customHeight="1">
      <c r="F495" s="5"/>
    </row>
    <row r="496" ht="15.75" customHeight="1">
      <c r="F496" s="5"/>
    </row>
    <row r="497" ht="15.75" customHeight="1">
      <c r="F497" s="5"/>
    </row>
    <row r="498" ht="15.75" customHeight="1">
      <c r="F498" s="5"/>
    </row>
    <row r="499" ht="15.75" customHeight="1">
      <c r="F499" s="5"/>
    </row>
    <row r="500" ht="15.75" customHeight="1">
      <c r="F500" s="5"/>
    </row>
    <row r="501" ht="15.75" customHeight="1">
      <c r="F501" s="5"/>
    </row>
    <row r="502" ht="15.75" customHeight="1">
      <c r="F502" s="5"/>
    </row>
    <row r="503" ht="15.75" customHeight="1">
      <c r="F503" s="5"/>
    </row>
    <row r="504" ht="15.75" customHeight="1">
      <c r="F504" s="5"/>
    </row>
    <row r="505" ht="15.75" customHeight="1">
      <c r="F505" s="5"/>
    </row>
    <row r="506" ht="15.75" customHeight="1">
      <c r="F506" s="5"/>
    </row>
    <row r="507" ht="15.75" customHeight="1">
      <c r="F507" s="5"/>
    </row>
    <row r="508" ht="15.75" customHeight="1">
      <c r="F508" s="5"/>
    </row>
    <row r="509" ht="15.75" customHeight="1">
      <c r="F509" s="5"/>
    </row>
    <row r="510" ht="15.75" customHeight="1">
      <c r="F510" s="5"/>
    </row>
    <row r="511" ht="15.75" customHeight="1">
      <c r="F511" s="5"/>
    </row>
    <row r="512" ht="15.75" customHeight="1">
      <c r="F512" s="5"/>
    </row>
    <row r="513" ht="15.75" customHeight="1">
      <c r="F513" s="5"/>
    </row>
    <row r="514" ht="15.75" customHeight="1">
      <c r="F514" s="5"/>
    </row>
    <row r="515" ht="15.75" customHeight="1">
      <c r="F515" s="5"/>
    </row>
    <row r="516" ht="15.75" customHeight="1">
      <c r="F516" s="5"/>
    </row>
    <row r="517" ht="15.75" customHeight="1">
      <c r="F517" s="5"/>
    </row>
    <row r="518" ht="15.75" customHeight="1">
      <c r="F518" s="5"/>
    </row>
    <row r="519" ht="15.75" customHeight="1">
      <c r="F519" s="5"/>
    </row>
    <row r="520" ht="15.75" customHeight="1">
      <c r="F520" s="5"/>
    </row>
    <row r="521" ht="15.75" customHeight="1">
      <c r="F521" s="5"/>
    </row>
    <row r="522" ht="15.75" customHeight="1">
      <c r="F522" s="5"/>
    </row>
    <row r="523" ht="15.75" customHeight="1">
      <c r="F523" s="5"/>
    </row>
    <row r="524" ht="15.75" customHeight="1">
      <c r="F524" s="5"/>
    </row>
    <row r="525" ht="15.75" customHeight="1">
      <c r="F525" s="5"/>
    </row>
    <row r="526" ht="15.75" customHeight="1">
      <c r="F526" s="5"/>
    </row>
    <row r="527" ht="15.75" customHeight="1">
      <c r="F527" s="5"/>
    </row>
    <row r="528" ht="15.75" customHeight="1">
      <c r="F528" s="5"/>
    </row>
    <row r="529" ht="15.75" customHeight="1">
      <c r="F529" s="5"/>
    </row>
    <row r="530" ht="15.75" customHeight="1">
      <c r="F530" s="5"/>
    </row>
    <row r="531" ht="15.75" customHeight="1">
      <c r="F531" s="5"/>
    </row>
    <row r="532" ht="15.75" customHeight="1">
      <c r="F532" s="5"/>
    </row>
    <row r="533" ht="15.75" customHeight="1">
      <c r="F533" s="5"/>
    </row>
    <row r="534" ht="15.75" customHeight="1">
      <c r="F534" s="5"/>
    </row>
    <row r="535" ht="15.75" customHeight="1">
      <c r="F535" s="5"/>
    </row>
    <row r="536" ht="15.75" customHeight="1">
      <c r="F536" s="5"/>
    </row>
    <row r="537" ht="15.75" customHeight="1">
      <c r="F537" s="5"/>
    </row>
    <row r="538" ht="15.75" customHeight="1">
      <c r="F538" s="5"/>
    </row>
    <row r="539" ht="15.75" customHeight="1">
      <c r="F539" s="5"/>
    </row>
    <row r="540" ht="15.75" customHeight="1">
      <c r="F540" s="5"/>
    </row>
    <row r="541" ht="15.75" customHeight="1">
      <c r="F541" s="5"/>
    </row>
    <row r="542" ht="15.75" customHeight="1">
      <c r="F542" s="5"/>
    </row>
    <row r="543" ht="15.75" customHeight="1">
      <c r="F543" s="5"/>
    </row>
    <row r="544" ht="15.75" customHeight="1">
      <c r="F544" s="5"/>
    </row>
    <row r="545" ht="15.75" customHeight="1">
      <c r="F545" s="5"/>
    </row>
    <row r="546" ht="15.75" customHeight="1">
      <c r="F546" s="5"/>
    </row>
    <row r="547" ht="15.75" customHeight="1">
      <c r="F547" s="5"/>
    </row>
    <row r="548" ht="15.75" customHeight="1">
      <c r="F548" s="5"/>
    </row>
    <row r="549" ht="15.75" customHeight="1">
      <c r="F549" s="5"/>
    </row>
    <row r="550" ht="15.75" customHeight="1">
      <c r="F550" s="5"/>
    </row>
    <row r="551" ht="15.75" customHeight="1">
      <c r="F551" s="5"/>
    </row>
    <row r="552" ht="15.75" customHeight="1">
      <c r="F552" s="5"/>
    </row>
    <row r="553" ht="15.75" customHeight="1">
      <c r="F553" s="5"/>
    </row>
    <row r="554" ht="15.75" customHeight="1">
      <c r="F554" s="5"/>
    </row>
    <row r="555" ht="15.75" customHeight="1">
      <c r="F555" s="5"/>
    </row>
    <row r="556" ht="15.75" customHeight="1">
      <c r="F556" s="5"/>
    </row>
    <row r="557" ht="15.75" customHeight="1">
      <c r="F557" s="5"/>
    </row>
    <row r="558" ht="15.75" customHeight="1">
      <c r="F558" s="5"/>
    </row>
    <row r="559" ht="15.75" customHeight="1">
      <c r="F559" s="5"/>
    </row>
    <row r="560" ht="15.75" customHeight="1">
      <c r="F560" s="5"/>
    </row>
    <row r="561" ht="15.75" customHeight="1">
      <c r="F561" s="5"/>
    </row>
    <row r="562" ht="15.75" customHeight="1">
      <c r="F562" s="5"/>
    </row>
    <row r="563" ht="15.75" customHeight="1">
      <c r="F563" s="5"/>
    </row>
    <row r="564" ht="15.75" customHeight="1">
      <c r="F564" s="5"/>
    </row>
    <row r="565" ht="15.75" customHeight="1">
      <c r="F565" s="5"/>
    </row>
    <row r="566" ht="15.75" customHeight="1">
      <c r="F566" s="5"/>
    </row>
    <row r="567" ht="15.75" customHeight="1">
      <c r="F567" s="5"/>
    </row>
    <row r="568" ht="15.75" customHeight="1">
      <c r="F568" s="5"/>
    </row>
    <row r="569" ht="15.75" customHeight="1">
      <c r="F569" s="5"/>
    </row>
    <row r="570" ht="15.75" customHeight="1">
      <c r="F570" s="5"/>
    </row>
    <row r="571" ht="15.75" customHeight="1">
      <c r="F571" s="5"/>
    </row>
    <row r="572" ht="15.75" customHeight="1">
      <c r="F572" s="5"/>
    </row>
    <row r="573" ht="15.75" customHeight="1">
      <c r="F573" s="5"/>
    </row>
    <row r="574" ht="15.75" customHeight="1">
      <c r="F574" s="5"/>
    </row>
    <row r="575" ht="15.75" customHeight="1">
      <c r="F575" s="5"/>
    </row>
    <row r="576" ht="15.75" customHeight="1">
      <c r="F576" s="5"/>
    </row>
    <row r="577" ht="15.75" customHeight="1">
      <c r="F577" s="5"/>
    </row>
    <row r="578" ht="15.75" customHeight="1">
      <c r="F578" s="5"/>
    </row>
    <row r="579" ht="15.75" customHeight="1">
      <c r="F579" s="5"/>
    </row>
    <row r="580" ht="15.75" customHeight="1">
      <c r="F580" s="5"/>
    </row>
    <row r="581" ht="15.75" customHeight="1">
      <c r="F581" s="5"/>
    </row>
    <row r="582" ht="15.75" customHeight="1">
      <c r="F582" s="5"/>
    </row>
    <row r="583" ht="15.75" customHeight="1">
      <c r="F583" s="5"/>
    </row>
    <row r="584" ht="15.75" customHeight="1">
      <c r="F584" s="5"/>
    </row>
    <row r="585" ht="15.75" customHeight="1">
      <c r="F585" s="5"/>
    </row>
    <row r="586" ht="15.75" customHeight="1">
      <c r="F586" s="5"/>
    </row>
    <row r="587" ht="15.75" customHeight="1">
      <c r="F587" s="5"/>
    </row>
    <row r="588" ht="15.75" customHeight="1">
      <c r="F588" s="5"/>
    </row>
    <row r="589" ht="15.75" customHeight="1">
      <c r="F589" s="5"/>
    </row>
    <row r="590" ht="15.75" customHeight="1">
      <c r="F590" s="5"/>
    </row>
    <row r="591" ht="15.75" customHeight="1">
      <c r="F591" s="5"/>
    </row>
    <row r="592" ht="15.75" customHeight="1">
      <c r="F592" s="5"/>
    </row>
    <row r="593" ht="15.75" customHeight="1">
      <c r="F593" s="5"/>
    </row>
    <row r="594" ht="15.75" customHeight="1">
      <c r="F594" s="5"/>
    </row>
    <row r="595" ht="15.75" customHeight="1">
      <c r="F595" s="5"/>
    </row>
    <row r="596" ht="15.75" customHeight="1">
      <c r="F596" s="5"/>
    </row>
    <row r="597" ht="15.75" customHeight="1">
      <c r="F597" s="5"/>
    </row>
    <row r="598" ht="15.75" customHeight="1">
      <c r="F598" s="5"/>
    </row>
    <row r="599" ht="15.75" customHeight="1">
      <c r="F599" s="5"/>
    </row>
    <row r="600" ht="15.75" customHeight="1">
      <c r="F600" s="5"/>
    </row>
    <row r="601" ht="15.75" customHeight="1">
      <c r="F601" s="5"/>
    </row>
    <row r="602" ht="15.75" customHeight="1">
      <c r="F602" s="5"/>
    </row>
    <row r="603" ht="15.75" customHeight="1">
      <c r="F603" s="5"/>
    </row>
    <row r="604" ht="15.75" customHeight="1">
      <c r="F604" s="5"/>
    </row>
    <row r="605" ht="15.75" customHeight="1">
      <c r="F605" s="5"/>
    </row>
    <row r="606" ht="15.75" customHeight="1">
      <c r="F606" s="5"/>
    </row>
    <row r="607" ht="15.75" customHeight="1">
      <c r="F607" s="5"/>
    </row>
    <row r="608" ht="15.75" customHeight="1">
      <c r="F608" s="5"/>
    </row>
    <row r="609" ht="15.75" customHeight="1">
      <c r="F609" s="5"/>
    </row>
    <row r="610" ht="15.75" customHeight="1">
      <c r="F610" s="5"/>
    </row>
    <row r="611" ht="15.75" customHeight="1">
      <c r="F611" s="5"/>
    </row>
    <row r="612" ht="15.75" customHeight="1">
      <c r="F612" s="5"/>
    </row>
    <row r="613" ht="15.75" customHeight="1">
      <c r="F613" s="5"/>
    </row>
    <row r="614" ht="15.75" customHeight="1">
      <c r="F614" s="5"/>
    </row>
    <row r="615" ht="15.75" customHeight="1">
      <c r="F615" s="5"/>
    </row>
    <row r="616" ht="15.75" customHeight="1">
      <c r="F616" s="5"/>
    </row>
    <row r="617" ht="15.75" customHeight="1">
      <c r="F617" s="5"/>
    </row>
    <row r="618" ht="15.75" customHeight="1">
      <c r="F618" s="5"/>
    </row>
    <row r="619" ht="15.75" customHeight="1">
      <c r="F619" s="5"/>
    </row>
    <row r="620" ht="15.75" customHeight="1">
      <c r="F620" s="5"/>
    </row>
    <row r="621" ht="15.75" customHeight="1">
      <c r="F621" s="5"/>
    </row>
    <row r="622" ht="15.75" customHeight="1">
      <c r="F622" s="5"/>
    </row>
    <row r="623" ht="15.75" customHeight="1">
      <c r="F623" s="5"/>
    </row>
    <row r="624" ht="15.75" customHeight="1">
      <c r="F624" s="5"/>
    </row>
    <row r="625" ht="15.75" customHeight="1">
      <c r="F625" s="5"/>
    </row>
    <row r="626" ht="15.75" customHeight="1">
      <c r="F626" s="5"/>
    </row>
    <row r="627" ht="15.75" customHeight="1">
      <c r="F627" s="5"/>
    </row>
    <row r="628" ht="15.75" customHeight="1">
      <c r="F628" s="5"/>
    </row>
    <row r="629" ht="15.75" customHeight="1">
      <c r="F629" s="5"/>
    </row>
    <row r="630" ht="15.75" customHeight="1">
      <c r="F630" s="5"/>
    </row>
    <row r="631" ht="15.75" customHeight="1">
      <c r="F631" s="5"/>
    </row>
    <row r="632" ht="15.75" customHeight="1">
      <c r="F632" s="5"/>
    </row>
    <row r="633" ht="15.75" customHeight="1">
      <c r="F633" s="5"/>
    </row>
    <row r="634" ht="15.75" customHeight="1">
      <c r="F634" s="5"/>
    </row>
    <row r="635" ht="15.75" customHeight="1">
      <c r="F635" s="5"/>
    </row>
    <row r="636" ht="15.75" customHeight="1">
      <c r="F636" s="5"/>
    </row>
    <row r="637" ht="15.75" customHeight="1">
      <c r="F637" s="5"/>
    </row>
    <row r="638" ht="15.75" customHeight="1">
      <c r="F638" s="5"/>
    </row>
    <row r="639" ht="15.75" customHeight="1">
      <c r="F639" s="5"/>
    </row>
    <row r="640" ht="15.75" customHeight="1">
      <c r="F640" s="5"/>
    </row>
    <row r="641" ht="15.75" customHeight="1">
      <c r="F641" s="5"/>
    </row>
    <row r="642" ht="15.75" customHeight="1">
      <c r="F642" s="5"/>
    </row>
    <row r="643" ht="15.75" customHeight="1">
      <c r="F643" s="5"/>
    </row>
    <row r="644" ht="15.75" customHeight="1">
      <c r="F644" s="5"/>
    </row>
    <row r="645" ht="15.75" customHeight="1">
      <c r="F645" s="5"/>
    </row>
    <row r="646" ht="15.75" customHeight="1">
      <c r="F646" s="5"/>
    </row>
    <row r="647" ht="15.75" customHeight="1">
      <c r="F647" s="5"/>
    </row>
    <row r="648" ht="15.75" customHeight="1">
      <c r="F648" s="5"/>
    </row>
    <row r="649" ht="15.75" customHeight="1">
      <c r="F649" s="5"/>
    </row>
    <row r="650" ht="15.75" customHeight="1">
      <c r="F650" s="5"/>
    </row>
    <row r="651" ht="15.75" customHeight="1">
      <c r="F651" s="5"/>
    </row>
    <row r="652" ht="15.75" customHeight="1">
      <c r="F652" s="5"/>
    </row>
    <row r="653" ht="15.75" customHeight="1">
      <c r="F653" s="5"/>
    </row>
    <row r="654" ht="15.75" customHeight="1">
      <c r="F654" s="5"/>
    </row>
    <row r="655" ht="15.75" customHeight="1">
      <c r="F655" s="5"/>
    </row>
    <row r="656" ht="15.75" customHeight="1">
      <c r="F656" s="5"/>
    </row>
    <row r="657" ht="15.75" customHeight="1">
      <c r="F657" s="5"/>
    </row>
    <row r="658" ht="15.75" customHeight="1">
      <c r="F658" s="5"/>
    </row>
    <row r="659" ht="15.75" customHeight="1">
      <c r="F659" s="5"/>
    </row>
    <row r="660" ht="15.75" customHeight="1">
      <c r="F660" s="5"/>
    </row>
    <row r="661" ht="15.75" customHeight="1">
      <c r="F661" s="5"/>
    </row>
    <row r="662" ht="15.75" customHeight="1">
      <c r="F662" s="5"/>
    </row>
    <row r="663" ht="15.75" customHeight="1">
      <c r="F663" s="5"/>
    </row>
    <row r="664" ht="15.75" customHeight="1">
      <c r="F664" s="5"/>
    </row>
    <row r="665" ht="15.75" customHeight="1">
      <c r="F665" s="5"/>
    </row>
    <row r="666" ht="15.75" customHeight="1">
      <c r="F666" s="5"/>
    </row>
    <row r="667" ht="15.75" customHeight="1">
      <c r="F667" s="5"/>
    </row>
    <row r="668" ht="15.75" customHeight="1">
      <c r="F668" s="5"/>
    </row>
    <row r="669" ht="15.75" customHeight="1">
      <c r="F669" s="5"/>
    </row>
    <row r="670" ht="15.75" customHeight="1">
      <c r="F670" s="5"/>
    </row>
    <row r="671" ht="15.75" customHeight="1">
      <c r="F671" s="5"/>
    </row>
    <row r="672" ht="15.75" customHeight="1">
      <c r="F672" s="5"/>
    </row>
    <row r="673" ht="15.75" customHeight="1">
      <c r="F673" s="5"/>
    </row>
    <row r="674" ht="15.75" customHeight="1">
      <c r="F674" s="5"/>
    </row>
    <row r="675" ht="15.75" customHeight="1">
      <c r="F675" s="5"/>
    </row>
    <row r="676" ht="15.75" customHeight="1">
      <c r="F676" s="5"/>
    </row>
    <row r="677" ht="15.75" customHeight="1">
      <c r="F677" s="5"/>
    </row>
    <row r="678" ht="15.75" customHeight="1">
      <c r="F678" s="5"/>
    </row>
    <row r="679" ht="15.75" customHeight="1">
      <c r="F679" s="5"/>
    </row>
    <row r="680" ht="15.75" customHeight="1">
      <c r="F680" s="5"/>
    </row>
    <row r="681" ht="15.75" customHeight="1">
      <c r="F681" s="5"/>
    </row>
    <row r="682" ht="15.75" customHeight="1">
      <c r="F682" s="5"/>
    </row>
    <row r="683" ht="15.75" customHeight="1">
      <c r="F683" s="5"/>
    </row>
    <row r="684" ht="15.75" customHeight="1">
      <c r="F684" s="5"/>
    </row>
    <row r="685" ht="15.75" customHeight="1">
      <c r="F685" s="5"/>
    </row>
    <row r="686" ht="15.75" customHeight="1">
      <c r="F686" s="5"/>
    </row>
    <row r="687" ht="15.75" customHeight="1">
      <c r="F687" s="5"/>
    </row>
    <row r="688" ht="15.75" customHeight="1">
      <c r="F688" s="5"/>
    </row>
    <row r="689" ht="15.75" customHeight="1">
      <c r="F689" s="5"/>
    </row>
    <row r="690" ht="15.75" customHeight="1">
      <c r="F690" s="5"/>
    </row>
    <row r="691" ht="15.75" customHeight="1">
      <c r="F691" s="5"/>
    </row>
    <row r="692" ht="15.75" customHeight="1">
      <c r="F692" s="5"/>
    </row>
    <row r="693" ht="15.75" customHeight="1">
      <c r="F693" s="5"/>
    </row>
    <row r="694" ht="15.75" customHeight="1">
      <c r="F694" s="5"/>
    </row>
    <row r="695" ht="15.75" customHeight="1">
      <c r="F695" s="5"/>
    </row>
    <row r="696" ht="15.75" customHeight="1">
      <c r="F696" s="5"/>
    </row>
    <row r="697" ht="15.75" customHeight="1">
      <c r="F697" s="5"/>
    </row>
    <row r="698" ht="15.75" customHeight="1">
      <c r="F698" s="5"/>
    </row>
    <row r="699" ht="15.75" customHeight="1">
      <c r="F699" s="5"/>
    </row>
    <row r="700" ht="15.75" customHeight="1">
      <c r="F700" s="5"/>
    </row>
    <row r="701" ht="15.75" customHeight="1">
      <c r="F701" s="5"/>
    </row>
    <row r="702" ht="15.75" customHeight="1">
      <c r="F702" s="5"/>
    </row>
    <row r="703" ht="15.75" customHeight="1">
      <c r="F703" s="5"/>
    </row>
    <row r="704" ht="15.75" customHeight="1">
      <c r="F704" s="5"/>
    </row>
    <row r="705" ht="15.75" customHeight="1">
      <c r="F705" s="5"/>
    </row>
    <row r="706" ht="15.75" customHeight="1">
      <c r="F706" s="5"/>
    </row>
    <row r="707" ht="15.75" customHeight="1">
      <c r="F707" s="5"/>
    </row>
    <row r="708" ht="15.75" customHeight="1">
      <c r="F708" s="5"/>
    </row>
    <row r="709" ht="15.75" customHeight="1">
      <c r="F709" s="5"/>
    </row>
    <row r="710" ht="15.75" customHeight="1">
      <c r="F710" s="5"/>
    </row>
    <row r="711" ht="15.75" customHeight="1">
      <c r="F711" s="5"/>
    </row>
    <row r="712" ht="15.75" customHeight="1">
      <c r="F712" s="5"/>
    </row>
    <row r="713" ht="15.75" customHeight="1">
      <c r="F713" s="5"/>
    </row>
    <row r="714" ht="15.75" customHeight="1">
      <c r="F714" s="5"/>
    </row>
    <row r="715" ht="15.75" customHeight="1">
      <c r="F715" s="5"/>
    </row>
    <row r="716" ht="15.75" customHeight="1">
      <c r="F716" s="5"/>
    </row>
    <row r="717" ht="15.75" customHeight="1">
      <c r="F717" s="5"/>
    </row>
    <row r="718" ht="15.75" customHeight="1">
      <c r="F718" s="5"/>
    </row>
    <row r="719" ht="15.75" customHeight="1">
      <c r="F719" s="5"/>
    </row>
    <row r="720" ht="15.75" customHeight="1">
      <c r="F720" s="5"/>
    </row>
    <row r="721" ht="15.75" customHeight="1">
      <c r="F721" s="5"/>
    </row>
    <row r="722" ht="15.75" customHeight="1">
      <c r="F722" s="5"/>
    </row>
    <row r="723" ht="15.75" customHeight="1">
      <c r="F723" s="5"/>
    </row>
    <row r="724" ht="15.75" customHeight="1">
      <c r="F724" s="5"/>
    </row>
    <row r="725" ht="15.75" customHeight="1">
      <c r="F725" s="5"/>
    </row>
    <row r="726" ht="15.75" customHeight="1">
      <c r="F726" s="5"/>
    </row>
    <row r="727" ht="15.75" customHeight="1">
      <c r="F727" s="5"/>
    </row>
    <row r="728" ht="15.75" customHeight="1">
      <c r="F728" s="5"/>
    </row>
    <row r="729" ht="15.75" customHeight="1">
      <c r="F729" s="5"/>
    </row>
    <row r="730" ht="15.75" customHeight="1">
      <c r="F730" s="5"/>
    </row>
    <row r="731" ht="15.75" customHeight="1">
      <c r="F731" s="5"/>
    </row>
    <row r="732" ht="15.75" customHeight="1">
      <c r="F732" s="5"/>
    </row>
    <row r="733" ht="15.75" customHeight="1">
      <c r="F733" s="5"/>
    </row>
    <row r="734" ht="15.75" customHeight="1">
      <c r="F734" s="5"/>
    </row>
    <row r="735" ht="15.75" customHeight="1">
      <c r="F735" s="5"/>
    </row>
    <row r="736" ht="15.75" customHeight="1">
      <c r="F736" s="5"/>
    </row>
    <row r="737" ht="15.75" customHeight="1">
      <c r="F737" s="5"/>
    </row>
    <row r="738" ht="15.75" customHeight="1">
      <c r="F738" s="5"/>
    </row>
    <row r="739" ht="15.75" customHeight="1">
      <c r="F739" s="5"/>
    </row>
    <row r="740" ht="15.75" customHeight="1">
      <c r="F740" s="5"/>
    </row>
    <row r="741" ht="15.75" customHeight="1">
      <c r="F741" s="5"/>
    </row>
    <row r="742" ht="15.75" customHeight="1">
      <c r="F742" s="5"/>
    </row>
    <row r="743" ht="15.75" customHeight="1">
      <c r="F743" s="5"/>
    </row>
    <row r="744" ht="15.75" customHeight="1">
      <c r="F744" s="5"/>
    </row>
    <row r="745" ht="15.75" customHeight="1">
      <c r="F745" s="5"/>
    </row>
    <row r="746" ht="15.75" customHeight="1">
      <c r="F746" s="5"/>
    </row>
    <row r="747" ht="15.75" customHeight="1">
      <c r="F747" s="5"/>
    </row>
    <row r="748" ht="15.75" customHeight="1">
      <c r="F748" s="5"/>
    </row>
    <row r="749" ht="15.75" customHeight="1">
      <c r="F749" s="5"/>
    </row>
    <row r="750" ht="15.75" customHeight="1">
      <c r="F750" s="5"/>
    </row>
    <row r="751" ht="15.75" customHeight="1">
      <c r="F751" s="5"/>
    </row>
    <row r="752" ht="15.75" customHeight="1">
      <c r="F752" s="5"/>
    </row>
    <row r="753" ht="15.75" customHeight="1">
      <c r="F753" s="5"/>
    </row>
    <row r="754" ht="15.75" customHeight="1">
      <c r="F754" s="5"/>
    </row>
    <row r="755" ht="15.75" customHeight="1">
      <c r="F755" s="5"/>
    </row>
    <row r="756" ht="15.75" customHeight="1">
      <c r="F756" s="5"/>
    </row>
    <row r="757" ht="15.75" customHeight="1">
      <c r="F757" s="5"/>
    </row>
    <row r="758" ht="15.75" customHeight="1">
      <c r="F758" s="5"/>
    </row>
    <row r="759" ht="15.75" customHeight="1">
      <c r="F759" s="5"/>
    </row>
    <row r="760" ht="15.75" customHeight="1">
      <c r="F760" s="5"/>
    </row>
    <row r="761" ht="15.75" customHeight="1">
      <c r="F761" s="5"/>
    </row>
    <row r="762" ht="15.75" customHeight="1">
      <c r="F762" s="5"/>
    </row>
    <row r="763" ht="15.75" customHeight="1">
      <c r="F763" s="5"/>
    </row>
    <row r="764" ht="15.75" customHeight="1">
      <c r="F764" s="5"/>
    </row>
    <row r="765" ht="15.75" customHeight="1">
      <c r="F765" s="5"/>
    </row>
    <row r="766" ht="15.75" customHeight="1">
      <c r="F766" s="5"/>
    </row>
    <row r="767" ht="15.75" customHeight="1">
      <c r="F767" s="5"/>
    </row>
    <row r="768" ht="15.75" customHeight="1">
      <c r="F768" s="5"/>
    </row>
    <row r="769" ht="15.75" customHeight="1">
      <c r="F769" s="5"/>
    </row>
    <row r="770" ht="15.75" customHeight="1">
      <c r="F770" s="5"/>
    </row>
    <row r="771" ht="15.75" customHeight="1">
      <c r="F771" s="5"/>
    </row>
    <row r="772" ht="15.75" customHeight="1">
      <c r="F772" s="5"/>
    </row>
    <row r="773" ht="15.75" customHeight="1">
      <c r="F773" s="5"/>
    </row>
    <row r="774" ht="15.75" customHeight="1">
      <c r="F774" s="5"/>
    </row>
    <row r="775" ht="15.75" customHeight="1">
      <c r="F775" s="5"/>
    </row>
    <row r="776" ht="15.75" customHeight="1">
      <c r="F776" s="5"/>
    </row>
    <row r="777" ht="15.75" customHeight="1">
      <c r="F777" s="5"/>
    </row>
    <row r="778" ht="15.75" customHeight="1">
      <c r="F778" s="5"/>
    </row>
    <row r="779" ht="15.75" customHeight="1">
      <c r="F779" s="5"/>
    </row>
    <row r="780" ht="15.75" customHeight="1">
      <c r="F780" s="5"/>
    </row>
    <row r="781" ht="15.75" customHeight="1">
      <c r="F781" s="5"/>
    </row>
    <row r="782" ht="15.75" customHeight="1">
      <c r="F782" s="5"/>
    </row>
    <row r="783" ht="15.75" customHeight="1">
      <c r="F783" s="5"/>
    </row>
    <row r="784" ht="15.75" customHeight="1">
      <c r="F784" s="5"/>
    </row>
    <row r="785" ht="15.75" customHeight="1">
      <c r="F785" s="5"/>
    </row>
    <row r="786" ht="15.75" customHeight="1">
      <c r="F786" s="5"/>
    </row>
    <row r="787" ht="15.75" customHeight="1">
      <c r="F787" s="5"/>
    </row>
    <row r="788" ht="15.75" customHeight="1">
      <c r="F788" s="5"/>
    </row>
    <row r="789" ht="15.75" customHeight="1">
      <c r="F789" s="5"/>
    </row>
    <row r="790" ht="15.75" customHeight="1">
      <c r="F790" s="5"/>
    </row>
    <row r="791" ht="15.75" customHeight="1">
      <c r="F791" s="5"/>
    </row>
    <row r="792" ht="15.75" customHeight="1">
      <c r="F792" s="5"/>
    </row>
    <row r="793" ht="15.75" customHeight="1">
      <c r="F793" s="5"/>
    </row>
    <row r="794" ht="15.75" customHeight="1">
      <c r="F794" s="5"/>
    </row>
    <row r="795" ht="15.75" customHeight="1">
      <c r="F795" s="5"/>
    </row>
    <row r="796" ht="15.75" customHeight="1">
      <c r="F796" s="5"/>
    </row>
    <row r="797" ht="15.75" customHeight="1">
      <c r="F797" s="5"/>
    </row>
    <row r="798" ht="15.75" customHeight="1">
      <c r="F798" s="5"/>
    </row>
    <row r="799" ht="15.75" customHeight="1">
      <c r="F799" s="5"/>
    </row>
    <row r="800" ht="15.75" customHeight="1">
      <c r="F800" s="5"/>
    </row>
    <row r="801" ht="15.75" customHeight="1">
      <c r="F801" s="5"/>
    </row>
    <row r="802" ht="15.75" customHeight="1">
      <c r="F802" s="5"/>
    </row>
    <row r="803" ht="15.75" customHeight="1">
      <c r="F803" s="5"/>
    </row>
    <row r="804" ht="15.75" customHeight="1">
      <c r="F804" s="5"/>
    </row>
    <row r="805" ht="15.75" customHeight="1">
      <c r="F805" s="5"/>
    </row>
    <row r="806" ht="15.75" customHeight="1">
      <c r="F806" s="5"/>
    </row>
    <row r="807" ht="15.75" customHeight="1">
      <c r="F807" s="5"/>
    </row>
    <row r="808" ht="15.75" customHeight="1">
      <c r="F808" s="5"/>
    </row>
    <row r="809" ht="15.75" customHeight="1">
      <c r="F809" s="5"/>
    </row>
    <row r="810" ht="15.75" customHeight="1">
      <c r="F810" s="5"/>
    </row>
    <row r="811" ht="15.75" customHeight="1">
      <c r="F811" s="5"/>
    </row>
    <row r="812" ht="15.75" customHeight="1">
      <c r="F812" s="5"/>
    </row>
    <row r="813" ht="15.75" customHeight="1">
      <c r="F813" s="5"/>
    </row>
    <row r="814" ht="15.75" customHeight="1">
      <c r="F814" s="5"/>
    </row>
    <row r="815" ht="15.75" customHeight="1">
      <c r="F815" s="5"/>
    </row>
    <row r="816" ht="15.75" customHeight="1">
      <c r="F816" s="5"/>
    </row>
    <row r="817" ht="15.75" customHeight="1">
      <c r="F817" s="5"/>
    </row>
    <row r="818" ht="15.75" customHeight="1">
      <c r="F818" s="5"/>
    </row>
    <row r="819" ht="15.75" customHeight="1">
      <c r="F819" s="5"/>
    </row>
    <row r="820" ht="15.75" customHeight="1">
      <c r="F820" s="5"/>
    </row>
    <row r="821" ht="15.75" customHeight="1">
      <c r="F821" s="5"/>
    </row>
    <row r="822" ht="15.75" customHeight="1">
      <c r="F822" s="5"/>
    </row>
    <row r="823" ht="15.75" customHeight="1">
      <c r="F823" s="5"/>
    </row>
    <row r="824" ht="15.75" customHeight="1">
      <c r="F824" s="5"/>
    </row>
    <row r="825" ht="15.75" customHeight="1">
      <c r="F825" s="5"/>
    </row>
    <row r="826" ht="15.75" customHeight="1">
      <c r="F826" s="5"/>
    </row>
    <row r="827" ht="15.75" customHeight="1">
      <c r="F827" s="5"/>
    </row>
    <row r="828" ht="15.75" customHeight="1">
      <c r="F828" s="5"/>
    </row>
    <row r="829" ht="15.75" customHeight="1">
      <c r="F829" s="5"/>
    </row>
    <row r="830" ht="15.75" customHeight="1">
      <c r="F830" s="5"/>
    </row>
    <row r="831" ht="15.75" customHeight="1">
      <c r="F831" s="5"/>
    </row>
    <row r="832" ht="15.75" customHeight="1">
      <c r="F832" s="5"/>
    </row>
    <row r="833" ht="15.75" customHeight="1">
      <c r="F833" s="5"/>
    </row>
    <row r="834" ht="15.75" customHeight="1">
      <c r="F834" s="5"/>
    </row>
    <row r="835" ht="15.75" customHeight="1">
      <c r="F835" s="5"/>
    </row>
    <row r="836" ht="15.75" customHeight="1">
      <c r="F836" s="5"/>
    </row>
    <row r="837" ht="15.75" customHeight="1">
      <c r="F837" s="5"/>
    </row>
    <row r="838" ht="15.75" customHeight="1">
      <c r="F838" s="5"/>
    </row>
    <row r="839" ht="15.75" customHeight="1">
      <c r="F839" s="5"/>
    </row>
    <row r="840" ht="15.75" customHeight="1">
      <c r="F840" s="5"/>
    </row>
    <row r="841" ht="15.75" customHeight="1">
      <c r="F841" s="5"/>
    </row>
    <row r="842" ht="15.75" customHeight="1">
      <c r="F842" s="5"/>
    </row>
    <row r="843" ht="15.75" customHeight="1">
      <c r="F843" s="5"/>
    </row>
    <row r="844" ht="15.75" customHeight="1">
      <c r="F844" s="5"/>
    </row>
    <row r="845" ht="15.75" customHeight="1">
      <c r="F845" s="5"/>
    </row>
    <row r="846" ht="15.75" customHeight="1">
      <c r="F846" s="5"/>
    </row>
    <row r="847" ht="15.75" customHeight="1">
      <c r="F847" s="5"/>
    </row>
    <row r="848" ht="15.75" customHeight="1">
      <c r="F848" s="5"/>
    </row>
    <row r="849" ht="15.75" customHeight="1">
      <c r="F849" s="5"/>
    </row>
    <row r="850" ht="15.75" customHeight="1">
      <c r="F850" s="5"/>
    </row>
    <row r="851" ht="15.75" customHeight="1">
      <c r="F851" s="5"/>
    </row>
    <row r="852" ht="15.75" customHeight="1">
      <c r="F852" s="5"/>
    </row>
    <row r="853" ht="15.75" customHeight="1">
      <c r="F853" s="5"/>
    </row>
    <row r="854" ht="15.75" customHeight="1">
      <c r="F854" s="5"/>
    </row>
    <row r="855" ht="15.75" customHeight="1">
      <c r="F855" s="5"/>
    </row>
    <row r="856" ht="15.75" customHeight="1">
      <c r="F856" s="5"/>
    </row>
    <row r="857" ht="15.75" customHeight="1">
      <c r="F857" s="5"/>
    </row>
    <row r="858" ht="15.75" customHeight="1">
      <c r="F858" s="5"/>
    </row>
    <row r="859" ht="15.75" customHeight="1">
      <c r="F859" s="5"/>
    </row>
    <row r="860" ht="15.75" customHeight="1">
      <c r="F860" s="5"/>
    </row>
    <row r="861" ht="15.75" customHeight="1">
      <c r="F861" s="5"/>
    </row>
    <row r="862" ht="15.75" customHeight="1">
      <c r="F862" s="5"/>
    </row>
    <row r="863" ht="15.75" customHeight="1">
      <c r="F863" s="5"/>
    </row>
    <row r="864" ht="15.75" customHeight="1">
      <c r="F864" s="5"/>
    </row>
    <row r="865" ht="15.75" customHeight="1">
      <c r="F865" s="5"/>
    </row>
    <row r="866" ht="15.75" customHeight="1">
      <c r="F866" s="5"/>
    </row>
    <row r="867" ht="15.75" customHeight="1">
      <c r="F867" s="5"/>
    </row>
    <row r="868" ht="15.75" customHeight="1">
      <c r="F868" s="5"/>
    </row>
    <row r="869" ht="15.75" customHeight="1">
      <c r="F869" s="5"/>
    </row>
    <row r="870" ht="15.75" customHeight="1">
      <c r="F870" s="5"/>
    </row>
    <row r="871" ht="15.75" customHeight="1">
      <c r="F871" s="5"/>
    </row>
    <row r="872" ht="15.75" customHeight="1">
      <c r="F872" s="5"/>
    </row>
    <row r="873" ht="15.75" customHeight="1">
      <c r="F873" s="5"/>
    </row>
    <row r="874" ht="15.75" customHeight="1">
      <c r="F874" s="5"/>
    </row>
    <row r="875" ht="15.75" customHeight="1">
      <c r="F875" s="5"/>
    </row>
    <row r="876" ht="15.75" customHeight="1">
      <c r="F876" s="5"/>
    </row>
    <row r="877" ht="15.75" customHeight="1">
      <c r="F877" s="5"/>
    </row>
    <row r="878" ht="15.75" customHeight="1">
      <c r="F878" s="5"/>
    </row>
    <row r="879" ht="15.75" customHeight="1">
      <c r="F879" s="5"/>
    </row>
    <row r="880" ht="15.75" customHeight="1">
      <c r="F880" s="5"/>
    </row>
    <row r="881" ht="15.75" customHeight="1">
      <c r="F881" s="5"/>
    </row>
    <row r="882" ht="15.75" customHeight="1">
      <c r="F882" s="5"/>
    </row>
    <row r="883" ht="15.75" customHeight="1">
      <c r="F883" s="5"/>
    </row>
    <row r="884" ht="15.75" customHeight="1">
      <c r="F884" s="5"/>
    </row>
    <row r="885" ht="15.75" customHeight="1">
      <c r="F885" s="5"/>
    </row>
    <row r="886" ht="15.75" customHeight="1">
      <c r="F886" s="5"/>
    </row>
    <row r="887" ht="15.75" customHeight="1">
      <c r="F887" s="5"/>
    </row>
    <row r="888" ht="15.75" customHeight="1">
      <c r="F888" s="5"/>
    </row>
    <row r="889" ht="15.75" customHeight="1">
      <c r="F889" s="5"/>
    </row>
    <row r="890" ht="15.75" customHeight="1">
      <c r="F890" s="5"/>
    </row>
    <row r="891" ht="15.75" customHeight="1">
      <c r="F891" s="5"/>
    </row>
    <row r="892" ht="15.75" customHeight="1">
      <c r="F892" s="5"/>
    </row>
    <row r="893" ht="15.75" customHeight="1">
      <c r="F893" s="5"/>
    </row>
    <row r="894" ht="15.75" customHeight="1">
      <c r="F894" s="5"/>
    </row>
    <row r="895" ht="15.75" customHeight="1">
      <c r="F895" s="5"/>
    </row>
    <row r="896" ht="15.75" customHeight="1">
      <c r="F896" s="5"/>
    </row>
    <row r="897" ht="15.75" customHeight="1">
      <c r="F897" s="5"/>
    </row>
    <row r="898" ht="15.75" customHeight="1">
      <c r="F898" s="5"/>
    </row>
    <row r="899" ht="15.75" customHeight="1">
      <c r="F899" s="5"/>
    </row>
    <row r="900" ht="15.75" customHeight="1">
      <c r="F900" s="5"/>
    </row>
    <row r="901" ht="15.75" customHeight="1">
      <c r="F901" s="5"/>
    </row>
    <row r="902" ht="15.75" customHeight="1">
      <c r="F902" s="5"/>
    </row>
    <row r="903" ht="15.75" customHeight="1">
      <c r="F903" s="5"/>
    </row>
    <row r="904" ht="15.75" customHeight="1">
      <c r="F904" s="5"/>
    </row>
    <row r="905" ht="15.75" customHeight="1">
      <c r="F905" s="5"/>
    </row>
    <row r="906" ht="15.75" customHeight="1">
      <c r="F906" s="5"/>
    </row>
    <row r="907" ht="15.75" customHeight="1">
      <c r="F907" s="5"/>
    </row>
    <row r="908" ht="15.75" customHeight="1">
      <c r="F908" s="5"/>
    </row>
    <row r="909" ht="15.75" customHeight="1">
      <c r="F909" s="5"/>
    </row>
    <row r="910" ht="15.75" customHeight="1">
      <c r="F910" s="5"/>
    </row>
    <row r="911" ht="15.75" customHeight="1">
      <c r="F911" s="5"/>
    </row>
    <row r="912" ht="15.75" customHeight="1">
      <c r="F912" s="5"/>
    </row>
    <row r="913" ht="15.75" customHeight="1">
      <c r="F913" s="5"/>
    </row>
    <row r="914" ht="15.75" customHeight="1">
      <c r="F914" s="5"/>
    </row>
    <row r="915" ht="15.75" customHeight="1">
      <c r="F915" s="5"/>
    </row>
    <row r="916" ht="15.75" customHeight="1">
      <c r="F916" s="5"/>
    </row>
    <row r="917" ht="15.75" customHeight="1">
      <c r="F917" s="5"/>
    </row>
    <row r="918" ht="15.75" customHeight="1">
      <c r="F918" s="5"/>
    </row>
    <row r="919" ht="15.75" customHeight="1">
      <c r="F919" s="5"/>
    </row>
    <row r="920" ht="15.75" customHeight="1">
      <c r="F920" s="5"/>
    </row>
    <row r="921" ht="15.75" customHeight="1">
      <c r="F921" s="5"/>
    </row>
    <row r="922" ht="15.75" customHeight="1">
      <c r="F922" s="5"/>
    </row>
    <row r="923" ht="15.75" customHeight="1">
      <c r="F923" s="5"/>
    </row>
    <row r="924" ht="15.75" customHeight="1">
      <c r="F924" s="5"/>
    </row>
    <row r="925" ht="15.75" customHeight="1">
      <c r="F925" s="5"/>
    </row>
    <row r="926" ht="15.75" customHeight="1">
      <c r="F926" s="5"/>
    </row>
    <row r="927" ht="15.75" customHeight="1">
      <c r="F927" s="5"/>
    </row>
    <row r="928" ht="15.75" customHeight="1">
      <c r="F928" s="5"/>
    </row>
    <row r="929" ht="15.75" customHeight="1">
      <c r="F929" s="5"/>
    </row>
    <row r="930" ht="15.75" customHeight="1">
      <c r="F930" s="5"/>
    </row>
    <row r="931" ht="15.75" customHeight="1">
      <c r="F931" s="5"/>
    </row>
    <row r="932" ht="15.75" customHeight="1">
      <c r="F932" s="5"/>
    </row>
    <row r="933" ht="15.75" customHeight="1">
      <c r="F933" s="5"/>
    </row>
    <row r="934" ht="15.75" customHeight="1">
      <c r="F934" s="5"/>
    </row>
    <row r="935" ht="15.75" customHeight="1">
      <c r="F935" s="5"/>
    </row>
    <row r="936" ht="15.75" customHeight="1">
      <c r="F936" s="5"/>
    </row>
    <row r="937" ht="15.75" customHeight="1">
      <c r="F937" s="5"/>
    </row>
    <row r="938" ht="15.75" customHeight="1">
      <c r="F938" s="5"/>
    </row>
    <row r="939" ht="15.75" customHeight="1">
      <c r="F939" s="5"/>
    </row>
    <row r="940" ht="15.75" customHeight="1">
      <c r="F940" s="5"/>
    </row>
    <row r="941" ht="15.75" customHeight="1">
      <c r="F941" s="5"/>
    </row>
    <row r="942" ht="15.75" customHeight="1">
      <c r="F942" s="5"/>
    </row>
    <row r="943" ht="15.75" customHeight="1">
      <c r="F943" s="5"/>
    </row>
    <row r="944" ht="15.75" customHeight="1">
      <c r="F944" s="5"/>
    </row>
    <row r="945" ht="15.75" customHeight="1">
      <c r="F945" s="5"/>
    </row>
    <row r="946" ht="15.75" customHeight="1">
      <c r="F946" s="5"/>
    </row>
    <row r="947" ht="15.75" customHeight="1">
      <c r="F947" s="5"/>
    </row>
    <row r="948" ht="15.75" customHeight="1">
      <c r="F948" s="5"/>
    </row>
    <row r="949" ht="15.75" customHeight="1">
      <c r="F949" s="5"/>
    </row>
    <row r="950" ht="15.75" customHeight="1">
      <c r="F950" s="5"/>
    </row>
    <row r="951" ht="15.75" customHeight="1">
      <c r="F951" s="5"/>
    </row>
    <row r="952" ht="15.75" customHeight="1">
      <c r="F952" s="5"/>
    </row>
    <row r="953" ht="15.75" customHeight="1">
      <c r="F953" s="5"/>
    </row>
    <row r="954" ht="15.75" customHeight="1">
      <c r="F954" s="5"/>
    </row>
    <row r="955" ht="15.75" customHeight="1">
      <c r="F955" s="5"/>
    </row>
    <row r="956" ht="15.75" customHeight="1">
      <c r="F956" s="5"/>
    </row>
    <row r="957" ht="15.75" customHeight="1">
      <c r="F957" s="5"/>
    </row>
    <row r="958" ht="15.75" customHeight="1">
      <c r="F958" s="5"/>
    </row>
    <row r="959" ht="15.75" customHeight="1">
      <c r="F959" s="5"/>
    </row>
    <row r="960" ht="15.75" customHeight="1">
      <c r="F960" s="5"/>
    </row>
    <row r="961" ht="15.75" customHeight="1">
      <c r="F961" s="5"/>
    </row>
    <row r="962" ht="15.75" customHeight="1">
      <c r="F962" s="5"/>
    </row>
    <row r="963" ht="15.75" customHeight="1">
      <c r="F963" s="5"/>
    </row>
    <row r="964" ht="15.75" customHeight="1">
      <c r="F964" s="5"/>
    </row>
    <row r="965" ht="15.75" customHeight="1">
      <c r="F965" s="5"/>
    </row>
    <row r="966" ht="15.75" customHeight="1">
      <c r="F966" s="5"/>
    </row>
    <row r="967" ht="15.75" customHeight="1">
      <c r="F967" s="5"/>
    </row>
    <row r="968" ht="15.75" customHeight="1">
      <c r="F968" s="5"/>
    </row>
    <row r="969" ht="15.75" customHeight="1">
      <c r="F969" s="5"/>
    </row>
    <row r="970" ht="15.75" customHeight="1">
      <c r="F970" s="5"/>
    </row>
    <row r="971" ht="15.75" customHeight="1">
      <c r="F971" s="5"/>
    </row>
    <row r="972" ht="15.75" customHeight="1">
      <c r="F972" s="5"/>
    </row>
    <row r="973" ht="15.75" customHeight="1">
      <c r="F973" s="5"/>
    </row>
    <row r="974" ht="15.75" customHeight="1">
      <c r="F974" s="5"/>
    </row>
    <row r="975" ht="15.75" customHeight="1">
      <c r="F975" s="5"/>
    </row>
    <row r="976" ht="15.75" customHeight="1">
      <c r="F976" s="5"/>
    </row>
    <row r="977" ht="15.75" customHeight="1">
      <c r="F977" s="5"/>
    </row>
    <row r="978" ht="15.75" customHeight="1">
      <c r="F978" s="5"/>
    </row>
    <row r="979" ht="15.75" customHeight="1">
      <c r="F979" s="5"/>
    </row>
    <row r="980" ht="15.75" customHeight="1">
      <c r="F980" s="5"/>
    </row>
    <row r="981" ht="15.75" customHeight="1">
      <c r="F981" s="5"/>
    </row>
    <row r="982" ht="15.75" customHeight="1">
      <c r="F982" s="5"/>
    </row>
    <row r="983" ht="15.75" customHeight="1">
      <c r="F983" s="5"/>
    </row>
    <row r="984" ht="15.75" customHeight="1">
      <c r="F984" s="5"/>
    </row>
    <row r="985" ht="15.75" customHeight="1">
      <c r="F985" s="5"/>
    </row>
    <row r="986" ht="15.75" customHeight="1">
      <c r="F986" s="5"/>
    </row>
    <row r="987" ht="15.75" customHeight="1">
      <c r="F987" s="5"/>
    </row>
    <row r="988" ht="15.75" customHeight="1">
      <c r="F988" s="5"/>
    </row>
    <row r="989" ht="15.75" customHeight="1">
      <c r="F989" s="5"/>
    </row>
    <row r="990" ht="15.75" customHeight="1">
      <c r="F990" s="5"/>
    </row>
    <row r="991" ht="15.75" customHeight="1">
      <c r="F991" s="5"/>
    </row>
    <row r="992" ht="15.75" customHeight="1">
      <c r="F992" s="5"/>
    </row>
    <row r="993" ht="15.75" customHeight="1">
      <c r="F993" s="5"/>
    </row>
    <row r="994" ht="15.75" customHeight="1">
      <c r="F994" s="5"/>
    </row>
    <row r="995" ht="15.75" customHeight="1">
      <c r="F995" s="5"/>
    </row>
    <row r="996" ht="15.75" customHeight="1">
      <c r="F996" s="5"/>
    </row>
    <row r="997" ht="15.75" customHeight="1">
      <c r="F997" s="5"/>
    </row>
    <row r="998" ht="15.75" customHeight="1">
      <c r="F998" s="5"/>
    </row>
    <row r="999" ht="15.75" customHeight="1">
      <c r="F999" s="5"/>
    </row>
    <row r="1000" ht="15.75" customHeight="1">
      <c r="F1000" s="5"/>
    </row>
  </sheetData>
  <mergeCells count="1">
    <mergeCell ref="A59:B59"/>
  </mergeCells>
  <dataValidations>
    <dataValidation type="custom" allowBlank="1" showDropDown="1" sqref="A2:A57">
      <formula1>OR(NOT(ISERROR(DATEVALUE(A2))), AND(ISNUMBER(A2), LEFT(CELL("format", A2))="D"))</formula1>
    </dataValidation>
    <dataValidation type="custom" allowBlank="1" showDropDown="1" sqref="B2:F57">
      <formula1>AND(ISNUMBER(B2),(NOT(OR(NOT(ISERROR(DATEVALUE(B2))), AND(ISNUMBER(B2), LEFT(CELL("format", B2))="D")))))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12.78"/>
    <col customWidth="1" min="2" max="2" width="15.11"/>
    <col customWidth="1" min="3" max="3" width="14.22"/>
    <col customWidth="1" min="4" max="4" width="10.33"/>
    <col customWidth="1" min="5" max="5" width="13.22"/>
    <col customWidth="1" min="6" max="6" width="15.11"/>
    <col customWidth="1" min="7" max="7" width="14.78"/>
    <col customWidth="1" min="8" max="8" width="12.78"/>
    <col customWidth="1" min="9" max="9" width="13.22"/>
    <col customWidth="1" min="10" max="10" width="12.22"/>
    <col customWidth="1" min="11" max="11" width="14.22"/>
    <col customWidth="1" min="12" max="12" width="10.33"/>
    <col customWidth="1" min="13" max="13" width="13.22"/>
    <col customWidth="1" min="14" max="14" width="15.11"/>
    <col customWidth="1" min="15" max="15" width="14.22"/>
    <col customWidth="1" min="16" max="16" width="11.22"/>
    <col customWidth="1" min="17" max="17" width="13.22"/>
    <col customWidth="1" min="18" max="18" width="15.11"/>
    <col customWidth="1" min="19" max="19" width="17.89"/>
    <col customWidth="1" min="20" max="20" width="12.78"/>
    <col customWidth="1" min="21" max="21" width="13.22"/>
    <col customWidth="1" min="22" max="22" width="15.11"/>
    <col customWidth="1" min="23" max="23" width="17.89"/>
    <col customWidth="1" min="24" max="24" width="12.78"/>
    <col customWidth="1" min="25" max="25" width="13.22"/>
    <col customWidth="1" min="26" max="26" width="23.67"/>
    <col customWidth="1" min="27" max="27" width="17.89"/>
    <col customWidth="1" min="28" max="28" width="12.78"/>
    <col customWidth="1" min="29" max="29" width="13.22"/>
    <col customWidth="1" min="30" max="32" width="10.56"/>
  </cols>
  <sheetData>
    <row r="1" ht="15.75" customHeight="1">
      <c r="B1" s="37" t="s">
        <v>26</v>
      </c>
      <c r="E1" s="38"/>
      <c r="F1" s="37" t="s">
        <v>27</v>
      </c>
      <c r="I1" s="38"/>
      <c r="J1" s="37" t="s">
        <v>28</v>
      </c>
      <c r="M1" s="38"/>
      <c r="N1" s="37" t="s">
        <v>29</v>
      </c>
      <c r="Q1" s="38"/>
      <c r="R1" s="37" t="s">
        <v>12</v>
      </c>
      <c r="U1" s="38"/>
      <c r="V1" s="37" t="s">
        <v>30</v>
      </c>
      <c r="Y1" s="38"/>
      <c r="Z1" s="37" t="s">
        <v>31</v>
      </c>
      <c r="AC1" s="38"/>
      <c r="AD1" s="39"/>
      <c r="AE1" s="39"/>
      <c r="AF1" s="39"/>
    </row>
    <row r="2" ht="15.75" customHeight="1">
      <c r="A2" s="6" t="s">
        <v>16</v>
      </c>
      <c r="B2" s="7" t="s">
        <v>32</v>
      </c>
      <c r="C2" s="7" t="s">
        <v>18</v>
      </c>
      <c r="D2" s="7" t="s">
        <v>33</v>
      </c>
      <c r="E2" s="7" t="s">
        <v>21</v>
      </c>
      <c r="F2" s="7" t="s">
        <v>32</v>
      </c>
      <c r="G2" s="7" t="s">
        <v>34</v>
      </c>
      <c r="H2" s="7" t="s">
        <v>33</v>
      </c>
      <c r="I2" s="7" t="s">
        <v>21</v>
      </c>
      <c r="J2" s="7" t="s">
        <v>32</v>
      </c>
      <c r="K2" s="7" t="s">
        <v>18</v>
      </c>
      <c r="L2" s="7" t="s">
        <v>33</v>
      </c>
      <c r="M2" s="7" t="s">
        <v>21</v>
      </c>
      <c r="N2" s="7" t="s">
        <v>32</v>
      </c>
      <c r="O2" s="7" t="s">
        <v>18</v>
      </c>
      <c r="P2" s="7" t="s">
        <v>33</v>
      </c>
      <c r="Q2" s="7" t="s">
        <v>21</v>
      </c>
      <c r="R2" s="7" t="s">
        <v>32</v>
      </c>
      <c r="S2" s="7" t="s">
        <v>35</v>
      </c>
      <c r="T2" s="7" t="s">
        <v>33</v>
      </c>
      <c r="U2" s="7" t="s">
        <v>21</v>
      </c>
      <c r="V2" s="7" t="s">
        <v>32</v>
      </c>
      <c r="W2" s="7" t="s">
        <v>35</v>
      </c>
      <c r="X2" s="7" t="s">
        <v>33</v>
      </c>
      <c r="Y2" s="7" t="s">
        <v>21</v>
      </c>
      <c r="Z2" s="7" t="s">
        <v>32</v>
      </c>
      <c r="AA2" s="7" t="s">
        <v>35</v>
      </c>
      <c r="AB2" s="7" t="s">
        <v>33</v>
      </c>
      <c r="AC2" s="40" t="s">
        <v>21</v>
      </c>
    </row>
    <row r="3" ht="15.75" customHeight="1">
      <c r="A3" s="41">
        <v>44075.0</v>
      </c>
      <c r="B3" s="11">
        <v>0.0</v>
      </c>
      <c r="C3" s="11">
        <v>0.0</v>
      </c>
      <c r="D3" s="11">
        <v>0.0</v>
      </c>
      <c r="E3" s="42" t="s">
        <v>36</v>
      </c>
      <c r="F3" s="11">
        <v>0.0</v>
      </c>
      <c r="G3" s="11">
        <v>0.0</v>
      </c>
      <c r="H3" s="11">
        <v>0.0</v>
      </c>
      <c r="I3" s="43" t="s">
        <v>24</v>
      </c>
      <c r="J3" s="11">
        <v>0.0</v>
      </c>
      <c r="K3" s="11">
        <v>0.0</v>
      </c>
      <c r="L3" s="11">
        <v>0.0</v>
      </c>
      <c r="M3" s="43" t="s">
        <v>24</v>
      </c>
      <c r="N3" s="11">
        <v>0.0</v>
      </c>
      <c r="O3" s="11">
        <v>0.0</v>
      </c>
      <c r="P3" s="11">
        <v>0.0</v>
      </c>
      <c r="Q3" s="43" t="s">
        <v>24</v>
      </c>
      <c r="R3" s="11">
        <v>0.0</v>
      </c>
      <c r="S3" s="11">
        <v>0.0</v>
      </c>
      <c r="T3" s="11">
        <v>0.0</v>
      </c>
      <c r="U3" s="42" t="s">
        <v>24</v>
      </c>
      <c r="V3" s="11">
        <v>0.0</v>
      </c>
      <c r="W3" s="11">
        <v>0.0</v>
      </c>
      <c r="X3" s="11">
        <v>0.0</v>
      </c>
      <c r="Y3" s="42" t="s">
        <v>24</v>
      </c>
      <c r="Z3" s="11">
        <v>0.0</v>
      </c>
      <c r="AA3" s="11">
        <v>0.0</v>
      </c>
      <c r="AB3" s="11">
        <v>0.0</v>
      </c>
      <c r="AC3" s="42" t="s">
        <v>36</v>
      </c>
    </row>
    <row r="4" ht="15.75" customHeight="1">
      <c r="A4" s="44">
        <v>44105.0</v>
      </c>
      <c r="B4" s="18">
        <v>0.0</v>
      </c>
      <c r="C4" s="18">
        <v>0.0</v>
      </c>
      <c r="D4" s="18">
        <v>0.0</v>
      </c>
      <c r="E4" s="45" t="s">
        <v>24</v>
      </c>
      <c r="F4" s="18">
        <v>0.0</v>
      </c>
      <c r="G4" s="18">
        <v>0.0</v>
      </c>
      <c r="H4" s="18">
        <v>0.0</v>
      </c>
      <c r="I4" s="46" t="s">
        <v>24</v>
      </c>
      <c r="J4" s="18">
        <v>0.0</v>
      </c>
      <c r="K4" s="18">
        <v>0.0</v>
      </c>
      <c r="L4" s="18">
        <v>0.0</v>
      </c>
      <c r="M4" s="46" t="s">
        <v>24</v>
      </c>
      <c r="N4" s="18">
        <v>0.0</v>
      </c>
      <c r="O4" s="18">
        <v>0.0</v>
      </c>
      <c r="P4" s="18">
        <v>0.0</v>
      </c>
      <c r="Q4" s="46" t="s">
        <v>24</v>
      </c>
      <c r="R4" s="18">
        <v>0.0</v>
      </c>
      <c r="S4" s="18">
        <v>200.0</v>
      </c>
      <c r="T4" s="18">
        <v>200.01</v>
      </c>
      <c r="U4" s="45" t="s">
        <v>24</v>
      </c>
      <c r="V4" s="18">
        <v>0.0</v>
      </c>
      <c r="W4" s="18">
        <v>0.0</v>
      </c>
      <c r="X4" s="18">
        <v>0.0</v>
      </c>
      <c r="Y4" s="45" t="s">
        <v>24</v>
      </c>
      <c r="Z4" s="18">
        <v>0.0</v>
      </c>
      <c r="AA4" s="18">
        <v>0.0</v>
      </c>
      <c r="AB4" s="18">
        <v>0.0</v>
      </c>
      <c r="AC4" s="45" t="s">
        <v>36</v>
      </c>
    </row>
    <row r="5" ht="15.75" customHeight="1">
      <c r="A5" s="41">
        <v>44136.0</v>
      </c>
      <c r="B5" s="11">
        <v>0.0</v>
      </c>
      <c r="C5" s="11">
        <v>0.0</v>
      </c>
      <c r="D5" s="11">
        <v>0.0</v>
      </c>
      <c r="E5" s="42" t="s">
        <v>24</v>
      </c>
      <c r="F5" s="11">
        <v>0.0</v>
      </c>
      <c r="G5" s="11">
        <v>0.0</v>
      </c>
      <c r="H5" s="11">
        <v>0.0</v>
      </c>
      <c r="I5" s="43" t="s">
        <v>24</v>
      </c>
      <c r="J5" s="11">
        <v>0.0</v>
      </c>
      <c r="K5" s="11">
        <v>0.0</v>
      </c>
      <c r="L5" s="11">
        <v>0.0</v>
      </c>
      <c r="M5" s="43" t="s">
        <v>24</v>
      </c>
      <c r="N5" s="11">
        <v>0.0</v>
      </c>
      <c r="O5" s="11">
        <v>0.0</v>
      </c>
      <c r="P5" s="11">
        <v>0.0</v>
      </c>
      <c r="Q5" s="43" t="s">
        <v>24</v>
      </c>
      <c r="R5" s="11">
        <v>200.01</v>
      </c>
      <c r="S5" s="11">
        <v>400.0</v>
      </c>
      <c r="T5" s="11">
        <v>620.94</v>
      </c>
      <c r="U5" s="47">
        <f t="shared" ref="U5:U53" si="1">(T5-S5-R5)/R5</f>
        <v>0.1046447678</v>
      </c>
      <c r="V5" s="11">
        <v>0.0</v>
      </c>
      <c r="W5" s="11">
        <v>0.0</v>
      </c>
      <c r="X5" s="11">
        <v>0.0</v>
      </c>
      <c r="Y5" s="42" t="s">
        <v>24</v>
      </c>
      <c r="Z5" s="11">
        <v>0.0</v>
      </c>
      <c r="AA5" s="11">
        <v>0.0</v>
      </c>
      <c r="AB5" s="11">
        <v>0.0</v>
      </c>
      <c r="AC5" s="42" t="s">
        <v>36</v>
      </c>
    </row>
    <row r="6" ht="15.75" customHeight="1">
      <c r="A6" s="44">
        <v>44166.0</v>
      </c>
      <c r="B6" s="18">
        <v>0.0</v>
      </c>
      <c r="C6" s="18">
        <v>0.0</v>
      </c>
      <c r="D6" s="18">
        <v>0.0</v>
      </c>
      <c r="E6" s="45" t="s">
        <v>24</v>
      </c>
      <c r="F6" s="18">
        <v>0.0</v>
      </c>
      <c r="G6" s="18">
        <v>0.0</v>
      </c>
      <c r="H6" s="18">
        <v>0.0</v>
      </c>
      <c r="I6" s="46" t="s">
        <v>24</v>
      </c>
      <c r="J6" s="18">
        <v>0.0</v>
      </c>
      <c r="K6" s="18">
        <v>0.0</v>
      </c>
      <c r="L6" s="18">
        <v>0.0</v>
      </c>
      <c r="M6" s="46" t="s">
        <v>24</v>
      </c>
      <c r="N6" s="18">
        <v>0.0</v>
      </c>
      <c r="O6" s="18">
        <v>0.0</v>
      </c>
      <c r="P6" s="18">
        <v>0.0</v>
      </c>
      <c r="Q6" s="46" t="s">
        <v>24</v>
      </c>
      <c r="R6" s="18">
        <v>620.94</v>
      </c>
      <c r="S6" s="18">
        <v>400.0</v>
      </c>
      <c r="T6" s="18">
        <v>1045.07</v>
      </c>
      <c r="U6" s="48">
        <f t="shared" si="1"/>
        <v>0.0388604374</v>
      </c>
      <c r="V6" s="18">
        <v>0.0</v>
      </c>
      <c r="W6" s="18">
        <v>0.0</v>
      </c>
      <c r="X6" s="18">
        <v>0.0</v>
      </c>
      <c r="Y6" s="45" t="s">
        <v>24</v>
      </c>
      <c r="Z6" s="18">
        <v>0.0</v>
      </c>
      <c r="AA6" s="18">
        <v>0.0</v>
      </c>
      <c r="AB6" s="18">
        <v>0.0</v>
      </c>
      <c r="AC6" s="45" t="s">
        <v>36</v>
      </c>
    </row>
    <row r="7" ht="15.75" customHeight="1">
      <c r="A7" s="41">
        <v>44197.0</v>
      </c>
      <c r="B7" s="11">
        <v>0.0</v>
      </c>
      <c r="C7" s="11">
        <v>0.0</v>
      </c>
      <c r="D7" s="11">
        <v>0.0</v>
      </c>
      <c r="E7" s="42" t="s">
        <v>24</v>
      </c>
      <c r="F7" s="11">
        <v>0.0</v>
      </c>
      <c r="G7" s="11">
        <v>0.0</v>
      </c>
      <c r="H7" s="11">
        <v>0.0</v>
      </c>
      <c r="I7" s="43" t="s">
        <v>24</v>
      </c>
      <c r="J7" s="11">
        <v>0.0</v>
      </c>
      <c r="K7" s="11">
        <v>66.0</v>
      </c>
      <c r="L7" s="11">
        <v>58.4</v>
      </c>
      <c r="M7" s="47">
        <f>(L7-K7)/K7</f>
        <v>-0.1151515152</v>
      </c>
      <c r="N7" s="11">
        <v>0.0</v>
      </c>
      <c r="O7" s="11">
        <v>0.0</v>
      </c>
      <c r="P7" s="11">
        <v>0.0</v>
      </c>
      <c r="Q7" s="43" t="s">
        <v>24</v>
      </c>
      <c r="R7" s="11">
        <v>1045.07</v>
      </c>
      <c r="S7" s="11">
        <v>412.0</v>
      </c>
      <c r="T7" s="11">
        <v>1441.03</v>
      </c>
      <c r="U7" s="47">
        <f t="shared" si="1"/>
        <v>-0.01534825418</v>
      </c>
      <c r="V7" s="11">
        <v>0.0</v>
      </c>
      <c r="W7" s="11">
        <v>0.0</v>
      </c>
      <c r="X7" s="11">
        <v>0.0</v>
      </c>
      <c r="Y7" s="42" t="s">
        <v>24</v>
      </c>
      <c r="Z7" s="11">
        <v>0.0</v>
      </c>
      <c r="AA7" s="11">
        <v>0.0</v>
      </c>
      <c r="AB7" s="11">
        <v>0.0</v>
      </c>
      <c r="AC7" s="42" t="s">
        <v>36</v>
      </c>
    </row>
    <row r="8" ht="15.75" customHeight="1">
      <c r="A8" s="44">
        <v>44228.0</v>
      </c>
      <c r="B8" s="18">
        <v>0.0</v>
      </c>
      <c r="C8" s="18">
        <v>0.0</v>
      </c>
      <c r="D8" s="18">
        <v>0.0</v>
      </c>
      <c r="E8" s="45" t="s">
        <v>24</v>
      </c>
      <c r="F8" s="18">
        <v>0.0</v>
      </c>
      <c r="G8" s="18">
        <v>0.0</v>
      </c>
      <c r="H8" s="18">
        <v>0.0</v>
      </c>
      <c r="I8" s="46" t="s">
        <v>24</v>
      </c>
      <c r="J8" s="18">
        <v>58.4</v>
      </c>
      <c r="K8" s="18">
        <v>107.61</v>
      </c>
      <c r="L8" s="18">
        <v>160.07</v>
      </c>
      <c r="M8" s="48">
        <f t="shared" ref="M8:M53" si="2">(L8-K8-J8)/J8</f>
        <v>-0.1017123288</v>
      </c>
      <c r="N8" s="18">
        <v>0.0</v>
      </c>
      <c r="O8" s="18">
        <v>0.0</v>
      </c>
      <c r="P8" s="18">
        <v>0.0</v>
      </c>
      <c r="Q8" s="46" t="s">
        <v>24</v>
      </c>
      <c r="R8" s="18">
        <v>1441.03</v>
      </c>
      <c r="S8" s="18">
        <v>1412.0</v>
      </c>
      <c r="T8" s="18">
        <v>2865.5</v>
      </c>
      <c r="U8" s="48">
        <f t="shared" si="1"/>
        <v>0.008653532543</v>
      </c>
      <c r="V8" s="18">
        <v>0.0</v>
      </c>
      <c r="W8" s="18">
        <v>0.0</v>
      </c>
      <c r="X8" s="18">
        <v>0.0</v>
      </c>
      <c r="Y8" s="45" t="s">
        <v>24</v>
      </c>
      <c r="Z8" s="18">
        <v>0.0</v>
      </c>
      <c r="AA8" s="18">
        <v>0.0</v>
      </c>
      <c r="AB8" s="18">
        <v>0.0</v>
      </c>
      <c r="AC8" s="45" t="s">
        <v>36</v>
      </c>
    </row>
    <row r="9" ht="15.75" customHeight="1">
      <c r="A9" s="41">
        <v>44256.0</v>
      </c>
      <c r="B9" s="11">
        <v>0.0</v>
      </c>
      <c r="C9" s="11">
        <v>5000.0</v>
      </c>
      <c r="D9" s="11">
        <v>0.0</v>
      </c>
      <c r="E9" s="42" t="s">
        <v>24</v>
      </c>
      <c r="F9" s="11">
        <v>1500.0</v>
      </c>
      <c r="G9" s="11">
        <v>1500.0</v>
      </c>
      <c r="H9" s="11">
        <v>1482.5</v>
      </c>
      <c r="I9" s="43" t="s">
        <v>24</v>
      </c>
      <c r="J9" s="11">
        <v>160.07</v>
      </c>
      <c r="K9" s="11">
        <v>133.20999999999998</v>
      </c>
      <c r="L9" s="11">
        <v>293.34</v>
      </c>
      <c r="M9" s="47">
        <f t="shared" si="2"/>
        <v>0.0003748360092</v>
      </c>
      <c r="N9" s="11">
        <v>0.0</v>
      </c>
      <c r="O9" s="11">
        <v>0.0</v>
      </c>
      <c r="P9" s="11">
        <v>0.0</v>
      </c>
      <c r="Q9" s="43" t="s">
        <v>24</v>
      </c>
      <c r="R9" s="11">
        <v>2865.5</v>
      </c>
      <c r="S9" s="11">
        <v>412.0</v>
      </c>
      <c r="T9" s="11">
        <v>3400.55</v>
      </c>
      <c r="U9" s="47">
        <f t="shared" si="1"/>
        <v>0.04294189496</v>
      </c>
      <c r="V9" s="11">
        <v>0.0</v>
      </c>
      <c r="W9" s="11">
        <v>0.0</v>
      </c>
      <c r="X9" s="11">
        <v>0.0</v>
      </c>
      <c r="Y9" s="42" t="s">
        <v>24</v>
      </c>
      <c r="Z9" s="11">
        <v>0.0</v>
      </c>
      <c r="AA9" s="11">
        <v>0.0</v>
      </c>
      <c r="AB9" s="11">
        <v>0.0</v>
      </c>
      <c r="AC9" s="42" t="s">
        <v>36</v>
      </c>
      <c r="AF9" s="4"/>
    </row>
    <row r="10" ht="15.75" customHeight="1">
      <c r="A10" s="44">
        <v>44287.0</v>
      </c>
      <c r="B10" s="18">
        <v>5000.0</v>
      </c>
      <c r="C10" s="18">
        <v>0.0</v>
      </c>
      <c r="D10" s="18">
        <v>5014.14</v>
      </c>
      <c r="E10" s="48">
        <f>(D10-C10-B10)/B10</f>
        <v>0.002828</v>
      </c>
      <c r="F10" s="18">
        <v>1482.5</v>
      </c>
      <c r="G10" s="18">
        <v>3000.0</v>
      </c>
      <c r="H10" s="18">
        <v>4577.26</v>
      </c>
      <c r="I10" s="48">
        <f t="shared" ref="I10:I53" si="3">(H10-G10-F10)/F10</f>
        <v>0.06391905565</v>
      </c>
      <c r="J10" s="18">
        <v>292.72</v>
      </c>
      <c r="K10" s="18">
        <v>119.72</v>
      </c>
      <c r="L10" s="18">
        <v>421.54</v>
      </c>
      <c r="M10" s="48">
        <f t="shared" si="2"/>
        <v>0.03108772889</v>
      </c>
      <c r="N10" s="18">
        <v>0.0</v>
      </c>
      <c r="O10" s="18">
        <v>0.0</v>
      </c>
      <c r="P10" s="18">
        <v>0.0</v>
      </c>
      <c r="Q10" s="46" t="s">
        <v>24</v>
      </c>
      <c r="R10" s="18">
        <v>3400.55</v>
      </c>
      <c r="S10" s="18">
        <v>412.0</v>
      </c>
      <c r="T10" s="18">
        <v>3991.71</v>
      </c>
      <c r="U10" s="48">
        <f t="shared" si="1"/>
        <v>0.05268559498</v>
      </c>
      <c r="V10" s="18">
        <v>0.0</v>
      </c>
      <c r="W10" s="18">
        <v>0.0</v>
      </c>
      <c r="X10" s="18">
        <v>0.0</v>
      </c>
      <c r="Y10" s="45" t="s">
        <v>24</v>
      </c>
      <c r="Z10" s="18">
        <v>0.0</v>
      </c>
      <c r="AA10" s="18">
        <v>0.0</v>
      </c>
      <c r="AB10" s="18">
        <v>0.0</v>
      </c>
      <c r="AC10" s="45" t="s">
        <v>36</v>
      </c>
      <c r="AF10" s="4"/>
    </row>
    <row r="11" ht="15.75" customHeight="1">
      <c r="A11" s="41">
        <v>44317.0</v>
      </c>
      <c r="B11" s="11">
        <v>5014.14</v>
      </c>
      <c r="C11" s="11">
        <v>0.0</v>
      </c>
      <c r="D11" s="11">
        <v>5094.81</v>
      </c>
      <c r="E11" s="47">
        <f t="shared" ref="E11:E53" si="4">(D11-B11)/B11</f>
        <v>0.01608850172</v>
      </c>
      <c r="F11" s="11">
        <v>4577.26</v>
      </c>
      <c r="G11" s="11">
        <v>1500.0</v>
      </c>
      <c r="H11" s="11">
        <v>6278.06</v>
      </c>
      <c r="I11" s="47">
        <f t="shared" si="3"/>
        <v>0.04386903956</v>
      </c>
      <c r="J11" s="11">
        <v>421.54</v>
      </c>
      <c r="K11" s="11">
        <v>116.66</v>
      </c>
      <c r="L11" s="11">
        <v>540.03</v>
      </c>
      <c r="M11" s="47">
        <f t="shared" si="2"/>
        <v>0.004341225032</v>
      </c>
      <c r="N11" s="11">
        <v>0.0</v>
      </c>
      <c r="O11" s="11">
        <v>0.0</v>
      </c>
      <c r="P11" s="11">
        <v>0.0</v>
      </c>
      <c r="Q11" s="43" t="s">
        <v>24</v>
      </c>
      <c r="R11" s="11">
        <v>3991.71</v>
      </c>
      <c r="S11" s="11">
        <v>412.0</v>
      </c>
      <c r="T11" s="11">
        <v>4420.48</v>
      </c>
      <c r="U11" s="47">
        <f t="shared" si="1"/>
        <v>0.004201207002</v>
      </c>
      <c r="V11" s="11">
        <v>0.0</v>
      </c>
      <c r="W11" s="11">
        <v>0.0</v>
      </c>
      <c r="X11" s="11">
        <v>0.0</v>
      </c>
      <c r="Y11" s="42" t="s">
        <v>24</v>
      </c>
      <c r="Z11" s="11">
        <v>0.0</v>
      </c>
      <c r="AA11" s="11">
        <v>0.0</v>
      </c>
      <c r="AB11" s="11">
        <v>0.0</v>
      </c>
      <c r="AC11" s="42" t="s">
        <v>36</v>
      </c>
      <c r="AF11" s="4"/>
    </row>
    <row r="12" ht="15.75" customHeight="1">
      <c r="A12" s="44">
        <v>44348.0</v>
      </c>
      <c r="B12" s="18">
        <v>5094.81</v>
      </c>
      <c r="C12" s="18">
        <v>0.0</v>
      </c>
      <c r="D12" s="18">
        <v>5140.88</v>
      </c>
      <c r="E12" s="48">
        <f t="shared" si="4"/>
        <v>0.009042535443</v>
      </c>
      <c r="F12" s="18">
        <v>6278.06</v>
      </c>
      <c r="G12" s="18">
        <v>0.0</v>
      </c>
      <c r="H12" s="18">
        <v>6598.7</v>
      </c>
      <c r="I12" s="48">
        <f t="shared" si="3"/>
        <v>0.0510731022</v>
      </c>
      <c r="J12" s="18">
        <v>540.03</v>
      </c>
      <c r="K12" s="18">
        <v>163.31</v>
      </c>
      <c r="L12" s="18">
        <v>703.0</v>
      </c>
      <c r="M12" s="48">
        <f t="shared" si="2"/>
        <v>-0.0006295946521</v>
      </c>
      <c r="N12" s="18">
        <v>0.0</v>
      </c>
      <c r="O12" s="18">
        <v>0.0</v>
      </c>
      <c r="P12" s="18">
        <v>0.0</v>
      </c>
      <c r="Q12" s="46" t="s">
        <v>24</v>
      </c>
      <c r="R12" s="18">
        <v>4420.48</v>
      </c>
      <c r="S12" s="18">
        <v>412.0</v>
      </c>
      <c r="T12" s="18">
        <v>4929.9</v>
      </c>
      <c r="U12" s="48">
        <f t="shared" si="1"/>
        <v>0.02203833068</v>
      </c>
      <c r="V12" s="18">
        <v>0.0</v>
      </c>
      <c r="W12" s="18">
        <v>0.0</v>
      </c>
      <c r="X12" s="18">
        <v>0.0</v>
      </c>
      <c r="Y12" s="45" t="s">
        <v>24</v>
      </c>
      <c r="Z12" s="18">
        <v>0.0</v>
      </c>
      <c r="AA12" s="18">
        <v>0.0</v>
      </c>
      <c r="AB12" s="18">
        <v>0.0</v>
      </c>
      <c r="AC12" s="45" t="s">
        <v>36</v>
      </c>
      <c r="AF12" s="4"/>
    </row>
    <row r="13" ht="15.75" customHeight="1">
      <c r="A13" s="41">
        <v>44378.0</v>
      </c>
      <c r="B13" s="11">
        <v>5140.88</v>
      </c>
      <c r="C13" s="11">
        <v>0.0</v>
      </c>
      <c r="D13" s="11">
        <v>5147.88</v>
      </c>
      <c r="E13" s="47">
        <f t="shared" si="4"/>
        <v>0.001361634584</v>
      </c>
      <c r="F13" s="11">
        <v>6598.7</v>
      </c>
      <c r="G13" s="11">
        <v>0.0</v>
      </c>
      <c r="H13" s="11">
        <v>6675.98</v>
      </c>
      <c r="I13" s="47">
        <f t="shared" si="3"/>
        <v>0.0117113977</v>
      </c>
      <c r="J13" s="11">
        <v>703.0</v>
      </c>
      <c r="K13" s="11">
        <v>155.57999999999998</v>
      </c>
      <c r="L13" s="11">
        <v>861.8</v>
      </c>
      <c r="M13" s="47">
        <f t="shared" si="2"/>
        <v>0.004580369844</v>
      </c>
      <c r="N13" s="11">
        <v>0.0</v>
      </c>
      <c r="O13" s="11">
        <v>0.0</v>
      </c>
      <c r="P13" s="11">
        <v>0.0</v>
      </c>
      <c r="Q13" s="43" t="s">
        <v>24</v>
      </c>
      <c r="R13" s="11">
        <v>4929.9</v>
      </c>
      <c r="S13" s="11">
        <v>412.0</v>
      </c>
      <c r="T13" s="11">
        <v>5402.71</v>
      </c>
      <c r="U13" s="47">
        <f t="shared" si="1"/>
        <v>0.0123349358</v>
      </c>
      <c r="V13" s="11">
        <v>0.0</v>
      </c>
      <c r="W13" s="11">
        <v>0.0</v>
      </c>
      <c r="X13" s="11">
        <v>0.0</v>
      </c>
      <c r="Y13" s="42" t="s">
        <v>24</v>
      </c>
      <c r="Z13" s="11">
        <v>0.0</v>
      </c>
      <c r="AA13" s="11">
        <v>0.0</v>
      </c>
      <c r="AB13" s="11">
        <v>0.0</v>
      </c>
      <c r="AC13" s="42" t="s">
        <v>36</v>
      </c>
      <c r="AF13" s="4"/>
    </row>
    <row r="14" ht="15.75" customHeight="1">
      <c r="A14" s="44">
        <v>44409.0</v>
      </c>
      <c r="B14" s="18">
        <v>5147.88</v>
      </c>
      <c r="C14" s="18">
        <v>0.0</v>
      </c>
      <c r="D14" s="18">
        <v>5244.79</v>
      </c>
      <c r="E14" s="48">
        <f t="shared" si="4"/>
        <v>0.01882522514</v>
      </c>
      <c r="F14" s="18">
        <v>6675.98</v>
      </c>
      <c r="G14" s="18">
        <v>0.0</v>
      </c>
      <c r="H14" s="18">
        <v>6990.59</v>
      </c>
      <c r="I14" s="48">
        <f t="shared" si="3"/>
        <v>0.04712566545</v>
      </c>
      <c r="J14" s="18">
        <v>861.8</v>
      </c>
      <c r="K14" s="18">
        <v>132.67000000000002</v>
      </c>
      <c r="L14" s="18">
        <v>1007.59</v>
      </c>
      <c r="M14" s="48">
        <f t="shared" si="2"/>
        <v>0.01522394987</v>
      </c>
      <c r="N14" s="18">
        <v>0.0</v>
      </c>
      <c r="O14" s="18">
        <v>0.0</v>
      </c>
      <c r="P14" s="18">
        <v>0.0</v>
      </c>
      <c r="Q14" s="46" t="s">
        <v>24</v>
      </c>
      <c r="R14" s="18">
        <v>5402.71</v>
      </c>
      <c r="S14" s="18">
        <v>412.0</v>
      </c>
      <c r="T14" s="18">
        <v>5964.73</v>
      </c>
      <c r="U14" s="48">
        <f t="shared" si="1"/>
        <v>0.02776754629</v>
      </c>
      <c r="V14" s="18">
        <v>0.0</v>
      </c>
      <c r="W14" s="18">
        <v>0.0</v>
      </c>
      <c r="X14" s="18">
        <v>0.0</v>
      </c>
      <c r="Y14" s="45" t="s">
        <v>24</v>
      </c>
      <c r="Z14" s="18">
        <v>0.0</v>
      </c>
      <c r="AA14" s="18">
        <v>0.0</v>
      </c>
      <c r="AB14" s="18">
        <v>0.0</v>
      </c>
      <c r="AC14" s="45" t="s">
        <v>36</v>
      </c>
      <c r="AF14" s="4"/>
    </row>
    <row r="15" ht="15.75" customHeight="1">
      <c r="A15" s="41">
        <v>44440.0</v>
      </c>
      <c r="B15" s="11">
        <v>5244.79</v>
      </c>
      <c r="C15" s="11">
        <v>0.0</v>
      </c>
      <c r="D15" s="11">
        <v>5051.16</v>
      </c>
      <c r="E15" s="47">
        <f t="shared" si="4"/>
        <v>-0.03691854202</v>
      </c>
      <c r="F15" s="11">
        <v>6990.59</v>
      </c>
      <c r="G15" s="11">
        <v>0.0</v>
      </c>
      <c r="H15" s="11">
        <v>6521.8</v>
      </c>
      <c r="I15" s="47">
        <f t="shared" si="3"/>
        <v>-0.067060148</v>
      </c>
      <c r="J15" s="11">
        <v>1007.59</v>
      </c>
      <c r="K15" s="11">
        <v>106.42999999999999</v>
      </c>
      <c r="L15" s="11">
        <v>1058.23</v>
      </c>
      <c r="M15" s="47">
        <f t="shared" si="2"/>
        <v>-0.05536974365</v>
      </c>
      <c r="N15" s="11">
        <v>0.0</v>
      </c>
      <c r="O15" s="11">
        <v>0.0</v>
      </c>
      <c r="P15" s="11">
        <v>0.0</v>
      </c>
      <c r="Q15" s="43" t="s">
        <v>24</v>
      </c>
      <c r="R15" s="11">
        <v>5964.73</v>
      </c>
      <c r="S15" s="11">
        <v>412.0</v>
      </c>
      <c r="T15" s="11">
        <v>6108.58</v>
      </c>
      <c r="U15" s="47">
        <f t="shared" si="1"/>
        <v>-0.04495593262</v>
      </c>
      <c r="V15" s="11">
        <v>0.0</v>
      </c>
      <c r="W15" s="11">
        <v>0.0</v>
      </c>
      <c r="X15" s="11">
        <v>0.0</v>
      </c>
      <c r="Y15" s="42" t="s">
        <v>24</v>
      </c>
      <c r="Z15" s="11">
        <v>0.0</v>
      </c>
      <c r="AA15" s="11">
        <v>0.0</v>
      </c>
      <c r="AB15" s="11">
        <v>0.0</v>
      </c>
      <c r="AC15" s="42" t="s">
        <v>36</v>
      </c>
      <c r="AF15" s="4"/>
    </row>
    <row r="16" ht="15.75" customHeight="1">
      <c r="A16" s="44">
        <v>44470.0</v>
      </c>
      <c r="B16" s="18">
        <v>5051.16</v>
      </c>
      <c r="C16" s="18">
        <v>0.0</v>
      </c>
      <c r="D16" s="18">
        <v>5261.57</v>
      </c>
      <c r="E16" s="48">
        <f t="shared" si="4"/>
        <v>0.04165577808</v>
      </c>
      <c r="F16" s="18">
        <v>6521.8</v>
      </c>
      <c r="G16" s="18">
        <v>0.0</v>
      </c>
      <c r="H16" s="18">
        <v>6972.96</v>
      </c>
      <c r="I16" s="48">
        <f t="shared" si="3"/>
        <v>0.06917722101</v>
      </c>
      <c r="J16" s="18">
        <v>1058.23</v>
      </c>
      <c r="K16" s="18">
        <v>91.42</v>
      </c>
      <c r="L16" s="18">
        <v>1206.84</v>
      </c>
      <c r="M16" s="48">
        <f t="shared" si="2"/>
        <v>0.05404307192</v>
      </c>
      <c r="N16" s="18">
        <v>0.0</v>
      </c>
      <c r="O16" s="18">
        <v>0.0</v>
      </c>
      <c r="P16" s="18">
        <v>0.0</v>
      </c>
      <c r="Q16" s="46" t="s">
        <v>24</v>
      </c>
      <c r="R16" s="18">
        <v>6108.58</v>
      </c>
      <c r="S16" s="18">
        <v>412.0</v>
      </c>
      <c r="T16" s="18">
        <v>6908.22</v>
      </c>
      <c r="U16" s="48">
        <f t="shared" si="1"/>
        <v>0.06345828327</v>
      </c>
      <c r="V16" s="18">
        <v>0.0</v>
      </c>
      <c r="W16" s="18">
        <v>0.0</v>
      </c>
      <c r="X16" s="18">
        <v>0.0</v>
      </c>
      <c r="Y16" s="45" t="s">
        <v>24</v>
      </c>
      <c r="Z16" s="18">
        <v>0.0</v>
      </c>
      <c r="AA16" s="18">
        <v>0.0</v>
      </c>
      <c r="AB16" s="18">
        <v>0.0</v>
      </c>
      <c r="AC16" s="45" t="s">
        <v>36</v>
      </c>
      <c r="AF16" s="4"/>
    </row>
    <row r="17" ht="15.75" customHeight="1">
      <c r="A17" s="41">
        <v>44501.0</v>
      </c>
      <c r="B17" s="11">
        <v>5261.57</v>
      </c>
      <c r="C17" s="11">
        <v>0.0</v>
      </c>
      <c r="D17" s="11">
        <v>5134.57</v>
      </c>
      <c r="E17" s="47">
        <f t="shared" si="4"/>
        <v>-0.02413728222</v>
      </c>
      <c r="F17" s="11">
        <v>6972.96</v>
      </c>
      <c r="G17" s="11">
        <v>0.0</v>
      </c>
      <c r="H17" s="11">
        <v>6421.0</v>
      </c>
      <c r="I17" s="47">
        <f t="shared" si="3"/>
        <v>-0.07915720153</v>
      </c>
      <c r="J17" s="11">
        <v>1206.84</v>
      </c>
      <c r="K17" s="11">
        <v>106.0</v>
      </c>
      <c r="L17" s="11">
        <v>1277.92</v>
      </c>
      <c r="M17" s="47">
        <f t="shared" si="2"/>
        <v>-0.0289350701</v>
      </c>
      <c r="N17" s="11">
        <v>0.0</v>
      </c>
      <c r="O17" s="11">
        <v>0.0</v>
      </c>
      <c r="P17" s="11">
        <v>0.0</v>
      </c>
      <c r="Q17" s="43" t="s">
        <v>24</v>
      </c>
      <c r="R17" s="11">
        <v>6908.22</v>
      </c>
      <c r="S17" s="11">
        <v>412.0</v>
      </c>
      <c r="T17" s="11">
        <v>7200.22</v>
      </c>
      <c r="U17" s="47">
        <f t="shared" si="1"/>
        <v>-0.01737061066</v>
      </c>
      <c r="V17" s="11">
        <v>0.0</v>
      </c>
      <c r="W17" s="11">
        <v>0.0</v>
      </c>
      <c r="X17" s="11">
        <v>0.0</v>
      </c>
      <c r="Y17" s="42" t="s">
        <v>24</v>
      </c>
      <c r="Z17" s="11">
        <v>0.0</v>
      </c>
      <c r="AA17" s="11">
        <v>0.0</v>
      </c>
      <c r="AB17" s="11">
        <v>0.0</v>
      </c>
      <c r="AC17" s="42" t="s">
        <v>36</v>
      </c>
      <c r="AF17" s="4"/>
    </row>
    <row r="18" ht="15.75" customHeight="1">
      <c r="A18" s="44">
        <v>44531.0</v>
      </c>
      <c r="B18" s="18">
        <v>5134.57</v>
      </c>
      <c r="C18" s="18">
        <v>0.0</v>
      </c>
      <c r="D18" s="18">
        <v>5305.7</v>
      </c>
      <c r="E18" s="48">
        <f t="shared" si="4"/>
        <v>0.03332898373</v>
      </c>
      <c r="F18" s="18">
        <v>6421.0</v>
      </c>
      <c r="G18" s="18">
        <v>0.0</v>
      </c>
      <c r="H18" s="18">
        <v>6118.24</v>
      </c>
      <c r="I18" s="48">
        <f t="shared" si="3"/>
        <v>-0.04715153403</v>
      </c>
      <c r="J18" s="18">
        <v>1277.92</v>
      </c>
      <c r="K18" s="18">
        <v>91.45</v>
      </c>
      <c r="L18" s="18">
        <v>1419.53</v>
      </c>
      <c r="M18" s="48">
        <f t="shared" si="2"/>
        <v>0.03925128334</v>
      </c>
      <c r="N18" s="18">
        <v>0.0</v>
      </c>
      <c r="O18" s="18">
        <v>0.0</v>
      </c>
      <c r="P18" s="18">
        <v>0.0</v>
      </c>
      <c r="Q18" s="46" t="s">
        <v>24</v>
      </c>
      <c r="R18" s="18">
        <v>7200.22</v>
      </c>
      <c r="S18" s="18">
        <v>412.0</v>
      </c>
      <c r="T18" s="18">
        <v>7922.93</v>
      </c>
      <c r="U18" s="48">
        <f t="shared" si="1"/>
        <v>0.04315284811</v>
      </c>
      <c r="V18" s="18">
        <v>0.0</v>
      </c>
      <c r="W18" s="18">
        <v>0.0</v>
      </c>
      <c r="X18" s="18">
        <v>0.0</v>
      </c>
      <c r="Y18" s="45" t="s">
        <v>24</v>
      </c>
      <c r="Z18" s="18">
        <v>0.0</v>
      </c>
      <c r="AA18" s="18">
        <v>0.0</v>
      </c>
      <c r="AB18" s="18">
        <v>0.0</v>
      </c>
      <c r="AC18" s="45" t="s">
        <v>36</v>
      </c>
      <c r="AF18" s="4"/>
    </row>
    <row r="19" ht="15.75" customHeight="1">
      <c r="A19" s="41">
        <v>44562.0</v>
      </c>
      <c r="B19" s="11">
        <v>5305.7</v>
      </c>
      <c r="C19" s="11">
        <v>0.0</v>
      </c>
      <c r="D19" s="11">
        <v>5111.19</v>
      </c>
      <c r="E19" s="47">
        <f t="shared" si="4"/>
        <v>-0.03666057259</v>
      </c>
      <c r="F19" s="11">
        <v>6118.24</v>
      </c>
      <c r="G19" s="11">
        <v>0.0</v>
      </c>
      <c r="H19" s="11">
        <v>5393.15</v>
      </c>
      <c r="I19" s="47">
        <f t="shared" si="3"/>
        <v>-0.1185128403</v>
      </c>
      <c r="J19" s="11">
        <v>1419.53</v>
      </c>
      <c r="K19" s="11">
        <v>86.0</v>
      </c>
      <c r="L19" s="11">
        <v>1429.89</v>
      </c>
      <c r="M19" s="47">
        <f t="shared" si="2"/>
        <v>-0.0532852423</v>
      </c>
      <c r="N19" s="11">
        <v>500.0</v>
      </c>
      <c r="O19" s="11">
        <v>500.0</v>
      </c>
      <c r="P19" s="11">
        <v>555.75</v>
      </c>
      <c r="Q19" s="47">
        <f t="shared" ref="Q19:Q53" si="5">(P19-O19-N19)/N19</f>
        <v>-0.8885</v>
      </c>
      <c r="R19" s="11">
        <v>7922.93</v>
      </c>
      <c r="S19" s="11">
        <v>480.64</v>
      </c>
      <c r="T19" s="11">
        <v>7967.09</v>
      </c>
      <c r="U19" s="47">
        <f t="shared" si="1"/>
        <v>-0.05509073032</v>
      </c>
      <c r="V19" s="11">
        <v>0.0</v>
      </c>
      <c r="W19" s="11">
        <v>0.0</v>
      </c>
      <c r="X19" s="11">
        <v>0.0</v>
      </c>
      <c r="Y19" s="42" t="s">
        <v>24</v>
      </c>
      <c r="Z19" s="11">
        <v>0.0</v>
      </c>
      <c r="AA19" s="11">
        <v>0.0</v>
      </c>
      <c r="AB19" s="11">
        <v>0.0</v>
      </c>
      <c r="AC19" s="42" t="s">
        <v>36</v>
      </c>
      <c r="AF19" s="4"/>
    </row>
    <row r="20" ht="15.75" customHeight="1">
      <c r="A20" s="44">
        <v>44593.0</v>
      </c>
      <c r="B20" s="18">
        <v>5111.19</v>
      </c>
      <c r="C20" s="18">
        <v>0.0</v>
      </c>
      <c r="D20" s="18">
        <v>4972.27</v>
      </c>
      <c r="E20" s="48">
        <f t="shared" si="4"/>
        <v>-0.02717958049</v>
      </c>
      <c r="F20" s="18">
        <v>5393.15</v>
      </c>
      <c r="G20" s="18">
        <v>450.0</v>
      </c>
      <c r="H20" s="18">
        <v>5439.83</v>
      </c>
      <c r="I20" s="48">
        <f t="shared" si="3"/>
        <v>-0.07478375347</v>
      </c>
      <c r="J20" s="18">
        <v>1429.89</v>
      </c>
      <c r="K20" s="18">
        <v>110.23</v>
      </c>
      <c r="L20" s="18">
        <v>1498.44</v>
      </c>
      <c r="M20" s="48">
        <f t="shared" si="2"/>
        <v>-0.02914909538</v>
      </c>
      <c r="N20" s="18">
        <v>577.75</v>
      </c>
      <c r="O20" s="18">
        <v>600.0</v>
      </c>
      <c r="P20" s="18">
        <v>1567.09</v>
      </c>
      <c r="Q20" s="48">
        <f t="shared" si="5"/>
        <v>0.6738900909</v>
      </c>
      <c r="R20" s="18">
        <v>7967.09</v>
      </c>
      <c r="S20" s="18">
        <v>5424.64</v>
      </c>
      <c r="T20" s="18">
        <v>13059.35</v>
      </c>
      <c r="U20" s="48">
        <f t="shared" si="1"/>
        <v>-0.04171912204</v>
      </c>
      <c r="V20" s="18">
        <v>0.0</v>
      </c>
      <c r="W20" s="18">
        <v>0.0</v>
      </c>
      <c r="X20" s="18">
        <v>0.0</v>
      </c>
      <c r="Y20" s="45" t="s">
        <v>24</v>
      </c>
      <c r="Z20" s="18">
        <v>0.0</v>
      </c>
      <c r="AA20" s="18">
        <v>0.0</v>
      </c>
      <c r="AB20" s="18">
        <v>0.0</v>
      </c>
      <c r="AC20" s="45" t="s">
        <v>36</v>
      </c>
      <c r="AF20" s="4"/>
    </row>
    <row r="21" ht="15.75" customHeight="1">
      <c r="A21" s="41">
        <v>44621.0</v>
      </c>
      <c r="B21" s="11">
        <v>4972.27</v>
      </c>
      <c r="C21" s="11">
        <v>0.0</v>
      </c>
      <c r="D21" s="11">
        <v>5041.94</v>
      </c>
      <c r="E21" s="47">
        <f t="shared" si="4"/>
        <v>0.01401170894</v>
      </c>
      <c r="F21" s="11">
        <v>5439.83</v>
      </c>
      <c r="G21" s="11">
        <v>0.0</v>
      </c>
      <c r="H21" s="11">
        <v>5647.11</v>
      </c>
      <c r="I21" s="47">
        <f t="shared" si="3"/>
        <v>0.03810413193</v>
      </c>
      <c r="J21" s="11">
        <v>1498.44</v>
      </c>
      <c r="K21" s="11">
        <v>137.7</v>
      </c>
      <c r="L21" s="11">
        <v>1666.16</v>
      </c>
      <c r="M21" s="47">
        <f t="shared" si="2"/>
        <v>0.02003416887</v>
      </c>
      <c r="N21" s="11">
        <v>1567.09</v>
      </c>
      <c r="O21" s="11">
        <v>150.0</v>
      </c>
      <c r="P21" s="11">
        <v>1735.53</v>
      </c>
      <c r="Q21" s="47">
        <f t="shared" si="5"/>
        <v>0.01176703316</v>
      </c>
      <c r="R21" s="11">
        <v>13059.35</v>
      </c>
      <c r="S21" s="11">
        <v>300.4</v>
      </c>
      <c r="T21" s="11">
        <v>13818.46</v>
      </c>
      <c r="U21" s="47">
        <f t="shared" si="1"/>
        <v>0.03512502536</v>
      </c>
      <c r="V21" s="11">
        <v>0.0</v>
      </c>
      <c r="W21" s="11">
        <v>0.0</v>
      </c>
      <c r="X21" s="11">
        <v>0.0</v>
      </c>
      <c r="Y21" s="42" t="s">
        <v>24</v>
      </c>
      <c r="Z21" s="11">
        <v>0.0</v>
      </c>
      <c r="AA21" s="11">
        <v>0.0</v>
      </c>
      <c r="AB21" s="11">
        <v>0.0</v>
      </c>
      <c r="AC21" s="42" t="s">
        <v>36</v>
      </c>
      <c r="AF21" s="4"/>
    </row>
    <row r="22" ht="15.75" customHeight="1">
      <c r="A22" s="44">
        <v>44652.0</v>
      </c>
      <c r="B22" s="18">
        <v>5041.94</v>
      </c>
      <c r="C22" s="18">
        <v>0.0</v>
      </c>
      <c r="D22" s="18">
        <v>4682.92</v>
      </c>
      <c r="E22" s="48">
        <f t="shared" si="4"/>
        <v>-0.07120671805</v>
      </c>
      <c r="F22" s="18">
        <v>5647.11</v>
      </c>
      <c r="G22" s="18">
        <v>0.0</v>
      </c>
      <c r="H22" s="18">
        <v>4866.05</v>
      </c>
      <c r="I22" s="48">
        <f t="shared" si="3"/>
        <v>-0.1383114549</v>
      </c>
      <c r="J22" s="18">
        <v>1666.16</v>
      </c>
      <c r="K22" s="18">
        <v>107.52000000000001</v>
      </c>
      <c r="L22" s="18">
        <v>1630.1</v>
      </c>
      <c r="M22" s="48">
        <f t="shared" si="2"/>
        <v>-0.08617419696</v>
      </c>
      <c r="N22" s="18">
        <v>1735.53</v>
      </c>
      <c r="O22" s="18">
        <v>100.0</v>
      </c>
      <c r="P22" s="18">
        <v>1648.06</v>
      </c>
      <c r="Q22" s="48">
        <f t="shared" si="5"/>
        <v>-0.1080188761</v>
      </c>
      <c r="R22" s="18">
        <v>13818.46</v>
      </c>
      <c r="S22" s="18">
        <v>0.0</v>
      </c>
      <c r="T22" s="18">
        <v>12625.83</v>
      </c>
      <c r="U22" s="48">
        <f t="shared" si="1"/>
        <v>-0.0863070125</v>
      </c>
      <c r="V22" s="18">
        <v>0.0</v>
      </c>
      <c r="W22" s="18">
        <v>0.0</v>
      </c>
      <c r="X22" s="18">
        <v>0.0</v>
      </c>
      <c r="Y22" s="45" t="s">
        <v>24</v>
      </c>
      <c r="Z22" s="18">
        <v>0.0</v>
      </c>
      <c r="AA22" s="18">
        <v>0.0</v>
      </c>
      <c r="AB22" s="18">
        <v>0.0</v>
      </c>
      <c r="AC22" s="45" t="s">
        <v>36</v>
      </c>
      <c r="AF22" s="4"/>
    </row>
    <row r="23" ht="15.75" customHeight="1">
      <c r="A23" s="41">
        <v>44682.0</v>
      </c>
      <c r="B23" s="11">
        <v>4682.92</v>
      </c>
      <c r="C23" s="11">
        <v>0.0</v>
      </c>
      <c r="D23" s="11">
        <v>4702.24</v>
      </c>
      <c r="E23" s="47">
        <f t="shared" si="4"/>
        <v>0.004125631017</v>
      </c>
      <c r="F23" s="11">
        <v>4866.05</v>
      </c>
      <c r="G23" s="11">
        <v>0.0</v>
      </c>
      <c r="H23" s="11">
        <v>4743.54</v>
      </c>
      <c r="I23" s="47">
        <f t="shared" si="3"/>
        <v>-0.02517647784</v>
      </c>
      <c r="J23" s="11">
        <v>1630.1</v>
      </c>
      <c r="K23" s="11">
        <v>112.95</v>
      </c>
      <c r="L23" s="11">
        <v>1752.04</v>
      </c>
      <c r="M23" s="47">
        <f t="shared" si="2"/>
        <v>0.00551499908</v>
      </c>
      <c r="N23" s="11">
        <v>1648.0</v>
      </c>
      <c r="O23" s="11">
        <v>100.0</v>
      </c>
      <c r="P23" s="11">
        <v>1745.12</v>
      </c>
      <c r="Q23" s="47">
        <f t="shared" si="5"/>
        <v>-0.001747572816</v>
      </c>
      <c r="R23" s="11">
        <v>12625.83</v>
      </c>
      <c r="S23" s="11">
        <v>0.0</v>
      </c>
      <c r="T23" s="11">
        <v>12656.76</v>
      </c>
      <c r="U23" s="47">
        <f t="shared" si="1"/>
        <v>0.002449739938</v>
      </c>
      <c r="V23" s="11">
        <v>0.0</v>
      </c>
      <c r="W23" s="11">
        <v>0.0</v>
      </c>
      <c r="X23" s="11">
        <v>0.0</v>
      </c>
      <c r="Y23" s="42" t="s">
        <v>24</v>
      </c>
      <c r="Z23" s="11">
        <v>0.0</v>
      </c>
      <c r="AA23" s="11">
        <v>0.0</v>
      </c>
      <c r="AB23" s="11">
        <v>0.0</v>
      </c>
      <c r="AC23" s="42" t="s">
        <v>36</v>
      </c>
      <c r="AF23" s="4"/>
    </row>
    <row r="24" ht="15.75" customHeight="1">
      <c r="A24" s="44">
        <v>44713.0</v>
      </c>
      <c r="B24" s="18">
        <v>4702.24</v>
      </c>
      <c r="C24" s="18">
        <v>0.0</v>
      </c>
      <c r="D24" s="18">
        <v>4354.13</v>
      </c>
      <c r="E24" s="48">
        <f t="shared" si="4"/>
        <v>-0.07403067474</v>
      </c>
      <c r="F24" s="18">
        <v>4743.54</v>
      </c>
      <c r="G24" s="18">
        <v>0.0</v>
      </c>
      <c r="H24" s="18">
        <v>4140.21</v>
      </c>
      <c r="I24" s="48">
        <f t="shared" si="3"/>
        <v>-0.1271898203</v>
      </c>
      <c r="J24" s="18">
        <v>1752.04</v>
      </c>
      <c r="K24" s="18">
        <v>143.03</v>
      </c>
      <c r="L24" s="18">
        <v>1734.22</v>
      </c>
      <c r="M24" s="48">
        <f t="shared" si="2"/>
        <v>-0.09180726467</v>
      </c>
      <c r="N24" s="18">
        <v>1745.12</v>
      </c>
      <c r="O24" s="18">
        <v>100.0</v>
      </c>
      <c r="P24" s="18">
        <v>1687.69</v>
      </c>
      <c r="Q24" s="48">
        <f t="shared" si="5"/>
        <v>-0.09021156138</v>
      </c>
      <c r="R24" s="18">
        <v>12656.76</v>
      </c>
      <c r="S24" s="18">
        <v>0.0</v>
      </c>
      <c r="T24" s="18">
        <v>11601.89</v>
      </c>
      <c r="U24" s="48">
        <f t="shared" si="1"/>
        <v>-0.08334439462</v>
      </c>
      <c r="V24" s="18">
        <v>0.0</v>
      </c>
      <c r="W24" s="18">
        <v>0.0</v>
      </c>
      <c r="X24" s="18">
        <v>0.0</v>
      </c>
      <c r="Y24" s="45" t="s">
        <v>24</v>
      </c>
      <c r="Z24" s="18">
        <v>0.0</v>
      </c>
      <c r="AA24" s="18">
        <v>0.0</v>
      </c>
      <c r="AB24" s="18">
        <v>0.0</v>
      </c>
      <c r="AC24" s="45" t="s">
        <v>36</v>
      </c>
      <c r="AF24" s="4"/>
    </row>
    <row r="25" ht="15.75" customHeight="1">
      <c r="A25" s="41">
        <v>44743.0</v>
      </c>
      <c r="B25" s="11">
        <v>4354.13</v>
      </c>
      <c r="C25" s="11">
        <v>0.0</v>
      </c>
      <c r="D25" s="11">
        <v>4609.99</v>
      </c>
      <c r="E25" s="47">
        <f t="shared" si="4"/>
        <v>0.05876260011</v>
      </c>
      <c r="F25" s="11">
        <v>4140.21</v>
      </c>
      <c r="G25" s="11">
        <v>155.0</v>
      </c>
      <c r="H25" s="11">
        <v>4710.61</v>
      </c>
      <c r="I25" s="47">
        <f t="shared" si="3"/>
        <v>0.1003330749</v>
      </c>
      <c r="J25" s="11">
        <v>1734.22</v>
      </c>
      <c r="K25" s="11">
        <v>109.28</v>
      </c>
      <c r="L25" s="11">
        <v>1983.41</v>
      </c>
      <c r="M25" s="47">
        <f t="shared" si="2"/>
        <v>0.0806760388</v>
      </c>
      <c r="N25" s="11">
        <v>1687.69</v>
      </c>
      <c r="O25" s="11">
        <v>100.0</v>
      </c>
      <c r="P25" s="11">
        <v>1978.29</v>
      </c>
      <c r="Q25" s="47">
        <f t="shared" si="5"/>
        <v>0.1129354325</v>
      </c>
      <c r="R25" s="11">
        <v>11601.89</v>
      </c>
      <c r="S25" s="11">
        <v>0.0</v>
      </c>
      <c r="T25" s="11">
        <v>12646.91</v>
      </c>
      <c r="U25" s="47">
        <f t="shared" si="1"/>
        <v>0.09007325531</v>
      </c>
      <c r="V25" s="11">
        <v>0.0</v>
      </c>
      <c r="W25" s="11">
        <v>0.0</v>
      </c>
      <c r="X25" s="11">
        <v>0.0</v>
      </c>
      <c r="Y25" s="42" t="s">
        <v>24</v>
      </c>
      <c r="Z25" s="11">
        <v>0.0</v>
      </c>
      <c r="AA25" s="11">
        <v>0.0</v>
      </c>
      <c r="AB25" s="11">
        <v>0.0</v>
      </c>
      <c r="AC25" s="42" t="s">
        <v>36</v>
      </c>
      <c r="AF25" s="4"/>
    </row>
    <row r="26" ht="15.75" customHeight="1">
      <c r="A26" s="44">
        <v>44774.0</v>
      </c>
      <c r="B26" s="18">
        <v>4609.99</v>
      </c>
      <c r="C26" s="18">
        <v>0.0</v>
      </c>
      <c r="D26" s="18">
        <v>4445.64</v>
      </c>
      <c r="E26" s="48">
        <f t="shared" si="4"/>
        <v>-0.03565083655</v>
      </c>
      <c r="F26" s="18">
        <v>4710.61</v>
      </c>
      <c r="G26" s="18">
        <v>0.0</v>
      </c>
      <c r="H26" s="18">
        <v>4492.54</v>
      </c>
      <c r="I26" s="48">
        <f t="shared" si="3"/>
        <v>-0.04629336753</v>
      </c>
      <c r="J26" s="18">
        <v>1983.41</v>
      </c>
      <c r="K26" s="18">
        <v>122.04</v>
      </c>
      <c r="L26" s="18">
        <v>2011.93</v>
      </c>
      <c r="M26" s="48">
        <f t="shared" si="2"/>
        <v>-0.04715111853</v>
      </c>
      <c r="N26" s="18">
        <v>1978.29</v>
      </c>
      <c r="O26" s="18">
        <v>225.0</v>
      </c>
      <c r="P26" s="18">
        <v>2103.06</v>
      </c>
      <c r="Q26" s="48">
        <f t="shared" si="5"/>
        <v>-0.05066496823</v>
      </c>
      <c r="R26" s="18">
        <v>12646.91</v>
      </c>
      <c r="S26" s="18">
        <v>0.0</v>
      </c>
      <c r="T26" s="18">
        <v>12142.72</v>
      </c>
      <c r="U26" s="48">
        <f t="shared" si="1"/>
        <v>-0.03986665518</v>
      </c>
      <c r="V26" s="18">
        <v>0.0</v>
      </c>
      <c r="W26" s="18">
        <v>0.0</v>
      </c>
      <c r="X26" s="18">
        <v>0.0</v>
      </c>
      <c r="Y26" s="45" t="s">
        <v>24</v>
      </c>
      <c r="Z26" s="18">
        <v>0.0</v>
      </c>
      <c r="AA26" s="18">
        <v>0.0</v>
      </c>
      <c r="AB26" s="18">
        <v>0.0</v>
      </c>
      <c r="AC26" s="45" t="s">
        <v>36</v>
      </c>
      <c r="AF26" s="4"/>
    </row>
    <row r="27" ht="15.75" customHeight="1">
      <c r="A27" s="41">
        <v>44805.0</v>
      </c>
      <c r="B27" s="11">
        <v>4445.64</v>
      </c>
      <c r="C27" s="11">
        <v>0.0</v>
      </c>
      <c r="D27" s="11">
        <v>4033.43</v>
      </c>
      <c r="E27" s="47">
        <f t="shared" si="4"/>
        <v>-0.0927223077</v>
      </c>
      <c r="F27" s="11">
        <v>4492.54</v>
      </c>
      <c r="G27" s="11">
        <v>0.0</v>
      </c>
      <c r="H27" s="11">
        <v>3947.15</v>
      </c>
      <c r="I27" s="47">
        <f t="shared" si="3"/>
        <v>-0.1213990304</v>
      </c>
      <c r="J27" s="11">
        <v>2011.93</v>
      </c>
      <c r="K27" s="11">
        <v>119.86</v>
      </c>
      <c r="L27" s="11">
        <v>1921.21</v>
      </c>
      <c r="M27" s="47">
        <f t="shared" si="2"/>
        <v>-0.1046656693</v>
      </c>
      <c r="N27" s="11">
        <v>2103.06</v>
      </c>
      <c r="O27" s="11">
        <v>450.0</v>
      </c>
      <c r="P27" s="11">
        <v>2303.79</v>
      </c>
      <c r="Q27" s="47">
        <f t="shared" si="5"/>
        <v>-0.1185272888</v>
      </c>
      <c r="R27" s="11">
        <v>12142.72</v>
      </c>
      <c r="S27" s="11">
        <v>0.0</v>
      </c>
      <c r="T27" s="11">
        <v>11021.15</v>
      </c>
      <c r="U27" s="47">
        <f t="shared" si="1"/>
        <v>-0.09236563142</v>
      </c>
      <c r="V27" s="11">
        <v>0.0</v>
      </c>
      <c r="W27" s="11">
        <v>0.0</v>
      </c>
      <c r="X27" s="11">
        <v>0.0</v>
      </c>
      <c r="Y27" s="42" t="s">
        <v>24</v>
      </c>
      <c r="Z27" s="11">
        <v>0.0</v>
      </c>
      <c r="AA27" s="11">
        <v>0.0</v>
      </c>
      <c r="AB27" s="11">
        <v>0.0</v>
      </c>
      <c r="AC27" s="42" t="s">
        <v>36</v>
      </c>
      <c r="AF27" s="4"/>
    </row>
    <row r="28" ht="15.75" customHeight="1">
      <c r="A28" s="44">
        <v>44835.0</v>
      </c>
      <c r="B28" s="18">
        <v>4033.43</v>
      </c>
      <c r="C28" s="18">
        <v>0.0</v>
      </c>
      <c r="D28" s="49">
        <v>4282.07</v>
      </c>
      <c r="E28" s="48">
        <f t="shared" si="4"/>
        <v>0.06164480355</v>
      </c>
      <c r="F28" s="18">
        <v>3947.15</v>
      </c>
      <c r="G28" s="18">
        <v>0.0</v>
      </c>
      <c r="H28" s="18">
        <v>4216.18</v>
      </c>
      <c r="I28" s="48">
        <f t="shared" si="3"/>
        <v>0.06815803808</v>
      </c>
      <c r="J28" s="18">
        <v>1921.21</v>
      </c>
      <c r="K28" s="18">
        <v>122.45</v>
      </c>
      <c r="L28" s="18">
        <v>2187.98</v>
      </c>
      <c r="M28" s="48">
        <f t="shared" si="2"/>
        <v>0.07511932584</v>
      </c>
      <c r="N28" s="18">
        <v>2303.79</v>
      </c>
      <c r="O28" s="18">
        <v>150.0</v>
      </c>
      <c r="P28" s="18">
        <v>2618.96</v>
      </c>
      <c r="Q28" s="48">
        <f t="shared" si="5"/>
        <v>0.07169490275</v>
      </c>
      <c r="R28" s="18">
        <v>11021.15</v>
      </c>
      <c r="S28" s="18">
        <v>0.0</v>
      </c>
      <c r="T28" s="18">
        <v>11922.57</v>
      </c>
      <c r="U28" s="48">
        <f t="shared" si="1"/>
        <v>0.08179001284</v>
      </c>
      <c r="V28" s="18">
        <v>0.0</v>
      </c>
      <c r="W28" s="18">
        <v>0.0</v>
      </c>
      <c r="X28" s="18">
        <v>0.0</v>
      </c>
      <c r="Y28" s="45" t="s">
        <v>24</v>
      </c>
      <c r="Z28" s="18">
        <v>0.0</v>
      </c>
      <c r="AA28" s="18">
        <v>0.0</v>
      </c>
      <c r="AB28" s="18">
        <v>0.0</v>
      </c>
      <c r="AC28" s="45" t="s">
        <v>36</v>
      </c>
      <c r="AF28" s="4"/>
    </row>
    <row r="29" ht="15.75" customHeight="1">
      <c r="A29" s="41">
        <v>44866.0</v>
      </c>
      <c r="B29" s="11">
        <v>4282.07</v>
      </c>
      <c r="C29" s="11">
        <v>0.0</v>
      </c>
      <c r="D29" s="11">
        <v>4651.46</v>
      </c>
      <c r="E29" s="47">
        <f t="shared" si="4"/>
        <v>0.08626435346</v>
      </c>
      <c r="F29" s="11">
        <v>4216.18</v>
      </c>
      <c r="G29" s="11">
        <v>0.0</v>
      </c>
      <c r="H29" s="11">
        <v>4554.21</v>
      </c>
      <c r="I29" s="47">
        <f t="shared" si="3"/>
        <v>0.08017447073</v>
      </c>
      <c r="J29" s="11">
        <v>2187.98</v>
      </c>
      <c r="K29" s="11">
        <v>142.64</v>
      </c>
      <c r="L29" s="50">
        <v>2497.33</v>
      </c>
      <c r="M29" s="47">
        <f t="shared" si="2"/>
        <v>0.07619356667</v>
      </c>
      <c r="N29" s="11">
        <v>2618.96</v>
      </c>
      <c r="O29" s="11">
        <v>150.0</v>
      </c>
      <c r="P29" s="50">
        <v>2922.98</v>
      </c>
      <c r="Q29" s="47">
        <f t="shared" si="5"/>
        <v>0.05880960381</v>
      </c>
      <c r="R29" s="11">
        <v>11922.57</v>
      </c>
      <c r="S29" s="11">
        <v>0.0</v>
      </c>
      <c r="T29" s="11">
        <v>12597.64</v>
      </c>
      <c r="U29" s="47">
        <f t="shared" si="1"/>
        <v>0.05662118151</v>
      </c>
      <c r="V29" s="11">
        <v>0.0</v>
      </c>
      <c r="W29" s="11">
        <v>0.0</v>
      </c>
      <c r="X29" s="11">
        <v>0.0</v>
      </c>
      <c r="Y29" s="42" t="s">
        <v>24</v>
      </c>
      <c r="Z29" s="11">
        <v>0.0</v>
      </c>
      <c r="AA29" s="11">
        <v>0.0</v>
      </c>
      <c r="AB29" s="11">
        <v>0.0</v>
      </c>
      <c r="AC29" s="42" t="s">
        <v>36</v>
      </c>
      <c r="AF29" s="4"/>
    </row>
    <row r="30" ht="15.75" customHeight="1">
      <c r="A30" s="44">
        <v>44896.0</v>
      </c>
      <c r="B30" s="18">
        <v>4651.46</v>
      </c>
      <c r="C30" s="18">
        <v>0.0</v>
      </c>
      <c r="D30" s="18">
        <v>4470.32</v>
      </c>
      <c r="E30" s="48">
        <f t="shared" si="4"/>
        <v>-0.03894261157</v>
      </c>
      <c r="F30" s="18">
        <v>4554.21</v>
      </c>
      <c r="G30" s="18">
        <v>0.0</v>
      </c>
      <c r="H30" s="18">
        <v>4277.21</v>
      </c>
      <c r="I30" s="48">
        <f t="shared" si="3"/>
        <v>-0.06082284304</v>
      </c>
      <c r="J30" s="18">
        <v>2497.33</v>
      </c>
      <c r="K30" s="18">
        <v>119.62</v>
      </c>
      <c r="L30" s="49">
        <v>2491.77</v>
      </c>
      <c r="M30" s="48">
        <f t="shared" si="2"/>
        <v>-0.05012553407</v>
      </c>
      <c r="N30" s="18">
        <v>2922.98</v>
      </c>
      <c r="O30" s="18">
        <v>150.0</v>
      </c>
      <c r="P30" s="18">
        <v>2861.44</v>
      </c>
      <c r="Q30" s="48">
        <f t="shared" si="5"/>
        <v>-0.07237134705</v>
      </c>
      <c r="R30" s="18">
        <v>12597.64</v>
      </c>
      <c r="S30" s="18">
        <v>0.0</v>
      </c>
      <c r="T30" s="18">
        <v>11890.36</v>
      </c>
      <c r="U30" s="48">
        <f t="shared" si="1"/>
        <v>-0.05614384917</v>
      </c>
      <c r="V30" s="18">
        <v>0.0</v>
      </c>
      <c r="W30" s="18">
        <v>0.0</v>
      </c>
      <c r="X30" s="18">
        <v>0.0</v>
      </c>
      <c r="Y30" s="45" t="s">
        <v>24</v>
      </c>
      <c r="Z30" s="18">
        <v>0.0</v>
      </c>
      <c r="AA30" s="18">
        <v>0.0</v>
      </c>
      <c r="AB30" s="18">
        <v>0.0</v>
      </c>
      <c r="AC30" s="45" t="s">
        <v>36</v>
      </c>
      <c r="AF30" s="4"/>
    </row>
    <row r="31" ht="15.75" customHeight="1">
      <c r="A31" s="41">
        <v>44927.0</v>
      </c>
      <c r="B31" s="11">
        <v>4470.32</v>
      </c>
      <c r="C31" s="11">
        <v>0.0</v>
      </c>
      <c r="D31" s="11">
        <v>4767.88</v>
      </c>
      <c r="E31" s="47">
        <f t="shared" si="4"/>
        <v>0.06656346749</v>
      </c>
      <c r="F31" s="11">
        <v>4277.21</v>
      </c>
      <c r="G31" s="11">
        <v>0.0</v>
      </c>
      <c r="H31" s="11">
        <v>4820.79</v>
      </c>
      <c r="I31" s="47">
        <f t="shared" si="3"/>
        <v>0.1270875173</v>
      </c>
      <c r="J31" s="50">
        <v>2491.77</v>
      </c>
      <c r="K31" s="11">
        <v>140.65</v>
      </c>
      <c r="L31" s="11">
        <v>2818.15</v>
      </c>
      <c r="M31" s="47">
        <f t="shared" si="2"/>
        <v>0.07453737705</v>
      </c>
      <c r="N31" s="11">
        <v>2861.44</v>
      </c>
      <c r="O31" s="11">
        <v>225.0</v>
      </c>
      <c r="P31" s="11">
        <v>3323.35</v>
      </c>
      <c r="Q31" s="47">
        <f t="shared" si="5"/>
        <v>0.08279397786</v>
      </c>
      <c r="R31" s="11">
        <v>11890.36</v>
      </c>
      <c r="S31" s="11">
        <v>0.0</v>
      </c>
      <c r="T31" s="11">
        <v>12657.27</v>
      </c>
      <c r="U31" s="47">
        <f t="shared" si="1"/>
        <v>0.06449846767</v>
      </c>
      <c r="V31" s="11">
        <v>0.0</v>
      </c>
      <c r="W31" s="11">
        <v>0.0</v>
      </c>
      <c r="X31" s="11">
        <v>0.0</v>
      </c>
      <c r="Y31" s="42" t="s">
        <v>24</v>
      </c>
      <c r="Z31" s="11">
        <v>0.0</v>
      </c>
      <c r="AA31" s="11">
        <v>0.0</v>
      </c>
      <c r="AB31" s="11">
        <v>0.0</v>
      </c>
      <c r="AC31" s="42" t="s">
        <v>36</v>
      </c>
      <c r="AF31" s="4"/>
    </row>
    <row r="32" ht="15.75" customHeight="1">
      <c r="A32" s="44">
        <v>44958.0</v>
      </c>
      <c r="B32" s="18">
        <v>4767.88</v>
      </c>
      <c r="C32" s="18">
        <v>0.0</v>
      </c>
      <c r="D32" s="18">
        <v>4596.11</v>
      </c>
      <c r="E32" s="48">
        <f t="shared" si="4"/>
        <v>-0.03602649396</v>
      </c>
      <c r="F32" s="18">
        <v>4820.79</v>
      </c>
      <c r="G32" s="18">
        <v>0.0</v>
      </c>
      <c r="H32" s="18">
        <v>4736.71</v>
      </c>
      <c r="I32" s="48">
        <f t="shared" si="3"/>
        <v>-0.01744112479</v>
      </c>
      <c r="J32" s="18">
        <v>2818.15</v>
      </c>
      <c r="K32" s="18">
        <v>158.76</v>
      </c>
      <c r="L32" s="49">
        <v>2885.87</v>
      </c>
      <c r="M32" s="48">
        <f t="shared" si="2"/>
        <v>-0.03230488086</v>
      </c>
      <c r="N32" s="18">
        <v>3323.35</v>
      </c>
      <c r="O32" s="18">
        <v>300.0</v>
      </c>
      <c r="P32" s="18">
        <v>3559.6</v>
      </c>
      <c r="Q32" s="48">
        <f t="shared" si="5"/>
        <v>-0.01918245144</v>
      </c>
      <c r="R32" s="18">
        <v>12657.27</v>
      </c>
      <c r="S32" s="18">
        <v>0.0</v>
      </c>
      <c r="T32" s="18">
        <v>12341.01</v>
      </c>
      <c r="U32" s="48">
        <f t="shared" si="1"/>
        <v>-0.02498643072</v>
      </c>
      <c r="V32" s="18">
        <v>0.0</v>
      </c>
      <c r="W32" s="18">
        <v>6000.0</v>
      </c>
      <c r="X32" s="18">
        <v>5985.96</v>
      </c>
      <c r="Y32" s="45" t="s">
        <v>24</v>
      </c>
      <c r="Z32" s="18">
        <v>0.0</v>
      </c>
      <c r="AA32" s="18">
        <v>0.0</v>
      </c>
      <c r="AB32" s="18">
        <v>0.0</v>
      </c>
      <c r="AC32" s="45" t="s">
        <v>36</v>
      </c>
      <c r="AF32" s="4"/>
    </row>
    <row r="33" ht="15.75" customHeight="1">
      <c r="A33" s="41">
        <v>44986.0</v>
      </c>
      <c r="B33" s="11">
        <v>4596.11</v>
      </c>
      <c r="C33" s="11">
        <v>0.0</v>
      </c>
      <c r="D33" s="11">
        <v>4686.99</v>
      </c>
      <c r="E33" s="47">
        <f t="shared" si="4"/>
        <v>0.01977324303</v>
      </c>
      <c r="F33" s="11">
        <v>4736.71</v>
      </c>
      <c r="G33" s="11">
        <v>0.0</v>
      </c>
      <c r="H33" s="11">
        <v>4736.15</v>
      </c>
      <c r="I33" s="47">
        <f t="shared" si="3"/>
        <v>-0.0001182255194</v>
      </c>
      <c r="J33" s="11">
        <v>2885.87</v>
      </c>
      <c r="K33" s="11">
        <v>165.9</v>
      </c>
      <c r="L33" s="50">
        <v>3115.98</v>
      </c>
      <c r="M33" s="47">
        <f t="shared" si="2"/>
        <v>0.02224978949</v>
      </c>
      <c r="N33" s="11">
        <v>3559.6</v>
      </c>
      <c r="O33" s="11">
        <v>300.0</v>
      </c>
      <c r="P33" s="11">
        <v>4070.93</v>
      </c>
      <c r="Q33" s="47">
        <f t="shared" si="5"/>
        <v>0.05936903023</v>
      </c>
      <c r="R33" s="11">
        <v>12341.01</v>
      </c>
      <c r="S33" s="11">
        <v>0.0</v>
      </c>
      <c r="T33" s="11">
        <v>12725.77</v>
      </c>
      <c r="U33" s="47">
        <f t="shared" si="1"/>
        <v>0.03117735096</v>
      </c>
      <c r="V33" s="11">
        <v>5985.96</v>
      </c>
      <c r="W33" s="11">
        <v>0.0</v>
      </c>
      <c r="X33" s="11">
        <v>6146.95</v>
      </c>
      <c r="Y33" s="42">
        <f t="shared" ref="Y33:Y53" si="6">(X33-W33-V33)/V33</f>
        <v>0.02689460003</v>
      </c>
      <c r="Z33" s="11">
        <v>0.0</v>
      </c>
      <c r="AA33" s="11">
        <v>0.0</v>
      </c>
      <c r="AB33" s="11">
        <v>0.0</v>
      </c>
      <c r="AC33" s="42" t="s">
        <v>36</v>
      </c>
      <c r="AF33" s="4"/>
    </row>
    <row r="34" ht="15.75" customHeight="1">
      <c r="A34" s="44">
        <v>45017.0</v>
      </c>
      <c r="B34" s="18">
        <v>4686.99</v>
      </c>
      <c r="C34" s="18">
        <v>0.0</v>
      </c>
      <c r="D34" s="18">
        <v>4722.24</v>
      </c>
      <c r="E34" s="48">
        <f t="shared" si="4"/>
        <v>0.007520818265</v>
      </c>
      <c r="F34" s="18">
        <v>4736.15</v>
      </c>
      <c r="G34" s="18">
        <v>0.0</v>
      </c>
      <c r="H34" s="18">
        <v>4663.05</v>
      </c>
      <c r="I34" s="48">
        <f t="shared" si="3"/>
        <v>-0.01543447737</v>
      </c>
      <c r="J34" s="18">
        <v>3115.98</v>
      </c>
      <c r="K34" s="18">
        <v>161.52</v>
      </c>
      <c r="L34" s="49">
        <v>3311.92</v>
      </c>
      <c r="M34" s="48">
        <f t="shared" si="2"/>
        <v>0.01104628399</v>
      </c>
      <c r="N34" s="18">
        <v>4070.93</v>
      </c>
      <c r="O34" s="18">
        <v>300.0</v>
      </c>
      <c r="P34" s="18">
        <v>4430.93</v>
      </c>
      <c r="Q34" s="48">
        <f t="shared" si="5"/>
        <v>0.01473864694</v>
      </c>
      <c r="R34" s="18">
        <v>12725.77</v>
      </c>
      <c r="S34" s="18">
        <v>0.0</v>
      </c>
      <c r="T34" s="18">
        <v>12905.71</v>
      </c>
      <c r="U34" s="48">
        <f t="shared" si="1"/>
        <v>0.01413981236</v>
      </c>
      <c r="V34" s="18">
        <v>6146.95</v>
      </c>
      <c r="W34" s="18">
        <v>0.0</v>
      </c>
      <c r="X34" s="18">
        <v>6212.96</v>
      </c>
      <c r="Y34" s="45">
        <f t="shared" si="6"/>
        <v>0.01073865901</v>
      </c>
      <c r="Z34" s="18">
        <v>0.0</v>
      </c>
      <c r="AA34" s="18">
        <v>0.0</v>
      </c>
      <c r="AB34" s="18">
        <v>0.0</v>
      </c>
      <c r="AC34" s="45" t="s">
        <v>36</v>
      </c>
      <c r="AF34" s="4"/>
    </row>
    <row r="35" ht="15.75" customHeight="1">
      <c r="A35" s="41">
        <v>45047.0</v>
      </c>
      <c r="B35" s="11">
        <v>4722.24</v>
      </c>
      <c r="C35" s="11">
        <v>0.0</v>
      </c>
      <c r="D35" s="11">
        <v>4639.32</v>
      </c>
      <c r="E35" s="47">
        <f t="shared" si="4"/>
        <v>-0.01755946331</v>
      </c>
      <c r="F35" s="11">
        <v>4663.05</v>
      </c>
      <c r="G35" s="11">
        <v>0.0</v>
      </c>
      <c r="H35" s="11">
        <v>4739.46</v>
      </c>
      <c r="I35" s="47">
        <f t="shared" si="3"/>
        <v>0.01638627079</v>
      </c>
      <c r="J35" s="11">
        <v>3311.92</v>
      </c>
      <c r="K35" s="11">
        <v>180.12</v>
      </c>
      <c r="L35" s="50">
        <v>3446.06</v>
      </c>
      <c r="M35" s="47">
        <f t="shared" si="2"/>
        <v>-0.01388318558</v>
      </c>
      <c r="N35" s="11">
        <v>4430.93</v>
      </c>
      <c r="O35" s="11">
        <v>375.0</v>
      </c>
      <c r="P35" s="11">
        <v>4952.79</v>
      </c>
      <c r="Q35" s="47">
        <f t="shared" si="5"/>
        <v>0.03314428348</v>
      </c>
      <c r="R35" s="11">
        <v>12905.7</v>
      </c>
      <c r="S35" s="11">
        <v>0.0</v>
      </c>
      <c r="T35" s="11">
        <v>12911.64</v>
      </c>
      <c r="U35" s="47">
        <f t="shared" si="1"/>
        <v>0.0004602617448</v>
      </c>
      <c r="V35" s="11">
        <v>6212.96</v>
      </c>
      <c r="W35" s="11">
        <v>1000.0</v>
      </c>
      <c r="X35" s="11">
        <v>7239.42</v>
      </c>
      <c r="Y35" s="42">
        <f t="shared" si="6"/>
        <v>0.004258839587</v>
      </c>
      <c r="Z35" s="11">
        <v>0.0</v>
      </c>
      <c r="AA35" s="11">
        <v>1000.0</v>
      </c>
      <c r="AB35" s="11">
        <v>1000.0</v>
      </c>
      <c r="AC35" s="42" t="s">
        <v>24</v>
      </c>
      <c r="AF35" s="4"/>
    </row>
    <row r="36" ht="15.75" customHeight="1">
      <c r="A36" s="44">
        <v>45078.0</v>
      </c>
      <c r="B36" s="18">
        <v>4639.32</v>
      </c>
      <c r="C36" s="18">
        <v>0.0</v>
      </c>
      <c r="D36" s="18">
        <v>4893.57</v>
      </c>
      <c r="E36" s="48">
        <f t="shared" si="4"/>
        <v>0.05480329014</v>
      </c>
      <c r="F36" s="18">
        <v>4739.46</v>
      </c>
      <c r="G36" s="18">
        <v>0.0</v>
      </c>
      <c r="H36" s="18">
        <v>5146.03</v>
      </c>
      <c r="I36" s="48">
        <f t="shared" si="3"/>
        <v>0.08578403447</v>
      </c>
      <c r="J36" s="18">
        <v>3446.06</v>
      </c>
      <c r="K36" s="18">
        <v>176.98</v>
      </c>
      <c r="L36" s="49">
        <v>3827.43</v>
      </c>
      <c r="M36" s="48">
        <f t="shared" si="2"/>
        <v>0.05931121339</v>
      </c>
      <c r="N36" s="18">
        <v>4952.79</v>
      </c>
      <c r="O36" s="18">
        <v>300.0</v>
      </c>
      <c r="P36" s="18">
        <v>5565.22</v>
      </c>
      <c r="Q36" s="48">
        <f t="shared" si="5"/>
        <v>0.06308161662</v>
      </c>
      <c r="R36" s="18">
        <v>12911.64</v>
      </c>
      <c r="S36" s="18">
        <v>0.0</v>
      </c>
      <c r="T36" s="18">
        <v>13762.66</v>
      </c>
      <c r="U36" s="48">
        <f t="shared" si="1"/>
        <v>0.06591106939</v>
      </c>
      <c r="V36" s="18">
        <v>7239.42</v>
      </c>
      <c r="W36" s="18">
        <v>0.0</v>
      </c>
      <c r="X36" s="18">
        <v>7657.51</v>
      </c>
      <c r="Y36" s="45">
        <f t="shared" si="6"/>
        <v>0.0577518641</v>
      </c>
      <c r="Z36" s="18">
        <v>1000.0</v>
      </c>
      <c r="AA36" s="18">
        <v>0.0</v>
      </c>
      <c r="AB36" s="18">
        <v>1002.44</v>
      </c>
      <c r="AC36" s="45">
        <f t="shared" ref="AC36:AC53" si="7">(AB36-AA36-Z36)/Z36</f>
        <v>0.00244</v>
      </c>
      <c r="AF36" s="4"/>
    </row>
    <row r="37" ht="15.75" customHeight="1">
      <c r="A37" s="41">
        <v>45108.0</v>
      </c>
      <c r="B37" s="11">
        <v>4893.57</v>
      </c>
      <c r="C37" s="11">
        <v>0.0</v>
      </c>
      <c r="D37" s="11">
        <v>5089.03</v>
      </c>
      <c r="E37" s="47">
        <f t="shared" si="4"/>
        <v>0.03994220988</v>
      </c>
      <c r="F37" s="11">
        <v>5146.03</v>
      </c>
      <c r="G37" s="11">
        <v>0.0</v>
      </c>
      <c r="H37" s="11">
        <v>5501.02</v>
      </c>
      <c r="I37" s="47">
        <f t="shared" si="3"/>
        <v>0.06898327449</v>
      </c>
      <c r="J37" s="11">
        <v>3827.43</v>
      </c>
      <c r="K37" s="11">
        <v>145.6</v>
      </c>
      <c r="L37" s="50">
        <v>4120.39</v>
      </c>
      <c r="M37" s="47">
        <f t="shared" si="2"/>
        <v>0.03850103072</v>
      </c>
      <c r="N37" s="11">
        <v>5565.22</v>
      </c>
      <c r="O37" s="11">
        <v>300.0</v>
      </c>
      <c r="P37" s="11">
        <v>6083.82</v>
      </c>
      <c r="Q37" s="47">
        <f t="shared" si="5"/>
        <v>0.03927966909</v>
      </c>
      <c r="R37" s="11">
        <v>13762.66</v>
      </c>
      <c r="S37" s="11">
        <v>0.0</v>
      </c>
      <c r="T37" s="11">
        <v>14218.43</v>
      </c>
      <c r="U37" s="47">
        <f t="shared" si="1"/>
        <v>0.0331164179</v>
      </c>
      <c r="V37" s="11">
        <v>7657.51</v>
      </c>
      <c r="W37" s="11">
        <v>0.0</v>
      </c>
      <c r="X37" s="11">
        <v>7926.43</v>
      </c>
      <c r="Y37" s="42">
        <f t="shared" si="6"/>
        <v>0.0351184654</v>
      </c>
      <c r="Z37" s="11">
        <v>1002.44</v>
      </c>
      <c r="AA37" s="11">
        <v>0.0</v>
      </c>
      <c r="AB37" s="11">
        <v>1006.11</v>
      </c>
      <c r="AC37" s="42">
        <f t="shared" si="7"/>
        <v>0.003661066997</v>
      </c>
      <c r="AF37" s="4"/>
    </row>
    <row r="38" ht="15.75" customHeight="1">
      <c r="A38" s="44">
        <v>45139.0</v>
      </c>
      <c r="B38" s="18">
        <v>5089.03</v>
      </c>
      <c r="C38" s="18">
        <v>0.0</v>
      </c>
      <c r="D38" s="18">
        <v>4937.15</v>
      </c>
      <c r="E38" s="48">
        <f t="shared" si="4"/>
        <v>-0.02984458728</v>
      </c>
      <c r="F38" s="18">
        <v>5501.02</v>
      </c>
      <c r="G38" s="18">
        <v>0.0</v>
      </c>
      <c r="H38" s="18">
        <v>5103.37</v>
      </c>
      <c r="I38" s="48">
        <f t="shared" si="3"/>
        <v>-0.07228659412</v>
      </c>
      <c r="J38" s="18">
        <v>4120.39</v>
      </c>
      <c r="K38" s="18">
        <v>197.18</v>
      </c>
      <c r="L38" s="49">
        <v>4198.93</v>
      </c>
      <c r="M38" s="48">
        <f t="shared" si="2"/>
        <v>-0.02879339092</v>
      </c>
      <c r="N38" s="18">
        <v>6083.82</v>
      </c>
      <c r="O38" s="18">
        <v>975.0</v>
      </c>
      <c r="P38" s="18">
        <v>6972.07</v>
      </c>
      <c r="Q38" s="48">
        <f t="shared" si="5"/>
        <v>-0.01425913324</v>
      </c>
      <c r="R38" s="18">
        <v>14218.43</v>
      </c>
      <c r="S38" s="18">
        <v>0.0</v>
      </c>
      <c r="T38" s="18">
        <v>13956.87</v>
      </c>
      <c r="U38" s="48">
        <f t="shared" si="1"/>
        <v>-0.01839584258</v>
      </c>
      <c r="V38" s="18">
        <v>7926.43</v>
      </c>
      <c r="W38" s="18">
        <v>3500.0</v>
      </c>
      <c r="X38" s="18">
        <v>11314.44</v>
      </c>
      <c r="Y38" s="45">
        <f t="shared" si="6"/>
        <v>-0.01412868088</v>
      </c>
      <c r="Z38" s="18">
        <v>1006.11</v>
      </c>
      <c r="AA38" s="18">
        <v>1000.0</v>
      </c>
      <c r="AB38" s="18">
        <v>2009.95</v>
      </c>
      <c r="AC38" s="45">
        <f t="shared" si="7"/>
        <v>0.003816680085</v>
      </c>
      <c r="AF38" s="4"/>
    </row>
    <row r="39" ht="15.75" customHeight="1">
      <c r="A39" s="41">
        <v>45170.0</v>
      </c>
      <c r="B39" s="11">
        <v>4937.15</v>
      </c>
      <c r="C39" s="11">
        <v>0.0</v>
      </c>
      <c r="D39" s="11">
        <v>4737.38</v>
      </c>
      <c r="E39" s="47">
        <f t="shared" si="4"/>
        <v>-0.04046261507</v>
      </c>
      <c r="F39" s="11">
        <v>5103.37</v>
      </c>
      <c r="G39" s="11">
        <v>0.0</v>
      </c>
      <c r="H39" s="11">
        <v>4725.62</v>
      </c>
      <c r="I39" s="47">
        <f t="shared" si="3"/>
        <v>-0.07401971638</v>
      </c>
      <c r="J39" s="11">
        <v>4198.93</v>
      </c>
      <c r="K39" s="11">
        <v>131.51999999999998</v>
      </c>
      <c r="L39" s="50">
        <v>4121.52</v>
      </c>
      <c r="M39" s="47">
        <f t="shared" si="2"/>
        <v>-0.04975791452</v>
      </c>
      <c r="N39" s="11">
        <v>6972.07</v>
      </c>
      <c r="O39" s="11">
        <f>3365</f>
        <v>3365</v>
      </c>
      <c r="P39" s="11">
        <v>9926.01</v>
      </c>
      <c r="Q39" s="47">
        <f t="shared" si="5"/>
        <v>-0.05895809996</v>
      </c>
      <c r="R39" s="11">
        <v>13956.87</v>
      </c>
      <c r="S39" s="11">
        <v>0.0</v>
      </c>
      <c r="T39" s="11">
        <v>13293.29</v>
      </c>
      <c r="U39" s="47">
        <f t="shared" si="1"/>
        <v>-0.04754504413</v>
      </c>
      <c r="V39" s="11">
        <v>11314.44</v>
      </c>
      <c r="W39" s="11">
        <v>2000.0</v>
      </c>
      <c r="X39" s="11">
        <v>12710.38</v>
      </c>
      <c r="Y39" s="42">
        <f t="shared" si="6"/>
        <v>-0.05338841339</v>
      </c>
      <c r="Z39" s="11">
        <v>2009.95</v>
      </c>
      <c r="AA39" s="11">
        <v>0.0</v>
      </c>
      <c r="AB39" s="11">
        <v>2017.71</v>
      </c>
      <c r="AC39" s="42">
        <f t="shared" si="7"/>
        <v>0.003860792557</v>
      </c>
      <c r="AF39" s="4"/>
    </row>
    <row r="40" ht="15.75" customHeight="1">
      <c r="A40" s="44">
        <v>45200.0</v>
      </c>
      <c r="B40" s="18">
        <v>4737.38</v>
      </c>
      <c r="C40" s="18">
        <v>0.0</v>
      </c>
      <c r="D40" s="18">
        <v>4591.96</v>
      </c>
      <c r="E40" s="48">
        <f t="shared" si="4"/>
        <v>-0.03069629204</v>
      </c>
      <c r="F40" s="18">
        <v>4725.62</v>
      </c>
      <c r="G40" s="18">
        <v>0.0</v>
      </c>
      <c r="H40" s="18">
        <v>4532.8</v>
      </c>
      <c r="I40" s="48">
        <f t="shared" si="3"/>
        <v>-0.04080311155</v>
      </c>
      <c r="J40" s="18">
        <v>4121.52</v>
      </c>
      <c r="K40" s="18">
        <v>171.62</v>
      </c>
      <c r="L40" s="49">
        <v>4215.24</v>
      </c>
      <c r="M40" s="48">
        <f t="shared" si="2"/>
        <v>-0.01890079388</v>
      </c>
      <c r="N40" s="18">
        <v>9926.01</v>
      </c>
      <c r="O40" s="18">
        <v>1275.0</v>
      </c>
      <c r="P40" s="18">
        <v>11014.35</v>
      </c>
      <c r="Q40" s="48">
        <f t="shared" si="5"/>
        <v>-0.01880513923</v>
      </c>
      <c r="R40" s="18">
        <v>13293.29</v>
      </c>
      <c r="S40" s="18">
        <v>0.0</v>
      </c>
      <c r="T40" s="18">
        <v>12974.95</v>
      </c>
      <c r="U40" s="48">
        <f t="shared" si="1"/>
        <v>-0.02394742009</v>
      </c>
      <c r="V40" s="18">
        <v>12710.38</v>
      </c>
      <c r="W40" s="18">
        <v>0.0</v>
      </c>
      <c r="X40" s="18">
        <v>12378.85</v>
      </c>
      <c r="Y40" s="45">
        <f t="shared" si="6"/>
        <v>-0.02608340585</v>
      </c>
      <c r="Z40" s="18">
        <v>2017.71</v>
      </c>
      <c r="AA40" s="18">
        <v>0.0</v>
      </c>
      <c r="AB40" s="18">
        <v>2025.5</v>
      </c>
      <c r="AC40" s="45">
        <f t="shared" si="7"/>
        <v>0.003860812505</v>
      </c>
      <c r="AF40" s="4"/>
    </row>
    <row r="41" ht="15.75" customHeight="1">
      <c r="A41" s="41">
        <v>45231.0</v>
      </c>
      <c r="B41" s="11">
        <v>4591.96</v>
      </c>
      <c r="C41" s="11">
        <v>0.0</v>
      </c>
      <c r="D41" s="11">
        <v>4987.77</v>
      </c>
      <c r="E41" s="47">
        <f t="shared" si="4"/>
        <v>0.08619630833</v>
      </c>
      <c r="F41" s="11">
        <v>4532.8</v>
      </c>
      <c r="G41" s="11">
        <v>0.0</v>
      </c>
      <c r="H41" s="11">
        <v>5221.18</v>
      </c>
      <c r="I41" s="47">
        <f t="shared" si="3"/>
        <v>0.151866396</v>
      </c>
      <c r="J41" s="11">
        <v>4215.24</v>
      </c>
      <c r="K41" s="11">
        <f>134.84+3</f>
        <v>137.84</v>
      </c>
      <c r="L41" s="50">
        <v>4723.75</v>
      </c>
      <c r="M41" s="47">
        <f t="shared" si="2"/>
        <v>0.08793568101</v>
      </c>
      <c r="N41" s="11">
        <v>11014.35</v>
      </c>
      <c r="O41" s="11">
        <v>300.0</v>
      </c>
      <c r="P41" s="11">
        <v>12395.84</v>
      </c>
      <c r="Q41" s="47">
        <f t="shared" si="5"/>
        <v>0.09818918048</v>
      </c>
      <c r="R41" s="11">
        <v>12974.95</v>
      </c>
      <c r="S41" s="11">
        <v>0.0</v>
      </c>
      <c r="T41" s="11">
        <v>14152.86</v>
      </c>
      <c r="U41" s="47">
        <f t="shared" si="1"/>
        <v>0.09078339416</v>
      </c>
      <c r="V41" s="11">
        <v>12378.85</v>
      </c>
      <c r="W41" s="11">
        <v>0.0</v>
      </c>
      <c r="X41" s="11">
        <v>13527.61</v>
      </c>
      <c r="Y41" s="42">
        <f t="shared" si="6"/>
        <v>0.09280021973</v>
      </c>
      <c r="Z41" s="11">
        <v>2025.5</v>
      </c>
      <c r="AA41" s="11">
        <v>0.0</v>
      </c>
      <c r="AB41" s="11">
        <v>2033.58</v>
      </c>
      <c r="AC41" s="42">
        <f t="shared" si="7"/>
        <v>0.003989138484</v>
      </c>
      <c r="AF41" s="4"/>
    </row>
    <row r="42" ht="15.75" customHeight="1">
      <c r="A42" s="44">
        <v>45261.0</v>
      </c>
      <c r="B42" s="18">
        <v>4987.77</v>
      </c>
      <c r="C42" s="18">
        <v>0.0</v>
      </c>
      <c r="D42" s="18">
        <v>5240.91</v>
      </c>
      <c r="E42" s="48">
        <f t="shared" si="4"/>
        <v>0.05075213973</v>
      </c>
      <c r="F42" s="18">
        <v>5221.18</v>
      </c>
      <c r="G42" s="18">
        <v>0.0</v>
      </c>
      <c r="H42" s="18">
        <v>5678.02</v>
      </c>
      <c r="I42" s="48">
        <f t="shared" si="3"/>
        <v>0.08749746226</v>
      </c>
      <c r="J42" s="18">
        <v>4723.75</v>
      </c>
      <c r="K42" s="18">
        <v>224.06</v>
      </c>
      <c r="L42" s="49">
        <v>5166.0</v>
      </c>
      <c r="M42" s="48">
        <f t="shared" si="2"/>
        <v>0.04618999735</v>
      </c>
      <c r="N42" s="18">
        <v>12395.84</v>
      </c>
      <c r="O42" s="18">
        <v>600.0</v>
      </c>
      <c r="P42" s="18">
        <v>13586.38</v>
      </c>
      <c r="Q42" s="48">
        <f t="shared" si="5"/>
        <v>0.04764017606</v>
      </c>
      <c r="R42" s="18">
        <v>14152.86</v>
      </c>
      <c r="S42" s="18">
        <v>0.0</v>
      </c>
      <c r="T42" s="18">
        <v>14835.91</v>
      </c>
      <c r="U42" s="48">
        <f t="shared" si="1"/>
        <v>0.04826233002</v>
      </c>
      <c r="V42" s="18">
        <v>13527.61</v>
      </c>
      <c r="W42" s="18">
        <v>0.0</v>
      </c>
      <c r="X42" s="18">
        <v>14233.42</v>
      </c>
      <c r="Y42" s="45">
        <f t="shared" si="6"/>
        <v>0.05217551363</v>
      </c>
      <c r="Z42" s="18">
        <v>2033.58</v>
      </c>
      <c r="AA42" s="18">
        <v>2000.0</v>
      </c>
      <c r="AB42" s="18">
        <v>4041.73</v>
      </c>
      <c r="AC42" s="45">
        <f t="shared" si="7"/>
        <v>0.00400771054</v>
      </c>
      <c r="AF42" s="4"/>
    </row>
    <row r="43" ht="15.75" customHeight="1">
      <c r="A43" s="41">
        <v>45292.0</v>
      </c>
      <c r="B43" s="11">
        <v>5240.91</v>
      </c>
      <c r="C43" s="11">
        <v>0.0</v>
      </c>
      <c r="D43" s="11">
        <v>5261.42</v>
      </c>
      <c r="E43" s="47">
        <f t="shared" si="4"/>
        <v>0.003913442513</v>
      </c>
      <c r="F43" s="11">
        <v>5678.02</v>
      </c>
      <c r="G43" s="11">
        <v>0.0</v>
      </c>
      <c r="H43" s="11">
        <v>5647.0</v>
      </c>
      <c r="I43" s="47">
        <f t="shared" si="3"/>
        <v>-0.005463172021</v>
      </c>
      <c r="J43" s="11">
        <v>5166.0</v>
      </c>
      <c r="K43" s="11">
        <v>359.2</v>
      </c>
      <c r="L43" s="50">
        <v>5527.91</v>
      </c>
      <c r="M43" s="47">
        <f t="shared" si="2"/>
        <v>0.0005245838173</v>
      </c>
      <c r="N43" s="11">
        <v>13586.38</v>
      </c>
      <c r="O43" s="11">
        <v>900.0</v>
      </c>
      <c r="P43" s="11">
        <v>14982.12</v>
      </c>
      <c r="Q43" s="47">
        <f t="shared" si="5"/>
        <v>0.03648801226</v>
      </c>
      <c r="R43" s="11">
        <v>14835.91</v>
      </c>
      <c r="S43" s="11">
        <v>0.0</v>
      </c>
      <c r="T43" s="11">
        <v>15035.65</v>
      </c>
      <c r="U43" s="47">
        <f t="shared" si="1"/>
        <v>0.0134632793</v>
      </c>
      <c r="V43" s="11">
        <v>14233.42</v>
      </c>
      <c r="W43" s="11">
        <v>0.0</v>
      </c>
      <c r="X43" s="11">
        <v>14389.85</v>
      </c>
      <c r="Y43" s="42">
        <f t="shared" si="6"/>
        <v>0.01099033121</v>
      </c>
      <c r="Z43" s="11">
        <v>4041.73</v>
      </c>
      <c r="AA43" s="11">
        <v>2100.0</v>
      </c>
      <c r="AB43" s="11">
        <v>6152.89</v>
      </c>
      <c r="AC43" s="42">
        <f t="shared" si="7"/>
        <v>0.002761193845</v>
      </c>
      <c r="AF43" s="4"/>
    </row>
    <row r="44" ht="15.75" customHeight="1">
      <c r="A44" s="44">
        <v>45323.0</v>
      </c>
      <c r="B44" s="18">
        <v>5261.42</v>
      </c>
      <c r="C44" s="18">
        <v>0.0</v>
      </c>
      <c r="D44" s="18">
        <v>5495.81</v>
      </c>
      <c r="E44" s="48">
        <f t="shared" si="4"/>
        <v>0.04454881002</v>
      </c>
      <c r="F44" s="18">
        <v>5647.0</v>
      </c>
      <c r="G44" s="18">
        <v>0.0</v>
      </c>
      <c r="H44" s="18">
        <v>6281.73</v>
      </c>
      <c r="I44" s="48">
        <f t="shared" si="3"/>
        <v>0.112401275</v>
      </c>
      <c r="J44" s="18">
        <v>5527.91</v>
      </c>
      <c r="K44" s="18">
        <f>238.1</f>
        <v>238.1</v>
      </c>
      <c r="L44" s="49">
        <v>6019.52</v>
      </c>
      <c r="M44" s="48">
        <f t="shared" si="2"/>
        <v>0.04586000857</v>
      </c>
      <c r="N44" s="18">
        <v>14982.12</v>
      </c>
      <c r="O44" s="18">
        <v>525.0</v>
      </c>
      <c r="P44" s="18">
        <v>16299.03</v>
      </c>
      <c r="Q44" s="48">
        <f t="shared" si="5"/>
        <v>0.05285700555</v>
      </c>
      <c r="R44" s="18">
        <v>15035.65</v>
      </c>
      <c r="S44" s="18">
        <v>0.0</v>
      </c>
      <c r="T44" s="18">
        <v>15817.51</v>
      </c>
      <c r="U44" s="48">
        <f t="shared" si="1"/>
        <v>0.05200041235</v>
      </c>
      <c r="V44" s="18">
        <v>14389.85</v>
      </c>
      <c r="W44" s="18">
        <v>0.0</v>
      </c>
      <c r="X44" s="18">
        <v>15139.83</v>
      </c>
      <c r="Y44" s="45">
        <f t="shared" si="6"/>
        <v>0.05211868088</v>
      </c>
      <c r="Z44" s="18">
        <v>6152.89</v>
      </c>
      <c r="AA44" s="18">
        <v>0.0</v>
      </c>
      <c r="AB44" s="18">
        <v>6178.08</v>
      </c>
      <c r="AC44" s="45">
        <f t="shared" si="7"/>
        <v>0.004094011107</v>
      </c>
      <c r="AF44" s="4"/>
    </row>
    <row r="45" ht="15.75" customHeight="1">
      <c r="A45" s="41">
        <v>45352.0</v>
      </c>
      <c r="B45" s="11">
        <v>5495.81</v>
      </c>
      <c r="C45" s="11">
        <v>0.0</v>
      </c>
      <c r="D45" s="11">
        <v>5677.6</v>
      </c>
      <c r="E45" s="47">
        <f t="shared" si="4"/>
        <v>0.03307792664</v>
      </c>
      <c r="F45" s="11">
        <v>6281.73</v>
      </c>
      <c r="G45" s="11">
        <v>0.0</v>
      </c>
      <c r="H45" s="11">
        <v>6596.77</v>
      </c>
      <c r="I45" s="47">
        <f t="shared" si="3"/>
        <v>0.0501517894</v>
      </c>
      <c r="J45" s="11">
        <v>6019.52</v>
      </c>
      <c r="K45" s="11">
        <v>226.2</v>
      </c>
      <c r="L45" s="50">
        <v>6460.81</v>
      </c>
      <c r="M45" s="47">
        <f t="shared" si="2"/>
        <v>0.03573208495</v>
      </c>
      <c r="N45" s="11">
        <v>16299.03</v>
      </c>
      <c r="O45" s="11">
        <v>675.0</v>
      </c>
      <c r="P45" s="11">
        <v>17372.7</v>
      </c>
      <c r="Q45" s="47">
        <f t="shared" si="5"/>
        <v>0.02445973779</v>
      </c>
      <c r="R45" s="11">
        <v>15817.51</v>
      </c>
      <c r="S45" s="11">
        <v>0.0</v>
      </c>
      <c r="T45" s="11">
        <v>16337.93</v>
      </c>
      <c r="U45" s="47">
        <f t="shared" si="1"/>
        <v>0.03290151231</v>
      </c>
      <c r="V45" s="11">
        <v>15139.83</v>
      </c>
      <c r="W45" s="11">
        <v>0.0</v>
      </c>
      <c r="X45" s="11">
        <v>15625.51</v>
      </c>
      <c r="Y45" s="42">
        <f t="shared" si="6"/>
        <v>0.03207962044</v>
      </c>
      <c r="Z45" s="11">
        <v>6178.08</v>
      </c>
      <c r="AA45" s="11">
        <v>0.0</v>
      </c>
      <c r="AB45" s="11">
        <v>6202.01</v>
      </c>
      <c r="AC45" s="42">
        <f t="shared" si="7"/>
        <v>0.003873371662</v>
      </c>
      <c r="AF45" s="4"/>
    </row>
    <row r="46" ht="15.75" customHeight="1">
      <c r="A46" s="44">
        <v>45383.0</v>
      </c>
      <c r="B46" s="18">
        <v>5677.6</v>
      </c>
      <c r="C46" s="18">
        <v>0.0</v>
      </c>
      <c r="D46" s="18">
        <v>5471.22</v>
      </c>
      <c r="E46" s="48">
        <f t="shared" si="4"/>
        <v>-0.03634986614</v>
      </c>
      <c r="F46" s="18">
        <v>6596.77</v>
      </c>
      <c r="G46" s="18">
        <v>0.0</v>
      </c>
      <c r="H46" s="18">
        <v>6158.72</v>
      </c>
      <c r="I46" s="48">
        <f t="shared" si="3"/>
        <v>-0.06640370969</v>
      </c>
      <c r="J46" s="18">
        <v>6426.29</v>
      </c>
      <c r="K46" s="18">
        <v>354.8</v>
      </c>
      <c r="L46" s="49">
        <v>6544.98</v>
      </c>
      <c r="M46" s="48">
        <f t="shared" si="2"/>
        <v>-0.03674126129</v>
      </c>
      <c r="N46" s="18">
        <v>17372.7</v>
      </c>
      <c r="O46" s="18">
        <v>1125.0</v>
      </c>
      <c r="P46" s="18">
        <v>17784.74</v>
      </c>
      <c r="Q46" s="48">
        <f t="shared" si="5"/>
        <v>-0.04103910158</v>
      </c>
      <c r="R46" s="18">
        <v>16337.93</v>
      </c>
      <c r="S46" s="18">
        <v>0.0</v>
      </c>
      <c r="T46" s="18">
        <v>15655.73</v>
      </c>
      <c r="U46" s="48">
        <f t="shared" si="1"/>
        <v>-0.04175559572</v>
      </c>
      <c r="V46" s="18">
        <v>15625.51</v>
      </c>
      <c r="W46" s="18">
        <v>2013.0</v>
      </c>
      <c r="X46" s="18">
        <v>16909.17</v>
      </c>
      <c r="Y46" s="45">
        <f t="shared" si="6"/>
        <v>-0.04667623649</v>
      </c>
      <c r="Z46" s="18">
        <v>6202.01</v>
      </c>
      <c r="AA46" s="18">
        <v>0.0</v>
      </c>
      <c r="AB46" s="18">
        <v>6227.69</v>
      </c>
      <c r="AC46" s="45">
        <f t="shared" si="7"/>
        <v>0.00414059313</v>
      </c>
      <c r="AF46" s="4"/>
    </row>
    <row r="47" ht="15.75" customHeight="1">
      <c r="A47" s="41">
        <v>45413.0</v>
      </c>
      <c r="B47" s="11">
        <v>5471.22</v>
      </c>
      <c r="C47" s="11">
        <v>0.0</v>
      </c>
      <c r="D47" s="11">
        <v>5693.78</v>
      </c>
      <c r="E47" s="47">
        <f t="shared" si="4"/>
        <v>0.04067831306</v>
      </c>
      <c r="F47" s="11">
        <v>6158.72</v>
      </c>
      <c r="G47" s="11">
        <v>0.0</v>
      </c>
      <c r="H47" s="11">
        <v>6452.09</v>
      </c>
      <c r="I47" s="47">
        <f t="shared" si="3"/>
        <v>0.04763489816</v>
      </c>
      <c r="J47" s="11">
        <v>6544.98</v>
      </c>
      <c r="K47" s="11">
        <v>92.98</v>
      </c>
      <c r="L47" s="50">
        <v>6945.82</v>
      </c>
      <c r="M47" s="47">
        <f t="shared" si="2"/>
        <v>0.04703757689</v>
      </c>
      <c r="N47" s="11">
        <v>17784.74</v>
      </c>
      <c r="O47" s="11">
        <v>435.0</v>
      </c>
      <c r="P47" s="11">
        <v>19179.88</v>
      </c>
      <c r="Q47" s="47">
        <f t="shared" si="5"/>
        <v>0.05398673245</v>
      </c>
      <c r="R47" s="11">
        <v>15655.73</v>
      </c>
      <c r="S47" s="11">
        <v>0.0</v>
      </c>
      <c r="T47" s="11">
        <v>16552.79</v>
      </c>
      <c r="U47" s="47">
        <f t="shared" si="1"/>
        <v>0.05729914862</v>
      </c>
      <c r="V47" s="11">
        <v>16909.17</v>
      </c>
      <c r="W47" s="11">
        <v>0.0</v>
      </c>
      <c r="X47" s="11">
        <v>17713.62</v>
      </c>
      <c r="Y47" s="42">
        <f t="shared" si="6"/>
        <v>0.04757477747</v>
      </c>
      <c r="Z47" s="11">
        <v>6227.69</v>
      </c>
      <c r="AA47" s="11">
        <v>0.0</v>
      </c>
      <c r="AB47" s="11">
        <v>6252.65</v>
      </c>
      <c r="AC47" s="42">
        <f t="shared" si="7"/>
        <v>0.004007906623</v>
      </c>
      <c r="AE47" s="51"/>
      <c r="AF47" s="35"/>
    </row>
    <row r="48" ht="15.75" customHeight="1">
      <c r="A48" s="44">
        <v>45444.0</v>
      </c>
      <c r="B48" s="18">
        <v>5693.78</v>
      </c>
      <c r="C48" s="18">
        <v>0.0</v>
      </c>
      <c r="D48" s="18">
        <v>5799.69</v>
      </c>
      <c r="E48" s="48">
        <f t="shared" si="4"/>
        <v>0.01860099969</v>
      </c>
      <c r="F48" s="18">
        <v>6452.09</v>
      </c>
      <c r="G48" s="18">
        <v>0.0</v>
      </c>
      <c r="H48" s="18">
        <v>6647.84</v>
      </c>
      <c r="I48" s="48">
        <f t="shared" si="3"/>
        <v>0.03033900643</v>
      </c>
      <c r="J48" s="18">
        <v>6945.82</v>
      </c>
      <c r="K48" s="18">
        <v>71.16</v>
      </c>
      <c r="L48" s="49">
        <v>7109.75</v>
      </c>
      <c r="M48" s="48">
        <f t="shared" si="2"/>
        <v>0.0133562344</v>
      </c>
      <c r="N48" s="18">
        <v>19179.88</v>
      </c>
      <c r="O48" s="18">
        <v>240.0</v>
      </c>
      <c r="P48" s="18">
        <v>20255.51</v>
      </c>
      <c r="Q48" s="48">
        <f t="shared" si="5"/>
        <v>0.04356805152</v>
      </c>
      <c r="R48" s="18">
        <v>16552.79</v>
      </c>
      <c r="S48" s="18">
        <f>2*176.49</f>
        <v>352.98</v>
      </c>
      <c r="T48" s="18">
        <v>17162.23</v>
      </c>
      <c r="U48" s="48">
        <f t="shared" si="1"/>
        <v>0.01549346062</v>
      </c>
      <c r="V48" s="18">
        <v>17713.62</v>
      </c>
      <c r="W48" s="18">
        <v>0.0</v>
      </c>
      <c r="X48" s="18">
        <v>18194.38</v>
      </c>
      <c r="Y48" s="45">
        <f t="shared" si="6"/>
        <v>0.02714069738</v>
      </c>
      <c r="Z48" s="18">
        <v>6252.65</v>
      </c>
      <c r="AA48" s="18">
        <v>0.0</v>
      </c>
      <c r="AB48" s="18">
        <v>6278.54</v>
      </c>
      <c r="AC48" s="45">
        <f t="shared" si="7"/>
        <v>0.004140644367</v>
      </c>
      <c r="AF48" s="4"/>
    </row>
    <row r="49" ht="15.75" customHeight="1">
      <c r="A49" s="41">
        <v>45474.0</v>
      </c>
      <c r="B49" s="11">
        <v>5799.69</v>
      </c>
      <c r="C49" s="11">
        <v>0.0</v>
      </c>
      <c r="D49" s="11">
        <v>5948.68</v>
      </c>
      <c r="E49" s="47">
        <f t="shared" si="4"/>
        <v>0.02568930408</v>
      </c>
      <c r="F49" s="11">
        <v>6647.84</v>
      </c>
      <c r="G49" s="11">
        <v>0.0</v>
      </c>
      <c r="H49" s="11">
        <v>6626.07</v>
      </c>
      <c r="I49" s="47">
        <f t="shared" si="3"/>
        <v>-0.003274747888</v>
      </c>
      <c r="J49" s="11">
        <v>7109.75</v>
      </c>
      <c r="K49" s="11">
        <v>60.44</v>
      </c>
      <c r="L49" s="50">
        <v>7361.95</v>
      </c>
      <c r="M49" s="47">
        <f t="shared" si="2"/>
        <v>0.0269714125</v>
      </c>
      <c r="N49" s="11">
        <v>20255.51</v>
      </c>
      <c r="O49" s="11">
        <v>210.0</v>
      </c>
      <c r="P49" s="11">
        <v>20548.75</v>
      </c>
      <c r="Q49" s="47">
        <f t="shared" si="5"/>
        <v>0.004109499094</v>
      </c>
      <c r="R49" s="11">
        <v>17162.23</v>
      </c>
      <c r="S49" s="11">
        <f>2*370.89</f>
        <v>741.78</v>
      </c>
      <c r="T49" s="11">
        <v>18134.65</v>
      </c>
      <c r="U49" s="47">
        <f t="shared" si="1"/>
        <v>0.01343881302</v>
      </c>
      <c r="V49" s="11">
        <v>18194.38</v>
      </c>
      <c r="W49" s="11">
        <v>0.0</v>
      </c>
      <c r="X49" s="11">
        <v>18603.2</v>
      </c>
      <c r="Y49" s="42">
        <f t="shared" si="6"/>
        <v>0.02246957577</v>
      </c>
      <c r="Z49" s="11">
        <v>6278.54</v>
      </c>
      <c r="AA49" s="11">
        <v>0.0</v>
      </c>
      <c r="AB49" s="11">
        <v>6303.7</v>
      </c>
      <c r="AC49" s="42">
        <f t="shared" si="7"/>
        <v>0.00400730106</v>
      </c>
      <c r="AF49" s="4"/>
    </row>
    <row r="50" ht="15.75" customHeight="1">
      <c r="A50" s="44">
        <v>45505.0</v>
      </c>
      <c r="B50" s="18">
        <v>5948.68</v>
      </c>
      <c r="C50" s="18">
        <v>0.0</v>
      </c>
      <c r="D50" s="18">
        <v>6081.19</v>
      </c>
      <c r="E50" s="48">
        <f t="shared" si="4"/>
        <v>0.02227553003</v>
      </c>
      <c r="F50" s="18">
        <v>6626.07</v>
      </c>
      <c r="G50" s="18">
        <v>0.0</v>
      </c>
      <c r="H50" s="18">
        <v>6845.56</v>
      </c>
      <c r="I50" s="48">
        <f t="shared" si="3"/>
        <v>0.033125216</v>
      </c>
      <c r="J50" s="18">
        <v>7361.95</v>
      </c>
      <c r="K50" s="18">
        <v>48.96</v>
      </c>
      <c r="L50" s="49">
        <v>7554.61</v>
      </c>
      <c r="M50" s="48">
        <f t="shared" si="2"/>
        <v>0.01951928497</v>
      </c>
      <c r="N50" s="18">
        <v>20548.78</v>
      </c>
      <c r="O50" s="18">
        <v>180.0</v>
      </c>
      <c r="P50" s="18">
        <v>21131.28</v>
      </c>
      <c r="Q50" s="48">
        <f t="shared" si="5"/>
        <v>0.01958753756</v>
      </c>
      <c r="R50" s="18">
        <v>18134.65</v>
      </c>
      <c r="S50" s="18">
        <f>2*369.95</f>
        <v>739.9</v>
      </c>
      <c r="T50" s="18">
        <v>19323.46</v>
      </c>
      <c r="U50" s="48">
        <f t="shared" si="1"/>
        <v>0.02475426876</v>
      </c>
      <c r="V50" s="18">
        <v>18603.2</v>
      </c>
      <c r="W50" s="18"/>
      <c r="X50" s="18">
        <v>18998.31</v>
      </c>
      <c r="Y50" s="45">
        <f t="shared" si="6"/>
        <v>0.02123881913</v>
      </c>
      <c r="Z50" s="18">
        <v>6303.7</v>
      </c>
      <c r="AA50" s="18">
        <v>1500.0</v>
      </c>
      <c r="AB50" s="18">
        <v>7829.8</v>
      </c>
      <c r="AC50" s="45">
        <f t="shared" si="7"/>
        <v>0.004140425464</v>
      </c>
      <c r="AF50" s="4"/>
    </row>
    <row r="51" ht="15.75" customHeight="1">
      <c r="A51" s="41">
        <v>45536.0</v>
      </c>
      <c r="B51" s="11">
        <v>6081.19</v>
      </c>
      <c r="C51" s="11">
        <v>0.0</v>
      </c>
      <c r="D51" s="11">
        <v>6211.18</v>
      </c>
      <c r="E51" s="47">
        <f t="shared" si="4"/>
        <v>0.02137575047</v>
      </c>
      <c r="F51" s="11">
        <v>6845.56</v>
      </c>
      <c r="G51" s="11">
        <v>0.0</v>
      </c>
      <c r="H51" s="11">
        <v>7055.25</v>
      </c>
      <c r="I51" s="47">
        <f t="shared" si="3"/>
        <v>0.03063153343</v>
      </c>
      <c r="J51" s="50">
        <v>7554.61</v>
      </c>
      <c r="K51" s="11">
        <v>70.42</v>
      </c>
      <c r="L51" s="52">
        <v>7773.19</v>
      </c>
      <c r="M51" s="47">
        <f t="shared" si="2"/>
        <v>0.01961186613</v>
      </c>
      <c r="N51" s="11">
        <v>21131.28</v>
      </c>
      <c r="O51" s="11">
        <v>180.0</v>
      </c>
      <c r="P51" s="11">
        <v>21749.61</v>
      </c>
      <c r="Q51" s="47">
        <f t="shared" si="5"/>
        <v>0.02074318262</v>
      </c>
      <c r="R51" s="11">
        <v>19323.46</v>
      </c>
      <c r="S51" s="11">
        <f>2*729.16</f>
        <v>1458.32</v>
      </c>
      <c r="T51" s="11">
        <v>21217.71</v>
      </c>
      <c r="U51" s="47">
        <f t="shared" si="1"/>
        <v>0.02255962442</v>
      </c>
      <c r="V51" s="11">
        <v>18998.31</v>
      </c>
      <c r="W51" s="11">
        <v>2000.0</v>
      </c>
      <c r="X51" s="11">
        <v>21361.25</v>
      </c>
      <c r="Y51" s="42">
        <f t="shared" si="6"/>
        <v>0.0191038045</v>
      </c>
      <c r="Z51" s="11">
        <v>7829.8</v>
      </c>
      <c r="AA51" s="11">
        <v>0.0</v>
      </c>
      <c r="AB51" s="11">
        <v>7858.62</v>
      </c>
      <c r="AC51" s="42">
        <f t="shared" si="7"/>
        <v>0.003680809216</v>
      </c>
      <c r="AF51" s="4"/>
    </row>
    <row r="52" ht="15.75" customHeight="1">
      <c r="A52" s="44">
        <v>45566.0</v>
      </c>
      <c r="B52" s="18">
        <v>6211.18</v>
      </c>
      <c r="C52" s="18">
        <v>0.0</v>
      </c>
      <c r="D52" s="18">
        <v>6121.43</v>
      </c>
      <c r="E52" s="48">
        <f t="shared" si="4"/>
        <v>-0.01444975029</v>
      </c>
      <c r="F52" s="18">
        <v>7055.25</v>
      </c>
      <c r="G52" s="18">
        <v>0.0</v>
      </c>
      <c r="H52" s="18">
        <v>7196.45</v>
      </c>
      <c r="I52" s="48">
        <f t="shared" si="3"/>
        <v>0.02001346515</v>
      </c>
      <c r="J52" s="53">
        <v>7773.19</v>
      </c>
      <c r="K52" s="18">
        <v>61.36</v>
      </c>
      <c r="L52" s="49">
        <v>7688.33</v>
      </c>
      <c r="M52" s="48">
        <f t="shared" si="2"/>
        <v>-0.01881080998</v>
      </c>
      <c r="N52" s="18">
        <v>21749.61</v>
      </c>
      <c r="O52" s="18">
        <v>270.0</v>
      </c>
      <c r="P52" s="18">
        <v>21925.58</v>
      </c>
      <c r="Q52" s="48">
        <f t="shared" si="5"/>
        <v>-0.004323295912</v>
      </c>
      <c r="R52" s="18">
        <v>21217.71</v>
      </c>
      <c r="S52" s="18">
        <f>2*604.16</f>
        <v>1208.32</v>
      </c>
      <c r="T52" s="18">
        <v>22232.62</v>
      </c>
      <c r="U52" s="48">
        <f t="shared" si="1"/>
        <v>-0.009115498327</v>
      </c>
      <c r="V52" s="18">
        <v>21361.25</v>
      </c>
      <c r="W52" s="18">
        <v>0.0</v>
      </c>
      <c r="X52" s="18">
        <v>21266.83</v>
      </c>
      <c r="Y52" s="45">
        <f t="shared" si="6"/>
        <v>-0.004420153315</v>
      </c>
      <c r="Z52" s="18">
        <v>7858.62</v>
      </c>
      <c r="AA52" s="18">
        <v>3000.0</v>
      </c>
      <c r="AB52" s="18">
        <v>10889.7</v>
      </c>
      <c r="AC52" s="45">
        <f t="shared" si="7"/>
        <v>0.003954892844</v>
      </c>
      <c r="AF52" s="4"/>
    </row>
    <row r="53" ht="15.75" customHeight="1">
      <c r="A53" s="41">
        <v>45597.0</v>
      </c>
      <c r="B53" s="11">
        <v>6121.43</v>
      </c>
      <c r="C53" s="11">
        <v>0.0</v>
      </c>
      <c r="D53" s="11">
        <v>6414.92</v>
      </c>
      <c r="E53" s="47">
        <f t="shared" si="4"/>
        <v>0.04794467959</v>
      </c>
      <c r="F53" s="11">
        <v>7196.45</v>
      </c>
      <c r="G53" s="11">
        <v>1000.0</v>
      </c>
      <c r="H53" s="11">
        <v>8739.36</v>
      </c>
      <c r="I53" s="47">
        <f t="shared" si="3"/>
        <v>0.07544136345</v>
      </c>
      <c r="J53" s="50">
        <v>7688.33</v>
      </c>
      <c r="K53" s="11">
        <v>53.6</v>
      </c>
      <c r="L53" s="50">
        <v>8097.84</v>
      </c>
      <c r="M53" s="47">
        <f t="shared" si="2"/>
        <v>0.04629223772</v>
      </c>
      <c r="N53" s="11">
        <v>21925.58</v>
      </c>
      <c r="O53" s="11">
        <v>270.0</v>
      </c>
      <c r="P53" s="11">
        <v>23398.04</v>
      </c>
      <c r="Q53" s="47">
        <f t="shared" si="5"/>
        <v>0.05484279093</v>
      </c>
      <c r="R53" s="11">
        <v>22232.62</v>
      </c>
      <c r="S53" s="11">
        <f>587.82*2</f>
        <v>1175.64</v>
      </c>
      <c r="T53" s="11">
        <v>24835.58</v>
      </c>
      <c r="U53" s="47">
        <f t="shared" si="1"/>
        <v>0.06419936112</v>
      </c>
      <c r="V53" s="11">
        <v>21266.83</v>
      </c>
      <c r="W53" s="11">
        <v>2987.0</v>
      </c>
      <c r="X53" s="11">
        <v>25823.37</v>
      </c>
      <c r="Y53" s="42">
        <f t="shared" si="6"/>
        <v>0.0738022545</v>
      </c>
      <c r="Z53" s="11">
        <v>10889.7</v>
      </c>
      <c r="AA53" s="11">
        <v>0.0</v>
      </c>
      <c r="AB53" s="11">
        <v>10925.31</v>
      </c>
      <c r="AC53" s="42">
        <f t="shared" si="7"/>
        <v>0.003270062536</v>
      </c>
      <c r="AF53" s="4"/>
    </row>
    <row r="54" ht="15.75" customHeight="1">
      <c r="A54" s="44">
        <v>45627.0</v>
      </c>
      <c r="B54" s="18"/>
      <c r="C54" s="18"/>
      <c r="D54" s="18"/>
      <c r="E54" s="48"/>
      <c r="F54" s="18"/>
      <c r="G54" s="18"/>
      <c r="H54" s="18"/>
      <c r="I54" s="48"/>
      <c r="J54" s="18"/>
      <c r="K54" s="18"/>
      <c r="L54" s="49"/>
      <c r="M54" s="48"/>
      <c r="N54" s="18"/>
      <c r="O54" s="18"/>
      <c r="P54" s="18"/>
      <c r="Q54" s="48"/>
      <c r="R54" s="18"/>
      <c r="S54" s="18"/>
      <c r="T54" s="18"/>
      <c r="U54" s="48"/>
      <c r="V54" s="18"/>
      <c r="W54" s="18"/>
      <c r="X54" s="18"/>
      <c r="Y54" s="45"/>
      <c r="Z54" s="18"/>
      <c r="AA54" s="18"/>
      <c r="AB54" s="18"/>
      <c r="AC54" s="45"/>
      <c r="AF54" s="4"/>
    </row>
    <row r="55" ht="15.75" customHeight="1">
      <c r="A55" s="41">
        <v>45658.0</v>
      </c>
      <c r="B55" s="11"/>
      <c r="C55" s="11"/>
      <c r="D55" s="11"/>
      <c r="E55" s="47"/>
      <c r="F55" s="11"/>
      <c r="G55" s="11"/>
      <c r="H55" s="11"/>
      <c r="I55" s="47"/>
      <c r="J55" s="11"/>
      <c r="K55" s="11"/>
      <c r="L55" s="50"/>
      <c r="M55" s="47"/>
      <c r="N55" s="11"/>
      <c r="O55" s="11"/>
      <c r="P55" s="11"/>
      <c r="Q55" s="47"/>
      <c r="R55" s="11"/>
      <c r="S55" s="11"/>
      <c r="T55" s="11"/>
      <c r="U55" s="47"/>
      <c r="V55" s="11"/>
      <c r="W55" s="11"/>
      <c r="X55" s="11"/>
      <c r="Y55" s="42"/>
      <c r="Z55" s="11"/>
      <c r="AA55" s="11"/>
      <c r="AB55" s="11"/>
      <c r="AC55" s="42"/>
    </row>
    <row r="56" ht="15.75" customHeight="1">
      <c r="A56" s="44">
        <v>45689.0</v>
      </c>
      <c r="B56" s="18"/>
      <c r="C56" s="18"/>
      <c r="D56" s="18"/>
      <c r="E56" s="48"/>
      <c r="F56" s="18"/>
      <c r="G56" s="18"/>
      <c r="H56" s="18"/>
      <c r="I56" s="48"/>
      <c r="J56" s="18"/>
      <c r="K56" s="18"/>
      <c r="L56" s="49"/>
      <c r="M56" s="48"/>
      <c r="N56" s="18"/>
      <c r="O56" s="18"/>
      <c r="P56" s="18"/>
      <c r="Q56" s="48"/>
      <c r="R56" s="18"/>
      <c r="S56" s="18"/>
      <c r="T56" s="18"/>
      <c r="U56" s="48"/>
      <c r="V56" s="18"/>
      <c r="W56" s="18"/>
      <c r="X56" s="18"/>
      <c r="Y56" s="45"/>
      <c r="Z56" s="18"/>
      <c r="AA56" s="18"/>
      <c r="AB56" s="18"/>
      <c r="AC56" s="45"/>
    </row>
    <row r="57" ht="15.75" customHeight="1">
      <c r="A57" s="41">
        <v>45717.0</v>
      </c>
      <c r="B57" s="11"/>
      <c r="C57" s="11"/>
      <c r="D57" s="11"/>
      <c r="E57" s="47"/>
      <c r="F57" s="11"/>
      <c r="G57" s="11"/>
      <c r="H57" s="11"/>
      <c r="I57" s="47"/>
      <c r="J57" s="11"/>
      <c r="K57" s="11"/>
      <c r="L57" s="50"/>
      <c r="M57" s="47"/>
      <c r="N57" s="11"/>
      <c r="O57" s="11"/>
      <c r="P57" s="11"/>
      <c r="Q57" s="47"/>
      <c r="R57" s="11"/>
      <c r="S57" s="11"/>
      <c r="T57" s="11"/>
      <c r="U57" s="47"/>
      <c r="V57" s="11"/>
      <c r="W57" s="11"/>
      <c r="X57" s="11"/>
      <c r="Y57" s="42"/>
      <c r="Z57" s="11"/>
      <c r="AA57" s="11"/>
      <c r="AB57" s="11"/>
      <c r="AC57" s="42"/>
    </row>
    <row r="58" ht="15.75" customHeight="1">
      <c r="A58" s="54">
        <v>45748.0</v>
      </c>
      <c r="B58" s="31"/>
      <c r="C58" s="31"/>
      <c r="D58" s="31"/>
      <c r="E58" s="55"/>
      <c r="F58" s="31"/>
      <c r="G58" s="31"/>
      <c r="H58" s="31"/>
      <c r="I58" s="55"/>
      <c r="J58" s="31"/>
      <c r="K58" s="31"/>
      <c r="L58" s="56"/>
      <c r="M58" s="55"/>
      <c r="N58" s="31"/>
      <c r="O58" s="31"/>
      <c r="P58" s="31"/>
      <c r="Q58" s="55"/>
      <c r="R58" s="31"/>
      <c r="S58" s="31"/>
      <c r="T58" s="31"/>
      <c r="U58" s="55"/>
      <c r="V58" s="31"/>
      <c r="W58" s="31"/>
      <c r="X58" s="31"/>
      <c r="Y58" s="57"/>
      <c r="Z58" s="31"/>
      <c r="AA58" s="31"/>
      <c r="AB58" s="31"/>
      <c r="AC58" s="57"/>
    </row>
    <row r="59" ht="15.75" customHeight="1">
      <c r="E59" s="28"/>
      <c r="I59" s="28"/>
      <c r="M59" s="28"/>
      <c r="Q59" s="28"/>
    </row>
    <row r="60" ht="15.75" customHeight="1">
      <c r="E60" s="28"/>
      <c r="I60" s="28"/>
      <c r="M60" s="28"/>
      <c r="Q60" s="28"/>
    </row>
    <row r="61" ht="15.75" customHeight="1">
      <c r="E61" s="28"/>
      <c r="I61" s="28"/>
      <c r="M61" s="28"/>
      <c r="Q61" s="28"/>
    </row>
    <row r="62" ht="15.75" customHeight="1">
      <c r="E62" s="28"/>
      <c r="I62" s="28"/>
      <c r="M62" s="28"/>
      <c r="Q62" s="28"/>
    </row>
    <row r="63" ht="15.75" customHeight="1">
      <c r="E63" s="28"/>
      <c r="I63" s="28"/>
      <c r="M63" s="28"/>
      <c r="Q63" s="28"/>
    </row>
    <row r="64" ht="15.75" customHeight="1">
      <c r="E64" s="28"/>
      <c r="I64" s="28"/>
      <c r="M64" s="28"/>
      <c r="Q64" s="28"/>
      <c r="T64" s="4"/>
    </row>
    <row r="65" ht="15.75" customHeight="1">
      <c r="E65" s="28"/>
      <c r="I65" s="28"/>
      <c r="M65" s="28"/>
      <c r="Q65" s="28"/>
    </row>
    <row r="66" ht="15.75" customHeight="1">
      <c r="E66" s="28"/>
      <c r="I66" s="28"/>
      <c r="M66" s="28"/>
      <c r="Q66" s="28"/>
      <c r="R66" s="58" t="s">
        <v>34</v>
      </c>
      <c r="S66" s="59" t="s">
        <v>26</v>
      </c>
      <c r="T66" s="59" t="s">
        <v>37</v>
      </c>
      <c r="U66" s="59" t="s">
        <v>28</v>
      </c>
      <c r="V66" s="59" t="s">
        <v>29</v>
      </c>
      <c r="W66" s="59" t="s">
        <v>38</v>
      </c>
      <c r="X66" s="59" t="s">
        <v>30</v>
      </c>
      <c r="Y66" s="59" t="s">
        <v>12</v>
      </c>
      <c r="Z66" s="60" t="s">
        <v>39</v>
      </c>
    </row>
    <row r="67" ht="15.75" customHeight="1">
      <c r="E67" s="28"/>
      <c r="I67" s="28"/>
      <c r="M67" s="28"/>
      <c r="Q67" s="28"/>
      <c r="R67" s="61" t="s">
        <v>40</v>
      </c>
      <c r="S67" s="62">
        <f>SUM(C3:C58)</f>
        <v>5000</v>
      </c>
      <c r="T67" s="62">
        <f>SUM(G3:G58)</f>
        <v>7605</v>
      </c>
      <c r="U67" s="62">
        <f>SUM(K3:K58)</f>
        <v>6452.35</v>
      </c>
      <c r="V67" s="62">
        <f>SUM(O3:O528)</f>
        <v>16400</v>
      </c>
      <c r="W67" s="62">
        <f>SUM(AA3:AA58)</f>
        <v>10600</v>
      </c>
      <c r="X67" s="62">
        <f>SUM(W3:W58)</f>
        <v>19500</v>
      </c>
      <c r="Y67" s="62">
        <f>SUM(S3:S58)</f>
        <v>18826.62</v>
      </c>
      <c r="Z67" s="63">
        <f t="shared" ref="Z67:Z68" si="8">SUM(S67:Y67)</f>
        <v>84383.97</v>
      </c>
    </row>
    <row r="68" ht="15.75" customHeight="1">
      <c r="E68" s="28"/>
      <c r="I68" s="28"/>
      <c r="M68" s="28"/>
      <c r="Q68" s="28"/>
      <c r="R68" s="61" t="s">
        <v>41</v>
      </c>
      <c r="S68" s="62">
        <f t="array" ref="S68">INDEX(D3:D58, MAX(IF(D3:D58&lt;&gt;"", ROW(D3:D58)-ROW(D3)+1)))-S67</f>
        <v>1414.92</v>
      </c>
      <c r="T68" s="62">
        <f t="array" ref="T68">INDEX(H3:H58, MAX(IF(H3:H58&lt;&gt;"", ROW(H3:H58)-ROW(H3)+1)))-T67</f>
        <v>1134.36</v>
      </c>
      <c r="U68" s="62">
        <f t="array" ref="U68">INDEX(L3:L58, MAX(IF(L3:L58&lt;&gt;"", ROW(L3:L58)-ROW(L3)+1)))-U67</f>
        <v>1645.49</v>
      </c>
      <c r="V68" s="62">
        <f t="array" ref="V68">INDEX(P3:P58, MAX(IF(P3:P58&lt;&gt;"", ROW(P3:P58)-ROW(P3)+1)))-V67</f>
        <v>6998.04</v>
      </c>
      <c r="W68" s="62">
        <f t="array" ref="W68">INDEX(AB3:AB58, MAX(IF(AB3:AB58&lt;&gt;"", ROW(AB3:AB58)-ROW(AB3)+1)))-W67</f>
        <v>325.31</v>
      </c>
      <c r="X68" s="62">
        <f t="array" ref="X68">INDEX(X3:X58, MAX(IF(X3:X58&lt;&gt;"", ROW(X3:X58)-ROW(X3)+1)))
-X67</f>
        <v>6323.37</v>
      </c>
      <c r="Y68" s="62">
        <f t="array" ref="Y68">INDEX(T3:T58, MAX(IF(T3:T58&lt;&gt;"", ROW(T3:T58)-ROW(T3)+1)))-Y67</f>
        <v>6008.96</v>
      </c>
      <c r="Z68" s="63">
        <f t="shared" si="8"/>
        <v>23850.45</v>
      </c>
    </row>
    <row r="69" ht="15.75" customHeight="1">
      <c r="E69" s="28"/>
      <c r="I69" s="28"/>
      <c r="M69" s="28"/>
      <c r="Q69" s="28"/>
      <c r="R69" s="64" t="s">
        <v>42</v>
      </c>
      <c r="S69" s="65">
        <f t="shared" ref="S69:Z69" si="9">S68/(S67+S68)</f>
        <v>0.2205670531</v>
      </c>
      <c r="T69" s="65">
        <f t="shared" si="9"/>
        <v>0.1297989784</v>
      </c>
      <c r="U69" s="65">
        <f t="shared" si="9"/>
        <v>0.2032011005</v>
      </c>
      <c r="V69" s="65">
        <f t="shared" si="9"/>
        <v>0.2990865902</v>
      </c>
      <c r="W69" s="65">
        <f t="shared" si="9"/>
        <v>0.02977581414</v>
      </c>
      <c r="X69" s="65">
        <f t="shared" si="9"/>
        <v>0.2448700538</v>
      </c>
      <c r="Y69" s="65">
        <f t="shared" si="9"/>
        <v>0.2419496545</v>
      </c>
      <c r="Z69" s="65">
        <f t="shared" si="9"/>
        <v>0.2203591981</v>
      </c>
    </row>
    <row r="70" ht="15.75" customHeight="1">
      <c r="E70" s="28"/>
      <c r="I70" s="28"/>
      <c r="M70" s="28"/>
      <c r="Q70" s="28"/>
    </row>
    <row r="71" ht="15.75" customHeight="1">
      <c r="E71" s="28"/>
      <c r="I71" s="28"/>
      <c r="M71" s="28"/>
      <c r="Q71" s="28"/>
    </row>
    <row r="72" ht="15.75" customHeight="1">
      <c r="E72" s="28"/>
      <c r="I72" s="28"/>
      <c r="M72" s="28"/>
      <c r="Q72" s="28"/>
    </row>
    <row r="73" ht="15.75" customHeight="1">
      <c r="E73" s="28"/>
      <c r="I73" s="28"/>
      <c r="M73" s="28"/>
      <c r="Q73" s="28"/>
    </row>
    <row r="74" ht="15.75" customHeight="1">
      <c r="E74" s="28"/>
      <c r="I74" s="28"/>
      <c r="M74" s="28"/>
      <c r="Q74" s="28"/>
    </row>
    <row r="75" ht="15.75" customHeight="1">
      <c r="E75" s="28"/>
      <c r="I75" s="28"/>
      <c r="M75" s="28"/>
      <c r="Q75" s="28"/>
    </row>
    <row r="76" ht="15.75" customHeight="1">
      <c r="E76" s="28"/>
      <c r="I76" s="28"/>
      <c r="M76" s="28"/>
      <c r="Q76" s="28"/>
    </row>
    <row r="77" ht="15.75" customHeight="1">
      <c r="E77" s="28"/>
      <c r="I77" s="28"/>
      <c r="M77" s="28"/>
      <c r="Q77" s="28"/>
    </row>
    <row r="78" ht="15.75" customHeight="1">
      <c r="E78" s="28"/>
      <c r="I78" s="28"/>
      <c r="M78" s="28"/>
      <c r="Q78" s="28"/>
    </row>
    <row r="79" ht="15.75" customHeight="1">
      <c r="E79" s="28"/>
      <c r="I79" s="28"/>
      <c r="M79" s="28"/>
      <c r="Q79" s="28"/>
    </row>
    <row r="80" ht="15.75" customHeight="1">
      <c r="E80" s="28"/>
      <c r="I80" s="28"/>
      <c r="M80" s="28"/>
      <c r="Q80" s="28"/>
    </row>
    <row r="81" ht="15.75" customHeight="1">
      <c r="E81" s="28"/>
      <c r="I81" s="28"/>
      <c r="M81" s="28"/>
      <c r="Q81" s="28"/>
    </row>
    <row r="82" ht="15.75" customHeight="1">
      <c r="E82" s="28"/>
      <c r="I82" s="28"/>
      <c r="M82" s="28"/>
      <c r="Q82" s="28"/>
    </row>
    <row r="83" ht="15.75" customHeight="1">
      <c r="E83" s="28"/>
      <c r="I83" s="28"/>
      <c r="M83" s="28"/>
      <c r="Q83" s="28"/>
    </row>
    <row r="84" ht="15.75" customHeight="1">
      <c r="E84" s="28"/>
      <c r="I84" s="28"/>
      <c r="M84" s="28"/>
      <c r="Q84" s="28"/>
    </row>
    <row r="85" ht="15.75" customHeight="1">
      <c r="E85" s="28"/>
      <c r="I85" s="28"/>
      <c r="M85" s="28"/>
      <c r="Q85" s="28"/>
    </row>
    <row r="86" ht="15.75" customHeight="1">
      <c r="E86" s="28"/>
      <c r="I86" s="28"/>
      <c r="M86" s="28"/>
      <c r="Q86" s="28"/>
    </row>
    <row r="87" ht="15.75" customHeight="1">
      <c r="E87" s="28"/>
      <c r="I87" s="28"/>
      <c r="M87" s="28"/>
      <c r="Q87" s="28"/>
    </row>
    <row r="88" ht="15.75" customHeight="1">
      <c r="E88" s="28"/>
      <c r="I88" s="28"/>
      <c r="M88" s="28"/>
      <c r="Q88" s="28"/>
    </row>
    <row r="89" ht="15.75" customHeight="1">
      <c r="E89" s="28"/>
      <c r="I89" s="28"/>
      <c r="M89" s="28"/>
      <c r="Q89" s="28"/>
    </row>
    <row r="90" ht="15.75" customHeight="1">
      <c r="E90" s="28"/>
      <c r="I90" s="28"/>
      <c r="M90" s="28"/>
      <c r="Q90" s="28"/>
    </row>
    <row r="91" ht="15.75" customHeight="1">
      <c r="E91" s="28"/>
      <c r="I91" s="28"/>
      <c r="M91" s="28"/>
      <c r="Q91" s="28"/>
    </row>
    <row r="92" ht="15.75" customHeight="1">
      <c r="E92" s="28"/>
      <c r="I92" s="28"/>
      <c r="M92" s="28"/>
      <c r="Q92" s="28"/>
    </row>
    <row r="93" ht="15.75" customHeight="1">
      <c r="E93" s="28"/>
      <c r="I93" s="28"/>
      <c r="M93" s="28"/>
      <c r="Q93" s="28"/>
    </row>
    <row r="94" ht="15.75" customHeight="1">
      <c r="E94" s="28"/>
      <c r="I94" s="28"/>
      <c r="M94" s="28"/>
      <c r="Q94" s="28"/>
    </row>
    <row r="95" ht="15.75" customHeight="1">
      <c r="E95" s="28"/>
      <c r="I95" s="28"/>
      <c r="M95" s="28"/>
      <c r="Q95" s="28"/>
    </row>
    <row r="96" ht="15.75" customHeight="1">
      <c r="E96" s="28"/>
      <c r="I96" s="28"/>
      <c r="M96" s="28"/>
      <c r="Q96" s="28"/>
    </row>
    <row r="97" ht="15.75" customHeight="1">
      <c r="E97" s="28"/>
      <c r="I97" s="28"/>
      <c r="M97" s="28"/>
      <c r="Q97" s="28"/>
    </row>
    <row r="98" ht="15.75" customHeight="1">
      <c r="E98" s="28"/>
      <c r="I98" s="28"/>
      <c r="M98" s="28"/>
      <c r="Q98" s="28"/>
    </row>
    <row r="99" ht="15.75" customHeight="1">
      <c r="E99" s="28"/>
      <c r="I99" s="28"/>
      <c r="M99" s="28"/>
      <c r="Q99" s="28"/>
    </row>
    <row r="100" ht="15.75" customHeight="1">
      <c r="E100" s="28"/>
      <c r="I100" s="28"/>
      <c r="M100" s="28"/>
      <c r="Q100" s="28"/>
    </row>
    <row r="101" ht="15.75" customHeight="1">
      <c r="E101" s="28"/>
      <c r="I101" s="28"/>
      <c r="M101" s="28"/>
      <c r="Q101" s="28"/>
    </row>
    <row r="102" ht="15.75" customHeight="1">
      <c r="E102" s="28"/>
      <c r="I102" s="28"/>
      <c r="M102" s="28"/>
      <c r="Q102" s="28"/>
    </row>
    <row r="103" ht="15.75" customHeight="1">
      <c r="E103" s="28"/>
      <c r="I103" s="28"/>
      <c r="M103" s="28"/>
      <c r="Q103" s="28"/>
    </row>
    <row r="104" ht="15.75" customHeight="1">
      <c r="E104" s="28"/>
      <c r="I104" s="28"/>
      <c r="M104" s="28"/>
      <c r="Q104" s="28"/>
    </row>
    <row r="105" ht="15.75" customHeight="1">
      <c r="E105" s="28"/>
      <c r="I105" s="28"/>
      <c r="M105" s="28"/>
      <c r="Q105" s="28"/>
    </row>
    <row r="106" ht="15.75" customHeight="1">
      <c r="E106" s="28"/>
      <c r="I106" s="28"/>
      <c r="M106" s="28"/>
      <c r="Q106" s="28"/>
    </row>
    <row r="107" ht="15.75" customHeight="1">
      <c r="E107" s="28"/>
      <c r="I107" s="28"/>
      <c r="M107" s="28"/>
      <c r="Q107" s="28"/>
    </row>
    <row r="108" ht="15.75" customHeight="1">
      <c r="E108" s="28"/>
      <c r="I108" s="28"/>
      <c r="M108" s="28"/>
      <c r="Q108" s="28"/>
    </row>
    <row r="109" ht="15.75" customHeight="1">
      <c r="E109" s="28"/>
      <c r="I109" s="28"/>
      <c r="M109" s="28"/>
      <c r="Q109" s="28"/>
    </row>
    <row r="110" ht="15.75" customHeight="1">
      <c r="E110" s="28"/>
      <c r="I110" s="28"/>
      <c r="M110" s="28"/>
      <c r="Q110" s="28"/>
    </row>
    <row r="111" ht="15.75" customHeight="1">
      <c r="E111" s="28"/>
      <c r="I111" s="28"/>
      <c r="M111" s="28"/>
      <c r="Q111" s="28"/>
    </row>
    <row r="112" ht="15.75" customHeight="1">
      <c r="E112" s="28"/>
      <c r="I112" s="28"/>
      <c r="M112" s="28"/>
      <c r="Q112" s="28"/>
    </row>
    <row r="113" ht="15.75" customHeight="1">
      <c r="E113" s="28"/>
      <c r="I113" s="28"/>
      <c r="M113" s="28"/>
      <c r="Q113" s="28"/>
    </row>
    <row r="114" ht="15.75" customHeight="1">
      <c r="E114" s="28"/>
      <c r="I114" s="28"/>
      <c r="M114" s="28"/>
      <c r="Q114" s="28"/>
    </row>
    <row r="115" ht="15.75" customHeight="1">
      <c r="E115" s="28"/>
      <c r="I115" s="28"/>
      <c r="M115" s="28"/>
      <c r="Q115" s="28"/>
    </row>
    <row r="116" ht="15.75" customHeight="1">
      <c r="E116" s="28"/>
      <c r="I116" s="28"/>
      <c r="M116" s="28"/>
      <c r="Q116" s="28"/>
    </row>
    <row r="117" ht="15.75" customHeight="1">
      <c r="E117" s="28"/>
      <c r="I117" s="28"/>
      <c r="M117" s="28"/>
      <c r="Q117" s="28"/>
    </row>
    <row r="118" ht="15.75" customHeight="1">
      <c r="E118" s="28"/>
      <c r="I118" s="28"/>
      <c r="M118" s="28"/>
      <c r="Q118" s="28"/>
    </row>
    <row r="119" ht="15.75" customHeight="1">
      <c r="E119" s="28"/>
      <c r="I119" s="28"/>
      <c r="M119" s="28"/>
      <c r="Q119" s="28"/>
    </row>
    <row r="120" ht="15.75" customHeight="1">
      <c r="E120" s="28"/>
      <c r="I120" s="28"/>
      <c r="M120" s="28"/>
      <c r="Q120" s="28"/>
    </row>
    <row r="121" ht="15.75" customHeight="1">
      <c r="E121" s="28"/>
      <c r="I121" s="28"/>
      <c r="M121" s="28"/>
      <c r="Q121" s="28"/>
    </row>
    <row r="122" ht="15.75" customHeight="1">
      <c r="E122" s="28"/>
      <c r="I122" s="28"/>
      <c r="M122" s="28"/>
      <c r="Q122" s="28"/>
    </row>
    <row r="123" ht="15.75" customHeight="1">
      <c r="E123" s="28"/>
      <c r="I123" s="28"/>
      <c r="M123" s="28"/>
      <c r="Q123" s="28"/>
    </row>
    <row r="124" ht="15.75" customHeight="1">
      <c r="E124" s="28"/>
      <c r="I124" s="28"/>
      <c r="M124" s="28"/>
      <c r="Q124" s="28"/>
    </row>
    <row r="125" ht="15.75" customHeight="1">
      <c r="E125" s="28"/>
      <c r="I125" s="28"/>
      <c r="M125" s="28"/>
      <c r="Q125" s="28"/>
    </row>
    <row r="126" ht="15.75" customHeight="1">
      <c r="E126" s="28"/>
      <c r="I126" s="28"/>
      <c r="M126" s="28"/>
      <c r="Q126" s="28"/>
    </row>
    <row r="127" ht="15.75" customHeight="1">
      <c r="E127" s="28"/>
      <c r="I127" s="28"/>
      <c r="M127" s="28"/>
      <c r="Q127" s="28"/>
    </row>
    <row r="128" ht="15.75" customHeight="1">
      <c r="E128" s="28"/>
      <c r="I128" s="28"/>
      <c r="M128" s="28"/>
      <c r="Q128" s="28"/>
    </row>
    <row r="129" ht="15.75" customHeight="1">
      <c r="E129" s="28"/>
      <c r="I129" s="28"/>
      <c r="M129" s="28"/>
      <c r="Q129" s="28"/>
    </row>
    <row r="130" ht="15.75" customHeight="1">
      <c r="E130" s="28"/>
      <c r="I130" s="28"/>
      <c r="M130" s="28"/>
      <c r="Q130" s="28"/>
    </row>
    <row r="131" ht="15.75" customHeight="1">
      <c r="E131" s="28"/>
      <c r="I131" s="28"/>
      <c r="M131" s="28"/>
      <c r="Q131" s="28"/>
    </row>
    <row r="132" ht="15.75" customHeight="1">
      <c r="E132" s="28"/>
      <c r="I132" s="28"/>
      <c r="M132" s="28"/>
      <c r="Q132" s="28"/>
    </row>
    <row r="133" ht="15.75" customHeight="1">
      <c r="E133" s="28"/>
      <c r="I133" s="28"/>
      <c r="M133" s="28"/>
      <c r="Q133" s="28"/>
    </row>
    <row r="134" ht="15.75" customHeight="1">
      <c r="E134" s="28"/>
      <c r="I134" s="28"/>
      <c r="M134" s="28"/>
      <c r="Q134" s="28"/>
    </row>
    <row r="135" ht="15.75" customHeight="1">
      <c r="E135" s="28"/>
      <c r="I135" s="28"/>
      <c r="M135" s="28"/>
      <c r="Q135" s="28"/>
    </row>
    <row r="136" ht="15.75" customHeight="1">
      <c r="E136" s="28"/>
      <c r="I136" s="28"/>
      <c r="M136" s="28"/>
      <c r="Q136" s="28"/>
    </row>
    <row r="137" ht="15.75" customHeight="1">
      <c r="E137" s="28"/>
      <c r="I137" s="28"/>
      <c r="M137" s="28"/>
      <c r="Q137" s="28"/>
    </row>
    <row r="138" ht="15.75" customHeight="1">
      <c r="E138" s="28"/>
      <c r="I138" s="28"/>
      <c r="M138" s="28"/>
      <c r="Q138" s="28"/>
    </row>
    <row r="139" ht="15.75" customHeight="1">
      <c r="E139" s="28"/>
      <c r="I139" s="28"/>
      <c r="M139" s="28"/>
      <c r="Q139" s="28"/>
    </row>
    <row r="140" ht="15.75" customHeight="1">
      <c r="E140" s="28"/>
      <c r="I140" s="28"/>
      <c r="M140" s="28"/>
      <c r="Q140" s="28"/>
    </row>
    <row r="141" ht="15.75" customHeight="1">
      <c r="E141" s="28"/>
      <c r="I141" s="28"/>
      <c r="M141" s="28"/>
      <c r="Q141" s="28"/>
    </row>
    <row r="142" ht="15.75" customHeight="1">
      <c r="E142" s="28"/>
      <c r="I142" s="28"/>
      <c r="M142" s="28"/>
      <c r="Q142" s="28"/>
    </row>
    <row r="143" ht="15.75" customHeight="1">
      <c r="E143" s="28"/>
      <c r="I143" s="28"/>
      <c r="M143" s="28"/>
      <c r="Q143" s="28"/>
    </row>
    <row r="144" ht="15.75" customHeight="1">
      <c r="E144" s="28"/>
      <c r="I144" s="28"/>
      <c r="M144" s="28"/>
      <c r="Q144" s="28"/>
    </row>
    <row r="145" ht="15.75" customHeight="1">
      <c r="E145" s="28"/>
      <c r="I145" s="28"/>
      <c r="M145" s="28"/>
      <c r="Q145" s="28"/>
    </row>
    <row r="146" ht="15.75" customHeight="1">
      <c r="E146" s="28"/>
      <c r="I146" s="28"/>
      <c r="M146" s="28"/>
      <c r="Q146" s="28"/>
    </row>
    <row r="147" ht="15.75" customHeight="1">
      <c r="E147" s="28"/>
      <c r="I147" s="28"/>
      <c r="M147" s="28"/>
      <c r="Q147" s="28"/>
    </row>
    <row r="148" ht="15.75" customHeight="1">
      <c r="E148" s="28"/>
      <c r="I148" s="28"/>
      <c r="M148" s="28"/>
      <c r="Q148" s="28"/>
    </row>
    <row r="149" ht="15.75" customHeight="1">
      <c r="E149" s="28"/>
      <c r="I149" s="28"/>
      <c r="M149" s="28"/>
      <c r="Q149" s="28"/>
    </row>
    <row r="150" ht="15.75" customHeight="1">
      <c r="E150" s="28"/>
      <c r="I150" s="28"/>
      <c r="M150" s="28"/>
      <c r="Q150" s="28"/>
    </row>
    <row r="151" ht="15.75" customHeight="1">
      <c r="E151" s="28"/>
      <c r="I151" s="28"/>
      <c r="M151" s="28"/>
      <c r="Q151" s="28"/>
    </row>
    <row r="152" ht="15.75" customHeight="1">
      <c r="E152" s="28"/>
      <c r="I152" s="28"/>
      <c r="M152" s="28"/>
      <c r="Q152" s="28"/>
    </row>
    <row r="153" ht="15.75" customHeight="1">
      <c r="E153" s="28"/>
      <c r="I153" s="28"/>
      <c r="M153" s="28"/>
      <c r="Q153" s="28"/>
    </row>
    <row r="154" ht="15.75" customHeight="1">
      <c r="E154" s="28"/>
      <c r="I154" s="28"/>
      <c r="M154" s="28"/>
      <c r="Q154" s="28"/>
    </row>
    <row r="155" ht="15.75" customHeight="1">
      <c r="E155" s="28"/>
      <c r="I155" s="28"/>
      <c r="M155" s="28"/>
      <c r="Q155" s="28"/>
    </row>
    <row r="156" ht="15.75" customHeight="1">
      <c r="E156" s="28"/>
      <c r="I156" s="28"/>
      <c r="M156" s="28"/>
      <c r="Q156" s="28"/>
    </row>
    <row r="157" ht="15.75" customHeight="1">
      <c r="E157" s="28"/>
      <c r="I157" s="28"/>
      <c r="M157" s="28"/>
      <c r="Q157" s="28"/>
    </row>
    <row r="158" ht="15.75" customHeight="1">
      <c r="E158" s="28"/>
      <c r="I158" s="28"/>
      <c r="M158" s="28"/>
      <c r="Q158" s="28"/>
    </row>
    <row r="159" ht="15.75" customHeight="1">
      <c r="E159" s="28"/>
      <c r="I159" s="28"/>
      <c r="M159" s="28"/>
      <c r="Q159" s="28"/>
    </row>
    <row r="160" ht="15.75" customHeight="1">
      <c r="E160" s="28"/>
      <c r="I160" s="28"/>
      <c r="M160" s="28"/>
      <c r="Q160" s="28"/>
    </row>
    <row r="161" ht="15.75" customHeight="1">
      <c r="E161" s="28"/>
      <c r="I161" s="28"/>
      <c r="M161" s="28"/>
      <c r="Q161" s="28"/>
    </row>
    <row r="162" ht="15.75" customHeight="1">
      <c r="E162" s="28"/>
      <c r="I162" s="28"/>
      <c r="M162" s="28"/>
      <c r="Q162" s="28"/>
    </row>
    <row r="163" ht="15.75" customHeight="1">
      <c r="E163" s="28"/>
      <c r="I163" s="28"/>
      <c r="M163" s="28"/>
      <c r="Q163" s="28"/>
    </row>
    <row r="164" ht="15.75" customHeight="1">
      <c r="E164" s="28"/>
      <c r="I164" s="28"/>
      <c r="M164" s="28"/>
      <c r="Q164" s="28"/>
    </row>
    <row r="165" ht="15.75" customHeight="1">
      <c r="E165" s="28"/>
      <c r="I165" s="28"/>
      <c r="M165" s="28"/>
      <c r="Q165" s="28"/>
    </row>
    <row r="166" ht="15.75" customHeight="1">
      <c r="E166" s="28"/>
      <c r="I166" s="28"/>
      <c r="M166" s="28"/>
      <c r="Q166" s="28"/>
    </row>
    <row r="167" ht="15.75" customHeight="1">
      <c r="E167" s="28"/>
      <c r="I167" s="28"/>
      <c r="M167" s="28"/>
      <c r="Q167" s="28"/>
    </row>
    <row r="168" ht="15.75" customHeight="1">
      <c r="E168" s="28"/>
      <c r="I168" s="28"/>
      <c r="M168" s="28"/>
      <c r="Q168" s="28"/>
    </row>
    <row r="169" ht="15.75" customHeight="1">
      <c r="E169" s="28"/>
      <c r="I169" s="28"/>
      <c r="M169" s="28"/>
      <c r="Q169" s="28"/>
    </row>
    <row r="170" ht="15.75" customHeight="1">
      <c r="E170" s="28"/>
      <c r="I170" s="28"/>
      <c r="M170" s="28"/>
      <c r="Q170" s="28"/>
    </row>
    <row r="171" ht="15.75" customHeight="1">
      <c r="E171" s="28"/>
      <c r="I171" s="28"/>
      <c r="M171" s="28"/>
      <c r="Q171" s="28"/>
    </row>
    <row r="172" ht="15.75" customHeight="1">
      <c r="E172" s="28"/>
      <c r="I172" s="28"/>
      <c r="M172" s="28"/>
      <c r="Q172" s="28"/>
    </row>
    <row r="173" ht="15.75" customHeight="1">
      <c r="E173" s="28"/>
      <c r="I173" s="28"/>
      <c r="M173" s="28"/>
      <c r="Q173" s="28"/>
    </row>
    <row r="174" ht="15.75" customHeight="1">
      <c r="E174" s="28"/>
      <c r="I174" s="28"/>
      <c r="M174" s="28"/>
      <c r="Q174" s="28"/>
    </row>
    <row r="175" ht="15.75" customHeight="1">
      <c r="E175" s="28"/>
      <c r="I175" s="28"/>
      <c r="M175" s="28"/>
      <c r="Q175" s="28"/>
    </row>
    <row r="176" ht="15.75" customHeight="1">
      <c r="E176" s="28"/>
      <c r="I176" s="28"/>
      <c r="M176" s="28"/>
      <c r="Q176" s="28"/>
    </row>
    <row r="177" ht="15.75" customHeight="1">
      <c r="E177" s="28"/>
      <c r="I177" s="28"/>
      <c r="M177" s="28"/>
      <c r="Q177" s="28"/>
    </row>
    <row r="178" ht="15.75" customHeight="1">
      <c r="E178" s="28"/>
      <c r="I178" s="28"/>
      <c r="M178" s="28"/>
      <c r="Q178" s="28"/>
    </row>
    <row r="179" ht="15.75" customHeight="1">
      <c r="E179" s="28"/>
      <c r="I179" s="28"/>
      <c r="M179" s="28"/>
      <c r="Q179" s="28"/>
    </row>
    <row r="180" ht="15.75" customHeight="1">
      <c r="E180" s="28"/>
      <c r="I180" s="28"/>
      <c r="M180" s="28"/>
      <c r="Q180" s="28"/>
    </row>
    <row r="181" ht="15.75" customHeight="1">
      <c r="E181" s="28"/>
      <c r="I181" s="28"/>
      <c r="M181" s="28"/>
      <c r="Q181" s="28"/>
    </row>
    <row r="182" ht="15.75" customHeight="1">
      <c r="E182" s="28"/>
      <c r="I182" s="28"/>
      <c r="M182" s="28"/>
      <c r="Q182" s="28"/>
    </row>
    <row r="183" ht="15.75" customHeight="1">
      <c r="E183" s="28"/>
      <c r="I183" s="28"/>
      <c r="M183" s="28"/>
      <c r="Q183" s="28"/>
    </row>
    <row r="184" ht="15.75" customHeight="1">
      <c r="E184" s="28"/>
      <c r="I184" s="28"/>
      <c r="M184" s="28"/>
      <c r="Q184" s="28"/>
    </row>
    <row r="185" ht="15.75" customHeight="1">
      <c r="E185" s="28"/>
      <c r="I185" s="28"/>
      <c r="M185" s="28"/>
      <c r="Q185" s="28"/>
    </row>
    <row r="186" ht="15.75" customHeight="1">
      <c r="E186" s="28"/>
      <c r="I186" s="28"/>
      <c r="M186" s="28"/>
      <c r="Q186" s="28"/>
    </row>
    <row r="187" ht="15.75" customHeight="1">
      <c r="E187" s="28"/>
      <c r="I187" s="28"/>
      <c r="M187" s="28"/>
      <c r="Q187" s="28"/>
    </row>
    <row r="188" ht="15.75" customHeight="1">
      <c r="E188" s="28"/>
      <c r="I188" s="28"/>
      <c r="M188" s="28"/>
      <c r="Q188" s="28"/>
    </row>
    <row r="189" ht="15.75" customHeight="1">
      <c r="E189" s="28"/>
      <c r="I189" s="28"/>
      <c r="M189" s="28"/>
      <c r="Q189" s="28"/>
    </row>
    <row r="190" ht="15.75" customHeight="1">
      <c r="E190" s="28"/>
      <c r="I190" s="28"/>
      <c r="M190" s="28"/>
      <c r="Q190" s="28"/>
    </row>
    <row r="191" ht="15.75" customHeight="1">
      <c r="E191" s="28"/>
      <c r="I191" s="28"/>
      <c r="M191" s="28"/>
      <c r="Q191" s="28"/>
    </row>
    <row r="192" ht="15.75" customHeight="1">
      <c r="E192" s="28"/>
      <c r="I192" s="28"/>
      <c r="M192" s="28"/>
      <c r="Q192" s="28"/>
    </row>
    <row r="193" ht="15.75" customHeight="1">
      <c r="E193" s="28"/>
      <c r="I193" s="28"/>
      <c r="M193" s="28"/>
      <c r="Q193" s="28"/>
    </row>
    <row r="194" ht="15.75" customHeight="1">
      <c r="E194" s="28"/>
      <c r="I194" s="28"/>
      <c r="M194" s="28"/>
      <c r="Q194" s="28"/>
    </row>
    <row r="195" ht="15.75" customHeight="1">
      <c r="E195" s="28"/>
      <c r="I195" s="28"/>
      <c r="M195" s="28"/>
      <c r="Q195" s="28"/>
    </row>
    <row r="196" ht="15.75" customHeight="1">
      <c r="E196" s="28"/>
      <c r="I196" s="28"/>
      <c r="M196" s="28"/>
      <c r="Q196" s="28"/>
    </row>
    <row r="197" ht="15.75" customHeight="1">
      <c r="E197" s="28"/>
      <c r="I197" s="28"/>
      <c r="M197" s="28"/>
      <c r="Q197" s="28"/>
    </row>
    <row r="198" ht="15.75" customHeight="1">
      <c r="E198" s="28"/>
      <c r="I198" s="28"/>
      <c r="M198" s="28"/>
      <c r="Q198" s="28"/>
    </row>
    <row r="199" ht="15.75" customHeight="1">
      <c r="E199" s="28"/>
      <c r="I199" s="28"/>
      <c r="M199" s="28"/>
      <c r="Q199" s="28"/>
    </row>
    <row r="200" ht="15.75" customHeight="1">
      <c r="E200" s="28"/>
      <c r="I200" s="28"/>
      <c r="M200" s="28"/>
      <c r="Q200" s="28"/>
    </row>
    <row r="201" ht="15.75" customHeight="1">
      <c r="E201" s="28"/>
      <c r="I201" s="28"/>
      <c r="M201" s="28"/>
      <c r="Q201" s="28"/>
    </row>
    <row r="202" ht="15.75" customHeight="1">
      <c r="E202" s="28"/>
      <c r="I202" s="28"/>
      <c r="M202" s="28"/>
      <c r="Q202" s="28"/>
    </row>
    <row r="203" ht="15.75" customHeight="1">
      <c r="E203" s="28"/>
      <c r="I203" s="28"/>
      <c r="M203" s="28"/>
      <c r="Q203" s="28"/>
    </row>
    <row r="204" ht="15.75" customHeight="1">
      <c r="E204" s="28"/>
      <c r="I204" s="28"/>
      <c r="M204" s="28"/>
      <c r="Q204" s="28"/>
    </row>
    <row r="205" ht="15.75" customHeight="1">
      <c r="E205" s="28"/>
      <c r="I205" s="28"/>
      <c r="M205" s="28"/>
      <c r="Q205" s="28"/>
    </row>
    <row r="206" ht="15.75" customHeight="1">
      <c r="E206" s="28"/>
      <c r="I206" s="28"/>
      <c r="M206" s="28"/>
      <c r="Q206" s="28"/>
    </row>
    <row r="207" ht="15.75" customHeight="1">
      <c r="E207" s="28"/>
      <c r="I207" s="28"/>
      <c r="M207" s="28"/>
      <c r="Q207" s="28"/>
    </row>
    <row r="208" ht="15.75" customHeight="1">
      <c r="E208" s="28"/>
      <c r="I208" s="28"/>
      <c r="M208" s="28"/>
      <c r="Q208" s="28"/>
    </row>
    <row r="209" ht="15.75" customHeight="1">
      <c r="E209" s="28"/>
      <c r="I209" s="28"/>
      <c r="M209" s="28"/>
      <c r="Q209" s="28"/>
    </row>
    <row r="210" ht="15.75" customHeight="1">
      <c r="E210" s="28"/>
      <c r="I210" s="28"/>
      <c r="M210" s="28"/>
      <c r="Q210" s="28"/>
    </row>
    <row r="211" ht="15.75" customHeight="1">
      <c r="E211" s="28"/>
      <c r="I211" s="28"/>
      <c r="M211" s="28"/>
      <c r="Q211" s="28"/>
    </row>
    <row r="212" ht="15.75" customHeight="1">
      <c r="E212" s="28"/>
      <c r="I212" s="28"/>
      <c r="M212" s="28"/>
      <c r="Q212" s="28"/>
    </row>
    <row r="213" ht="15.75" customHeight="1">
      <c r="E213" s="28"/>
      <c r="I213" s="28"/>
      <c r="M213" s="28"/>
      <c r="Q213" s="28"/>
    </row>
    <row r="214" ht="15.75" customHeight="1">
      <c r="E214" s="28"/>
      <c r="I214" s="28"/>
      <c r="M214" s="28"/>
      <c r="Q214" s="28"/>
    </row>
    <row r="215" ht="15.75" customHeight="1">
      <c r="E215" s="28"/>
      <c r="I215" s="28"/>
      <c r="M215" s="28"/>
      <c r="Q215" s="28"/>
    </row>
    <row r="216" ht="15.75" customHeight="1">
      <c r="E216" s="28"/>
      <c r="I216" s="28"/>
      <c r="M216" s="28"/>
      <c r="Q216" s="28"/>
    </row>
    <row r="217" ht="15.75" customHeight="1">
      <c r="E217" s="28"/>
      <c r="I217" s="28"/>
      <c r="M217" s="28"/>
      <c r="Q217" s="28"/>
    </row>
    <row r="218" ht="15.75" customHeight="1">
      <c r="E218" s="28"/>
      <c r="I218" s="28"/>
      <c r="M218" s="28"/>
      <c r="Q218" s="28"/>
    </row>
    <row r="219" ht="15.75" customHeight="1">
      <c r="E219" s="28"/>
      <c r="I219" s="28"/>
      <c r="M219" s="28"/>
      <c r="Q219" s="28"/>
    </row>
    <row r="220" ht="15.75" customHeight="1">
      <c r="E220" s="28"/>
      <c r="I220" s="28"/>
      <c r="M220" s="28"/>
      <c r="Q220" s="28"/>
    </row>
    <row r="221" ht="15.75" customHeight="1">
      <c r="E221" s="28"/>
      <c r="I221" s="28"/>
      <c r="M221" s="28"/>
      <c r="Q221" s="28"/>
    </row>
    <row r="222" ht="15.75" customHeight="1">
      <c r="E222" s="28"/>
      <c r="I222" s="28"/>
      <c r="M222" s="28"/>
      <c r="Q222" s="28"/>
    </row>
    <row r="223" ht="15.75" customHeight="1">
      <c r="E223" s="28"/>
      <c r="I223" s="28"/>
      <c r="M223" s="28"/>
      <c r="Q223" s="28"/>
    </row>
    <row r="224" ht="15.75" customHeight="1">
      <c r="E224" s="28"/>
      <c r="I224" s="28"/>
      <c r="M224" s="28"/>
      <c r="Q224" s="28"/>
    </row>
    <row r="225" ht="15.75" customHeight="1">
      <c r="E225" s="28"/>
      <c r="I225" s="28"/>
      <c r="M225" s="28"/>
      <c r="Q225" s="28"/>
    </row>
    <row r="226" ht="15.75" customHeight="1">
      <c r="E226" s="28"/>
      <c r="I226" s="28"/>
      <c r="M226" s="28"/>
      <c r="Q226" s="28"/>
    </row>
    <row r="227" ht="15.75" customHeight="1">
      <c r="E227" s="28"/>
      <c r="I227" s="28"/>
      <c r="M227" s="28"/>
      <c r="Q227" s="28"/>
    </row>
    <row r="228" ht="15.75" customHeight="1">
      <c r="E228" s="28"/>
      <c r="I228" s="28"/>
      <c r="M228" s="28"/>
      <c r="Q228" s="28"/>
    </row>
    <row r="229" ht="15.75" customHeight="1">
      <c r="E229" s="28"/>
      <c r="I229" s="28"/>
      <c r="M229" s="28"/>
      <c r="Q229" s="28"/>
    </row>
    <row r="230" ht="15.75" customHeight="1">
      <c r="E230" s="28"/>
      <c r="I230" s="28"/>
      <c r="M230" s="28"/>
      <c r="Q230" s="28"/>
    </row>
    <row r="231" ht="15.75" customHeight="1">
      <c r="E231" s="28"/>
      <c r="I231" s="28"/>
      <c r="M231" s="28"/>
      <c r="Q231" s="28"/>
    </row>
    <row r="232" ht="15.75" customHeight="1">
      <c r="E232" s="28"/>
      <c r="I232" s="28"/>
      <c r="M232" s="28"/>
      <c r="Q232" s="28"/>
    </row>
    <row r="233" ht="15.75" customHeight="1">
      <c r="E233" s="28"/>
      <c r="I233" s="28"/>
      <c r="M233" s="28"/>
      <c r="Q233" s="28"/>
    </row>
    <row r="234" ht="15.75" customHeight="1">
      <c r="E234" s="28"/>
      <c r="I234" s="28"/>
      <c r="M234" s="28"/>
      <c r="Q234" s="28"/>
    </row>
    <row r="235" ht="15.75" customHeight="1">
      <c r="E235" s="28"/>
      <c r="I235" s="28"/>
      <c r="M235" s="28"/>
      <c r="Q235" s="28"/>
    </row>
    <row r="236" ht="15.75" customHeight="1">
      <c r="E236" s="28"/>
      <c r="I236" s="28"/>
      <c r="M236" s="28"/>
      <c r="Q236" s="28"/>
    </row>
    <row r="237" ht="15.75" customHeight="1">
      <c r="E237" s="28"/>
      <c r="I237" s="28"/>
      <c r="M237" s="28"/>
      <c r="Q237" s="28"/>
    </row>
    <row r="238" ht="15.75" customHeight="1">
      <c r="E238" s="28"/>
      <c r="I238" s="28"/>
      <c r="M238" s="28"/>
      <c r="Q238" s="28"/>
    </row>
    <row r="239" ht="15.75" customHeight="1">
      <c r="E239" s="28"/>
      <c r="I239" s="28"/>
      <c r="M239" s="28"/>
      <c r="Q239" s="28"/>
    </row>
    <row r="240" ht="15.75" customHeight="1">
      <c r="E240" s="28"/>
      <c r="I240" s="28"/>
      <c r="M240" s="28"/>
      <c r="Q240" s="28"/>
    </row>
    <row r="241" ht="15.75" customHeight="1">
      <c r="E241" s="28"/>
      <c r="I241" s="28"/>
      <c r="M241" s="28"/>
      <c r="Q241" s="28"/>
    </row>
    <row r="242" ht="15.75" customHeight="1">
      <c r="E242" s="28"/>
      <c r="I242" s="28"/>
      <c r="M242" s="28"/>
      <c r="Q242" s="28"/>
    </row>
    <row r="243" ht="15.75" customHeight="1">
      <c r="E243" s="28"/>
      <c r="I243" s="28"/>
      <c r="M243" s="28"/>
      <c r="Q243" s="28"/>
    </row>
    <row r="244" ht="15.75" customHeight="1">
      <c r="E244" s="28"/>
      <c r="I244" s="28"/>
      <c r="M244" s="28"/>
      <c r="Q244" s="28"/>
    </row>
    <row r="245" ht="15.75" customHeight="1">
      <c r="E245" s="28"/>
      <c r="I245" s="28"/>
      <c r="M245" s="28"/>
      <c r="Q245" s="28"/>
    </row>
    <row r="246" ht="15.75" customHeight="1">
      <c r="E246" s="28"/>
      <c r="I246" s="28"/>
      <c r="M246" s="28"/>
      <c r="Q246" s="28"/>
    </row>
    <row r="247" ht="15.75" customHeight="1">
      <c r="E247" s="28"/>
      <c r="I247" s="28"/>
      <c r="M247" s="28"/>
      <c r="Q247" s="28"/>
    </row>
    <row r="248" ht="15.75" customHeight="1">
      <c r="E248" s="28"/>
      <c r="I248" s="28"/>
      <c r="M248" s="28"/>
      <c r="Q248" s="28"/>
    </row>
    <row r="249" ht="15.75" customHeight="1">
      <c r="E249" s="28"/>
      <c r="I249" s="28"/>
      <c r="M249" s="28"/>
      <c r="Q249" s="28"/>
    </row>
    <row r="250" ht="15.75" customHeight="1">
      <c r="E250" s="28"/>
      <c r="I250" s="28"/>
      <c r="M250" s="28"/>
      <c r="Q250" s="28"/>
    </row>
    <row r="251" ht="15.75" customHeight="1">
      <c r="E251" s="28"/>
      <c r="I251" s="28"/>
      <c r="M251" s="28"/>
      <c r="Q251" s="28"/>
    </row>
    <row r="252" ht="15.75" customHeight="1">
      <c r="E252" s="28"/>
      <c r="I252" s="28"/>
      <c r="M252" s="28"/>
      <c r="Q252" s="28"/>
    </row>
    <row r="253" ht="15.75" customHeight="1">
      <c r="E253" s="28"/>
      <c r="I253" s="28"/>
      <c r="M253" s="28"/>
      <c r="Q253" s="28"/>
    </row>
    <row r="254" ht="15.75" customHeight="1">
      <c r="E254" s="28"/>
      <c r="I254" s="28"/>
      <c r="M254" s="28"/>
      <c r="Q254" s="28"/>
    </row>
    <row r="255" ht="15.75" customHeight="1">
      <c r="E255" s="28"/>
      <c r="I255" s="28"/>
      <c r="M255" s="28"/>
      <c r="Q255" s="28"/>
    </row>
    <row r="256" ht="15.75" customHeight="1">
      <c r="E256" s="28"/>
      <c r="I256" s="28"/>
      <c r="M256" s="28"/>
      <c r="Q256" s="28"/>
    </row>
    <row r="257" ht="15.75" customHeight="1">
      <c r="E257" s="28"/>
      <c r="I257" s="28"/>
      <c r="M257" s="28"/>
      <c r="Q257" s="28"/>
    </row>
    <row r="258" ht="15.75" customHeight="1">
      <c r="E258" s="28"/>
      <c r="I258" s="28"/>
      <c r="M258" s="28"/>
      <c r="Q258" s="28"/>
    </row>
    <row r="259" ht="15.75" customHeight="1">
      <c r="E259" s="28"/>
      <c r="I259" s="28"/>
      <c r="M259" s="28"/>
      <c r="Q259" s="28"/>
    </row>
    <row r="260" ht="15.75" customHeight="1">
      <c r="E260" s="28"/>
      <c r="I260" s="28"/>
      <c r="M260" s="28"/>
      <c r="Q260" s="28"/>
    </row>
    <row r="261" ht="15.75" customHeight="1">
      <c r="E261" s="28"/>
      <c r="I261" s="28"/>
      <c r="M261" s="28"/>
      <c r="Q261" s="28"/>
    </row>
    <row r="262" ht="15.75" customHeight="1">
      <c r="E262" s="28"/>
      <c r="I262" s="28"/>
      <c r="M262" s="28"/>
      <c r="Q262" s="28"/>
    </row>
    <row r="263" ht="15.75" customHeight="1">
      <c r="E263" s="28"/>
      <c r="I263" s="28"/>
      <c r="M263" s="28"/>
      <c r="Q263" s="28"/>
    </row>
    <row r="264" ht="15.75" customHeight="1">
      <c r="E264" s="28"/>
      <c r="I264" s="28"/>
      <c r="M264" s="28"/>
      <c r="Q264" s="28"/>
    </row>
    <row r="265" ht="15.75" customHeight="1">
      <c r="E265" s="28"/>
      <c r="I265" s="28"/>
      <c r="M265" s="28"/>
      <c r="Q265" s="28"/>
    </row>
    <row r="266" ht="15.75" customHeight="1">
      <c r="E266" s="28"/>
      <c r="I266" s="28"/>
      <c r="M266" s="28"/>
      <c r="Q266" s="28"/>
    </row>
    <row r="267" ht="15.75" customHeight="1">
      <c r="E267" s="28"/>
      <c r="I267" s="28"/>
      <c r="M267" s="28"/>
      <c r="Q267" s="28"/>
    </row>
    <row r="268" ht="15.75" customHeight="1">
      <c r="E268" s="28"/>
      <c r="I268" s="28"/>
      <c r="M268" s="28"/>
      <c r="Q268" s="28"/>
    </row>
    <row r="269" ht="15.75" customHeight="1">
      <c r="E269" s="28"/>
      <c r="I269" s="28"/>
      <c r="M269" s="28"/>
      <c r="Q269" s="28"/>
    </row>
    <row r="270" ht="15.75" customHeight="1">
      <c r="E270" s="28"/>
      <c r="I270" s="28"/>
      <c r="M270" s="28"/>
      <c r="Q270" s="28"/>
    </row>
    <row r="271" ht="15.75" customHeight="1">
      <c r="E271" s="28"/>
      <c r="I271" s="28"/>
      <c r="M271" s="28"/>
      <c r="Q271" s="28"/>
    </row>
    <row r="272" ht="15.75" customHeight="1">
      <c r="E272" s="28"/>
      <c r="I272" s="28"/>
      <c r="M272" s="28"/>
      <c r="Q272" s="28"/>
    </row>
    <row r="273" ht="15.75" customHeight="1">
      <c r="E273" s="28"/>
      <c r="I273" s="28"/>
      <c r="M273" s="28"/>
      <c r="Q273" s="28"/>
    </row>
    <row r="274" ht="15.75" customHeight="1">
      <c r="E274" s="28"/>
      <c r="I274" s="28"/>
      <c r="M274" s="28"/>
      <c r="Q274" s="28"/>
    </row>
    <row r="275" ht="15.75" customHeight="1">
      <c r="E275" s="28"/>
      <c r="I275" s="28"/>
      <c r="M275" s="28"/>
      <c r="Q275" s="28"/>
    </row>
    <row r="276" ht="15.75" customHeight="1">
      <c r="E276" s="28"/>
      <c r="I276" s="28"/>
      <c r="M276" s="28"/>
      <c r="Q276" s="28"/>
    </row>
    <row r="277" ht="15.75" customHeight="1">
      <c r="E277" s="28"/>
      <c r="I277" s="28"/>
      <c r="M277" s="28"/>
      <c r="Q277" s="28"/>
    </row>
    <row r="278" ht="15.75" customHeight="1">
      <c r="E278" s="28"/>
      <c r="I278" s="28"/>
      <c r="M278" s="28"/>
      <c r="Q278" s="28"/>
    </row>
    <row r="279" ht="15.75" customHeight="1">
      <c r="E279" s="28"/>
      <c r="I279" s="28"/>
      <c r="M279" s="28"/>
      <c r="Q279" s="28"/>
    </row>
    <row r="280" ht="15.75" customHeight="1">
      <c r="E280" s="28"/>
      <c r="I280" s="28"/>
      <c r="M280" s="28"/>
      <c r="Q280" s="28"/>
    </row>
    <row r="281" ht="15.75" customHeight="1">
      <c r="E281" s="28"/>
      <c r="I281" s="28"/>
      <c r="M281" s="28"/>
      <c r="Q281" s="28"/>
    </row>
    <row r="282" ht="15.75" customHeight="1">
      <c r="E282" s="28"/>
      <c r="I282" s="28"/>
      <c r="M282" s="28"/>
      <c r="Q282" s="28"/>
    </row>
    <row r="283" ht="15.75" customHeight="1">
      <c r="E283" s="28"/>
      <c r="I283" s="28"/>
      <c r="M283" s="28"/>
      <c r="Q283" s="28"/>
    </row>
    <row r="284" ht="15.75" customHeight="1">
      <c r="E284" s="28"/>
      <c r="I284" s="28"/>
      <c r="M284" s="28"/>
      <c r="Q284" s="28"/>
    </row>
    <row r="285" ht="15.75" customHeight="1">
      <c r="E285" s="28"/>
      <c r="I285" s="28"/>
      <c r="M285" s="28"/>
      <c r="Q285" s="28"/>
    </row>
    <row r="286" ht="15.75" customHeight="1">
      <c r="E286" s="28"/>
      <c r="I286" s="28"/>
      <c r="M286" s="28"/>
      <c r="Q286" s="28"/>
    </row>
    <row r="287" ht="15.75" customHeight="1">
      <c r="E287" s="28"/>
      <c r="I287" s="28"/>
      <c r="M287" s="28"/>
      <c r="Q287" s="28"/>
    </row>
    <row r="288" ht="15.75" customHeight="1">
      <c r="E288" s="28"/>
      <c r="I288" s="28"/>
      <c r="M288" s="28"/>
      <c r="Q288" s="28"/>
    </row>
    <row r="289" ht="15.75" customHeight="1">
      <c r="E289" s="28"/>
      <c r="I289" s="28"/>
      <c r="M289" s="28"/>
      <c r="Q289" s="28"/>
    </row>
    <row r="290" ht="15.75" customHeight="1">
      <c r="E290" s="28"/>
      <c r="I290" s="28"/>
      <c r="M290" s="28"/>
      <c r="Q290" s="28"/>
    </row>
    <row r="291" ht="15.75" customHeight="1">
      <c r="E291" s="28"/>
      <c r="I291" s="28"/>
      <c r="M291" s="28"/>
      <c r="Q291" s="28"/>
    </row>
    <row r="292" ht="15.75" customHeight="1">
      <c r="E292" s="28"/>
      <c r="I292" s="28"/>
      <c r="M292" s="28"/>
      <c r="Q292" s="28"/>
    </row>
    <row r="293" ht="15.75" customHeight="1">
      <c r="E293" s="28"/>
      <c r="I293" s="28"/>
      <c r="M293" s="28"/>
      <c r="Q293" s="28"/>
    </row>
    <row r="294" ht="15.75" customHeight="1">
      <c r="E294" s="28"/>
      <c r="I294" s="28"/>
      <c r="M294" s="28"/>
      <c r="Q294" s="28"/>
    </row>
    <row r="295" ht="15.75" customHeight="1">
      <c r="E295" s="28"/>
      <c r="I295" s="28"/>
      <c r="M295" s="28"/>
      <c r="Q295" s="28"/>
    </row>
    <row r="296" ht="15.75" customHeight="1">
      <c r="E296" s="28"/>
      <c r="I296" s="28"/>
      <c r="M296" s="28"/>
      <c r="Q296" s="28"/>
    </row>
    <row r="297" ht="15.75" customHeight="1">
      <c r="E297" s="28"/>
      <c r="I297" s="28"/>
      <c r="M297" s="28"/>
      <c r="Q297" s="28"/>
    </row>
    <row r="298" ht="15.75" customHeight="1">
      <c r="E298" s="28"/>
      <c r="I298" s="28"/>
      <c r="M298" s="28"/>
      <c r="Q298" s="28"/>
    </row>
    <row r="299" ht="15.75" customHeight="1">
      <c r="E299" s="28"/>
      <c r="I299" s="28"/>
      <c r="M299" s="28"/>
      <c r="Q299" s="28"/>
    </row>
    <row r="300" ht="15.75" customHeight="1">
      <c r="E300" s="28"/>
      <c r="I300" s="28"/>
      <c r="M300" s="28"/>
      <c r="Q300" s="28"/>
    </row>
    <row r="301" ht="15.75" customHeight="1">
      <c r="E301" s="28"/>
      <c r="I301" s="28"/>
      <c r="M301" s="28"/>
      <c r="Q301" s="28"/>
    </row>
    <row r="302" ht="15.75" customHeight="1">
      <c r="E302" s="28"/>
      <c r="I302" s="28"/>
      <c r="M302" s="28"/>
      <c r="Q302" s="28"/>
    </row>
    <row r="303" ht="15.75" customHeight="1">
      <c r="E303" s="28"/>
      <c r="I303" s="28"/>
      <c r="M303" s="28"/>
      <c r="Q303" s="28"/>
    </row>
    <row r="304" ht="15.75" customHeight="1">
      <c r="E304" s="28"/>
      <c r="I304" s="28"/>
      <c r="M304" s="28"/>
      <c r="Q304" s="28"/>
    </row>
    <row r="305" ht="15.75" customHeight="1">
      <c r="E305" s="28"/>
      <c r="I305" s="28"/>
      <c r="M305" s="28"/>
      <c r="Q305" s="28"/>
    </row>
    <row r="306" ht="15.75" customHeight="1">
      <c r="E306" s="28"/>
      <c r="I306" s="28"/>
      <c r="M306" s="28"/>
      <c r="Q306" s="28"/>
    </row>
    <row r="307" ht="15.75" customHeight="1">
      <c r="E307" s="28"/>
      <c r="I307" s="28"/>
      <c r="M307" s="28"/>
      <c r="Q307" s="28"/>
    </row>
    <row r="308" ht="15.75" customHeight="1">
      <c r="E308" s="28"/>
      <c r="I308" s="28"/>
      <c r="M308" s="28"/>
      <c r="Q308" s="28"/>
    </row>
    <row r="309" ht="15.75" customHeight="1">
      <c r="E309" s="28"/>
      <c r="I309" s="28"/>
      <c r="M309" s="28"/>
      <c r="Q309" s="28"/>
    </row>
    <row r="310" ht="15.75" customHeight="1">
      <c r="E310" s="28"/>
      <c r="I310" s="28"/>
      <c r="M310" s="28"/>
      <c r="Q310" s="28"/>
    </row>
    <row r="311" ht="15.75" customHeight="1">
      <c r="E311" s="28"/>
      <c r="I311" s="28"/>
      <c r="M311" s="28"/>
      <c r="Q311" s="28"/>
    </row>
    <row r="312" ht="15.75" customHeight="1">
      <c r="E312" s="28"/>
      <c r="I312" s="28"/>
      <c r="M312" s="28"/>
      <c r="Q312" s="28"/>
    </row>
    <row r="313" ht="15.75" customHeight="1">
      <c r="E313" s="28"/>
      <c r="I313" s="28"/>
      <c r="M313" s="28"/>
      <c r="Q313" s="28"/>
    </row>
    <row r="314" ht="15.75" customHeight="1">
      <c r="E314" s="28"/>
      <c r="I314" s="28"/>
      <c r="M314" s="28"/>
      <c r="Q314" s="28"/>
    </row>
    <row r="315" ht="15.75" customHeight="1">
      <c r="E315" s="28"/>
      <c r="I315" s="28"/>
      <c r="M315" s="28"/>
      <c r="Q315" s="28"/>
    </row>
    <row r="316" ht="15.75" customHeight="1">
      <c r="E316" s="28"/>
      <c r="I316" s="28"/>
      <c r="M316" s="28"/>
      <c r="Q316" s="28"/>
    </row>
    <row r="317" ht="15.75" customHeight="1">
      <c r="E317" s="28"/>
      <c r="I317" s="28"/>
      <c r="M317" s="28"/>
      <c r="Q317" s="28"/>
    </row>
    <row r="318" ht="15.75" customHeight="1">
      <c r="E318" s="28"/>
      <c r="I318" s="28"/>
      <c r="M318" s="28"/>
      <c r="Q318" s="28"/>
    </row>
    <row r="319" ht="15.75" customHeight="1">
      <c r="E319" s="28"/>
      <c r="I319" s="28"/>
      <c r="M319" s="28"/>
      <c r="Q319" s="28"/>
    </row>
    <row r="320" ht="15.75" customHeight="1">
      <c r="E320" s="28"/>
      <c r="I320" s="28"/>
      <c r="M320" s="28"/>
      <c r="Q320" s="28"/>
    </row>
    <row r="321" ht="15.75" customHeight="1">
      <c r="E321" s="28"/>
      <c r="I321" s="28"/>
      <c r="M321" s="28"/>
      <c r="Q321" s="28"/>
    </row>
    <row r="322" ht="15.75" customHeight="1">
      <c r="E322" s="28"/>
      <c r="I322" s="28"/>
      <c r="M322" s="28"/>
      <c r="Q322" s="28"/>
    </row>
    <row r="323" ht="15.75" customHeight="1">
      <c r="E323" s="28"/>
      <c r="I323" s="28"/>
      <c r="M323" s="28"/>
      <c r="Q323" s="28"/>
    </row>
    <row r="324" ht="15.75" customHeight="1">
      <c r="E324" s="28"/>
      <c r="I324" s="28"/>
      <c r="M324" s="28"/>
      <c r="Q324" s="28"/>
    </row>
    <row r="325" ht="15.75" customHeight="1">
      <c r="E325" s="28"/>
      <c r="I325" s="28"/>
      <c r="M325" s="28"/>
      <c r="Q325" s="28"/>
    </row>
    <row r="326" ht="15.75" customHeight="1">
      <c r="E326" s="28"/>
      <c r="I326" s="28"/>
      <c r="M326" s="28"/>
      <c r="Q326" s="28"/>
    </row>
    <row r="327" ht="15.75" customHeight="1">
      <c r="E327" s="28"/>
      <c r="I327" s="28"/>
      <c r="M327" s="28"/>
      <c r="Q327" s="28"/>
    </row>
    <row r="328" ht="15.75" customHeight="1">
      <c r="E328" s="28"/>
      <c r="I328" s="28"/>
      <c r="M328" s="28"/>
      <c r="Q328" s="28"/>
    </row>
    <row r="329" ht="15.75" customHeight="1">
      <c r="E329" s="28"/>
      <c r="I329" s="28"/>
      <c r="M329" s="28"/>
      <c r="Q329" s="28"/>
    </row>
    <row r="330" ht="15.75" customHeight="1">
      <c r="E330" s="28"/>
      <c r="I330" s="28"/>
      <c r="M330" s="28"/>
      <c r="Q330" s="28"/>
    </row>
    <row r="331" ht="15.75" customHeight="1">
      <c r="E331" s="28"/>
      <c r="I331" s="28"/>
      <c r="M331" s="28"/>
      <c r="Q331" s="28"/>
    </row>
    <row r="332" ht="15.75" customHeight="1">
      <c r="E332" s="28"/>
      <c r="I332" s="28"/>
      <c r="M332" s="28"/>
      <c r="Q332" s="28"/>
    </row>
    <row r="333" ht="15.75" customHeight="1">
      <c r="E333" s="28"/>
      <c r="I333" s="28"/>
      <c r="M333" s="28"/>
      <c r="Q333" s="28"/>
    </row>
    <row r="334" ht="15.75" customHeight="1">
      <c r="E334" s="28"/>
      <c r="I334" s="28"/>
      <c r="M334" s="28"/>
      <c r="Q334" s="28"/>
    </row>
    <row r="335" ht="15.75" customHeight="1">
      <c r="E335" s="28"/>
      <c r="I335" s="28"/>
      <c r="M335" s="28"/>
      <c r="Q335" s="28"/>
    </row>
    <row r="336" ht="15.75" customHeight="1">
      <c r="E336" s="28"/>
      <c r="I336" s="28"/>
      <c r="M336" s="28"/>
      <c r="Q336" s="28"/>
    </row>
    <row r="337" ht="15.75" customHeight="1">
      <c r="E337" s="28"/>
      <c r="I337" s="28"/>
      <c r="M337" s="28"/>
      <c r="Q337" s="28"/>
    </row>
    <row r="338" ht="15.75" customHeight="1">
      <c r="E338" s="28"/>
      <c r="I338" s="28"/>
      <c r="M338" s="28"/>
      <c r="Q338" s="28"/>
    </row>
    <row r="339" ht="15.75" customHeight="1">
      <c r="E339" s="28"/>
      <c r="I339" s="28"/>
      <c r="M339" s="28"/>
      <c r="Q339" s="28"/>
    </row>
    <row r="340" ht="15.75" customHeight="1">
      <c r="E340" s="28"/>
      <c r="I340" s="28"/>
      <c r="M340" s="28"/>
      <c r="Q340" s="28"/>
    </row>
    <row r="341" ht="15.75" customHeight="1">
      <c r="E341" s="28"/>
      <c r="I341" s="28"/>
      <c r="M341" s="28"/>
      <c r="Q341" s="28"/>
    </row>
    <row r="342" ht="15.75" customHeight="1">
      <c r="E342" s="28"/>
      <c r="I342" s="28"/>
      <c r="M342" s="28"/>
      <c r="Q342" s="28"/>
    </row>
    <row r="343" ht="15.75" customHeight="1">
      <c r="E343" s="28"/>
      <c r="I343" s="28"/>
      <c r="M343" s="28"/>
      <c r="Q343" s="28"/>
    </row>
    <row r="344" ht="15.75" customHeight="1">
      <c r="E344" s="28"/>
      <c r="I344" s="28"/>
      <c r="M344" s="28"/>
      <c r="Q344" s="28"/>
    </row>
    <row r="345" ht="15.75" customHeight="1">
      <c r="E345" s="28"/>
      <c r="I345" s="28"/>
      <c r="M345" s="28"/>
      <c r="Q345" s="28"/>
    </row>
    <row r="346" ht="15.75" customHeight="1">
      <c r="E346" s="28"/>
      <c r="I346" s="28"/>
      <c r="M346" s="28"/>
      <c r="Q346" s="28"/>
    </row>
    <row r="347" ht="15.75" customHeight="1">
      <c r="E347" s="28"/>
      <c r="I347" s="28"/>
      <c r="M347" s="28"/>
      <c r="Q347" s="28"/>
    </row>
    <row r="348" ht="15.75" customHeight="1">
      <c r="E348" s="28"/>
      <c r="I348" s="28"/>
      <c r="M348" s="28"/>
      <c r="Q348" s="28"/>
    </row>
    <row r="349" ht="15.75" customHeight="1">
      <c r="E349" s="28"/>
      <c r="I349" s="28"/>
      <c r="M349" s="28"/>
      <c r="Q349" s="28"/>
    </row>
    <row r="350" ht="15.75" customHeight="1">
      <c r="E350" s="28"/>
      <c r="I350" s="28"/>
      <c r="M350" s="28"/>
      <c r="Q350" s="28"/>
    </row>
    <row r="351" ht="15.75" customHeight="1">
      <c r="E351" s="28"/>
      <c r="I351" s="28"/>
      <c r="M351" s="28"/>
      <c r="Q351" s="28"/>
    </row>
    <row r="352" ht="15.75" customHeight="1">
      <c r="E352" s="28"/>
      <c r="I352" s="28"/>
      <c r="M352" s="28"/>
      <c r="Q352" s="28"/>
    </row>
    <row r="353" ht="15.75" customHeight="1">
      <c r="E353" s="28"/>
      <c r="I353" s="28"/>
      <c r="M353" s="28"/>
      <c r="Q353" s="28"/>
    </row>
    <row r="354" ht="15.75" customHeight="1">
      <c r="E354" s="28"/>
      <c r="I354" s="28"/>
      <c r="M354" s="28"/>
      <c r="Q354" s="28"/>
    </row>
    <row r="355" ht="15.75" customHeight="1">
      <c r="E355" s="28"/>
      <c r="I355" s="28"/>
      <c r="M355" s="28"/>
      <c r="Q355" s="28"/>
    </row>
    <row r="356" ht="15.75" customHeight="1">
      <c r="E356" s="28"/>
      <c r="I356" s="28"/>
      <c r="M356" s="28"/>
      <c r="Q356" s="28"/>
    </row>
    <row r="357" ht="15.75" customHeight="1">
      <c r="E357" s="28"/>
      <c r="I357" s="28"/>
      <c r="M357" s="28"/>
      <c r="Q357" s="28"/>
    </row>
    <row r="358" ht="15.75" customHeight="1">
      <c r="E358" s="28"/>
      <c r="I358" s="28"/>
      <c r="M358" s="28"/>
      <c r="Q358" s="28"/>
    </row>
    <row r="359" ht="15.75" customHeight="1">
      <c r="E359" s="28"/>
      <c r="I359" s="28"/>
      <c r="M359" s="28"/>
      <c r="Q359" s="28"/>
    </row>
    <row r="360" ht="15.75" customHeight="1">
      <c r="E360" s="28"/>
      <c r="I360" s="28"/>
      <c r="M360" s="28"/>
      <c r="Q360" s="28"/>
    </row>
    <row r="361" ht="15.75" customHeight="1">
      <c r="E361" s="28"/>
      <c r="I361" s="28"/>
      <c r="M361" s="28"/>
      <c r="Q361" s="28"/>
    </row>
    <row r="362" ht="15.75" customHeight="1">
      <c r="E362" s="28"/>
      <c r="I362" s="28"/>
      <c r="M362" s="28"/>
      <c r="Q362" s="28"/>
    </row>
    <row r="363" ht="15.75" customHeight="1">
      <c r="E363" s="28"/>
      <c r="I363" s="28"/>
      <c r="M363" s="28"/>
      <c r="Q363" s="28"/>
    </row>
    <row r="364" ht="15.75" customHeight="1">
      <c r="E364" s="28"/>
      <c r="I364" s="28"/>
      <c r="M364" s="28"/>
      <c r="Q364" s="28"/>
    </row>
    <row r="365" ht="15.75" customHeight="1">
      <c r="E365" s="28"/>
      <c r="I365" s="28"/>
      <c r="M365" s="28"/>
      <c r="Q365" s="28"/>
    </row>
    <row r="366" ht="15.75" customHeight="1">
      <c r="E366" s="28"/>
      <c r="I366" s="28"/>
      <c r="M366" s="28"/>
      <c r="Q366" s="28"/>
    </row>
    <row r="367" ht="15.75" customHeight="1">
      <c r="E367" s="28"/>
      <c r="I367" s="28"/>
      <c r="M367" s="28"/>
      <c r="Q367" s="28"/>
    </row>
    <row r="368" ht="15.75" customHeight="1">
      <c r="E368" s="28"/>
      <c r="I368" s="28"/>
      <c r="M368" s="28"/>
      <c r="Q368" s="28"/>
    </row>
    <row r="369" ht="15.75" customHeight="1">
      <c r="E369" s="28"/>
      <c r="I369" s="28"/>
      <c r="M369" s="28"/>
      <c r="Q369" s="28"/>
    </row>
    <row r="370" ht="15.75" customHeight="1">
      <c r="E370" s="28"/>
      <c r="I370" s="28"/>
      <c r="M370" s="28"/>
      <c r="Q370" s="28"/>
    </row>
    <row r="371" ht="15.75" customHeight="1">
      <c r="E371" s="28"/>
      <c r="I371" s="28"/>
      <c r="M371" s="28"/>
      <c r="Q371" s="28"/>
    </row>
    <row r="372" ht="15.75" customHeight="1">
      <c r="E372" s="28"/>
      <c r="I372" s="28"/>
      <c r="M372" s="28"/>
      <c r="Q372" s="28"/>
    </row>
    <row r="373" ht="15.75" customHeight="1">
      <c r="E373" s="28"/>
      <c r="I373" s="28"/>
      <c r="M373" s="28"/>
      <c r="Q373" s="28"/>
    </row>
    <row r="374" ht="15.75" customHeight="1">
      <c r="E374" s="28"/>
      <c r="I374" s="28"/>
      <c r="M374" s="28"/>
      <c r="Q374" s="28"/>
    </row>
    <row r="375" ht="15.75" customHeight="1">
      <c r="E375" s="28"/>
      <c r="I375" s="28"/>
      <c r="M375" s="28"/>
      <c r="Q375" s="28"/>
    </row>
    <row r="376" ht="15.75" customHeight="1">
      <c r="E376" s="28"/>
      <c r="I376" s="28"/>
      <c r="M376" s="28"/>
      <c r="Q376" s="28"/>
    </row>
    <row r="377" ht="15.75" customHeight="1">
      <c r="E377" s="28"/>
      <c r="I377" s="28"/>
      <c r="M377" s="28"/>
      <c r="Q377" s="28"/>
    </row>
    <row r="378" ht="15.75" customHeight="1">
      <c r="E378" s="28"/>
      <c r="I378" s="28"/>
      <c r="M378" s="28"/>
      <c r="Q378" s="28"/>
    </row>
    <row r="379" ht="15.75" customHeight="1">
      <c r="E379" s="28"/>
      <c r="I379" s="28"/>
      <c r="M379" s="28"/>
      <c r="Q379" s="28"/>
    </row>
    <row r="380" ht="15.75" customHeight="1">
      <c r="E380" s="28"/>
      <c r="I380" s="28"/>
      <c r="M380" s="28"/>
      <c r="Q380" s="28"/>
    </row>
    <row r="381" ht="15.75" customHeight="1">
      <c r="E381" s="28"/>
      <c r="I381" s="28"/>
      <c r="M381" s="28"/>
      <c r="Q381" s="28"/>
    </row>
    <row r="382" ht="15.75" customHeight="1">
      <c r="E382" s="28"/>
      <c r="I382" s="28"/>
      <c r="M382" s="28"/>
      <c r="Q382" s="28"/>
    </row>
    <row r="383" ht="15.75" customHeight="1">
      <c r="E383" s="28"/>
      <c r="I383" s="28"/>
      <c r="M383" s="28"/>
      <c r="Q383" s="28"/>
    </row>
    <row r="384" ht="15.75" customHeight="1">
      <c r="E384" s="28"/>
      <c r="I384" s="28"/>
      <c r="M384" s="28"/>
      <c r="Q384" s="28"/>
    </row>
    <row r="385" ht="15.75" customHeight="1">
      <c r="E385" s="28"/>
      <c r="I385" s="28"/>
      <c r="M385" s="28"/>
      <c r="Q385" s="28"/>
    </row>
    <row r="386" ht="15.75" customHeight="1">
      <c r="E386" s="28"/>
      <c r="I386" s="28"/>
      <c r="M386" s="28"/>
      <c r="Q386" s="28"/>
    </row>
    <row r="387" ht="15.75" customHeight="1">
      <c r="E387" s="28"/>
      <c r="I387" s="28"/>
      <c r="M387" s="28"/>
      <c r="Q387" s="28"/>
    </row>
    <row r="388" ht="15.75" customHeight="1">
      <c r="E388" s="28"/>
      <c r="I388" s="28"/>
      <c r="M388" s="28"/>
      <c r="Q388" s="28"/>
    </row>
    <row r="389" ht="15.75" customHeight="1">
      <c r="E389" s="28"/>
      <c r="I389" s="28"/>
      <c r="M389" s="28"/>
      <c r="Q389" s="28"/>
    </row>
    <row r="390" ht="15.75" customHeight="1">
      <c r="E390" s="28"/>
      <c r="I390" s="28"/>
      <c r="M390" s="28"/>
      <c r="Q390" s="28"/>
    </row>
    <row r="391" ht="15.75" customHeight="1">
      <c r="E391" s="28"/>
      <c r="I391" s="28"/>
      <c r="M391" s="28"/>
      <c r="Q391" s="28"/>
    </row>
    <row r="392" ht="15.75" customHeight="1">
      <c r="E392" s="28"/>
      <c r="I392" s="28"/>
      <c r="M392" s="28"/>
      <c r="Q392" s="28"/>
    </row>
    <row r="393" ht="15.75" customHeight="1">
      <c r="E393" s="28"/>
      <c r="I393" s="28"/>
      <c r="M393" s="28"/>
      <c r="Q393" s="28"/>
    </row>
    <row r="394" ht="15.75" customHeight="1">
      <c r="E394" s="28"/>
      <c r="I394" s="28"/>
      <c r="M394" s="28"/>
      <c r="Q394" s="28"/>
    </row>
    <row r="395" ht="15.75" customHeight="1">
      <c r="E395" s="28"/>
      <c r="I395" s="28"/>
      <c r="M395" s="28"/>
      <c r="Q395" s="28"/>
    </row>
    <row r="396" ht="15.75" customHeight="1">
      <c r="E396" s="28"/>
      <c r="I396" s="28"/>
      <c r="M396" s="28"/>
      <c r="Q396" s="28"/>
    </row>
    <row r="397" ht="15.75" customHeight="1">
      <c r="E397" s="28"/>
      <c r="I397" s="28"/>
      <c r="M397" s="28"/>
      <c r="Q397" s="28"/>
    </row>
    <row r="398" ht="15.75" customHeight="1">
      <c r="E398" s="28"/>
      <c r="I398" s="28"/>
      <c r="M398" s="28"/>
      <c r="Q398" s="28"/>
    </row>
    <row r="399" ht="15.75" customHeight="1">
      <c r="E399" s="28"/>
      <c r="I399" s="28"/>
      <c r="M399" s="28"/>
      <c r="Q399" s="28"/>
    </row>
    <row r="400" ht="15.75" customHeight="1">
      <c r="E400" s="28"/>
      <c r="I400" s="28"/>
      <c r="M400" s="28"/>
      <c r="Q400" s="28"/>
    </row>
    <row r="401" ht="15.75" customHeight="1">
      <c r="E401" s="28"/>
      <c r="I401" s="28"/>
      <c r="M401" s="28"/>
      <c r="Q401" s="28"/>
    </row>
    <row r="402" ht="15.75" customHeight="1">
      <c r="E402" s="28"/>
      <c r="I402" s="28"/>
      <c r="M402" s="28"/>
      <c r="Q402" s="28"/>
    </row>
    <row r="403" ht="15.75" customHeight="1">
      <c r="E403" s="28"/>
      <c r="I403" s="28"/>
      <c r="M403" s="28"/>
      <c r="Q403" s="28"/>
    </row>
    <row r="404" ht="15.75" customHeight="1">
      <c r="E404" s="28"/>
      <c r="I404" s="28"/>
      <c r="M404" s="28"/>
      <c r="Q404" s="28"/>
    </row>
    <row r="405" ht="15.75" customHeight="1">
      <c r="E405" s="28"/>
      <c r="I405" s="28"/>
      <c r="M405" s="28"/>
      <c r="Q405" s="28"/>
    </row>
    <row r="406" ht="15.75" customHeight="1">
      <c r="E406" s="28"/>
      <c r="I406" s="28"/>
      <c r="M406" s="28"/>
      <c r="Q406" s="28"/>
    </row>
    <row r="407" ht="15.75" customHeight="1">
      <c r="E407" s="28"/>
      <c r="I407" s="28"/>
      <c r="M407" s="28"/>
      <c r="Q407" s="28"/>
    </row>
    <row r="408" ht="15.75" customHeight="1">
      <c r="E408" s="28"/>
      <c r="I408" s="28"/>
      <c r="M408" s="28"/>
      <c r="Q408" s="28"/>
    </row>
    <row r="409" ht="15.75" customHeight="1">
      <c r="E409" s="28"/>
      <c r="I409" s="28"/>
      <c r="M409" s="28"/>
      <c r="Q409" s="28"/>
    </row>
    <row r="410" ht="15.75" customHeight="1">
      <c r="E410" s="28"/>
      <c r="I410" s="28"/>
      <c r="M410" s="28"/>
      <c r="Q410" s="28"/>
    </row>
    <row r="411" ht="15.75" customHeight="1">
      <c r="E411" s="28"/>
      <c r="I411" s="28"/>
      <c r="M411" s="28"/>
      <c r="Q411" s="28"/>
    </row>
    <row r="412" ht="15.75" customHeight="1">
      <c r="E412" s="28"/>
      <c r="I412" s="28"/>
      <c r="M412" s="28"/>
      <c r="Q412" s="28"/>
    </row>
    <row r="413" ht="15.75" customHeight="1">
      <c r="E413" s="28"/>
      <c r="I413" s="28"/>
      <c r="M413" s="28"/>
      <c r="Q413" s="28"/>
    </row>
    <row r="414" ht="15.75" customHeight="1">
      <c r="E414" s="28"/>
      <c r="I414" s="28"/>
      <c r="M414" s="28"/>
      <c r="Q414" s="28"/>
    </row>
    <row r="415" ht="15.75" customHeight="1">
      <c r="E415" s="28"/>
      <c r="I415" s="28"/>
      <c r="M415" s="28"/>
      <c r="Q415" s="28"/>
    </row>
    <row r="416" ht="15.75" customHeight="1">
      <c r="E416" s="28"/>
      <c r="I416" s="28"/>
      <c r="M416" s="28"/>
      <c r="Q416" s="28"/>
    </row>
    <row r="417" ht="15.75" customHeight="1">
      <c r="E417" s="28"/>
      <c r="I417" s="28"/>
      <c r="M417" s="28"/>
      <c r="Q417" s="28"/>
    </row>
    <row r="418" ht="15.75" customHeight="1">
      <c r="E418" s="28"/>
      <c r="I418" s="28"/>
      <c r="M418" s="28"/>
      <c r="Q418" s="28"/>
    </row>
    <row r="419" ht="15.75" customHeight="1">
      <c r="E419" s="28"/>
      <c r="I419" s="28"/>
      <c r="M419" s="28"/>
      <c r="Q419" s="28"/>
    </row>
    <row r="420" ht="15.75" customHeight="1">
      <c r="E420" s="28"/>
      <c r="I420" s="28"/>
      <c r="M420" s="28"/>
      <c r="Q420" s="28"/>
    </row>
    <row r="421" ht="15.75" customHeight="1">
      <c r="E421" s="28"/>
      <c r="I421" s="28"/>
      <c r="M421" s="28"/>
      <c r="Q421" s="28"/>
    </row>
    <row r="422" ht="15.75" customHeight="1">
      <c r="E422" s="28"/>
      <c r="I422" s="28"/>
      <c r="M422" s="28"/>
      <c r="Q422" s="28"/>
    </row>
    <row r="423" ht="15.75" customHeight="1">
      <c r="E423" s="28"/>
      <c r="I423" s="28"/>
      <c r="M423" s="28"/>
      <c r="Q423" s="28"/>
    </row>
    <row r="424" ht="15.75" customHeight="1">
      <c r="E424" s="28"/>
      <c r="I424" s="28"/>
      <c r="M424" s="28"/>
      <c r="Q424" s="28"/>
    </row>
    <row r="425" ht="15.75" customHeight="1">
      <c r="E425" s="28"/>
      <c r="I425" s="28"/>
      <c r="M425" s="28"/>
      <c r="Q425" s="28"/>
    </row>
    <row r="426" ht="15.75" customHeight="1">
      <c r="E426" s="28"/>
      <c r="I426" s="28"/>
      <c r="M426" s="28"/>
      <c r="Q426" s="28"/>
    </row>
    <row r="427" ht="15.75" customHeight="1">
      <c r="E427" s="28"/>
      <c r="I427" s="28"/>
      <c r="M427" s="28"/>
      <c r="Q427" s="28"/>
    </row>
    <row r="428" ht="15.75" customHeight="1">
      <c r="E428" s="28"/>
      <c r="I428" s="28"/>
      <c r="M428" s="28"/>
      <c r="Q428" s="28"/>
    </row>
    <row r="429" ht="15.75" customHeight="1">
      <c r="E429" s="28"/>
      <c r="I429" s="28"/>
      <c r="M429" s="28"/>
      <c r="Q429" s="28"/>
    </row>
    <row r="430" ht="15.75" customHeight="1">
      <c r="E430" s="28"/>
      <c r="I430" s="28"/>
      <c r="M430" s="28"/>
      <c r="Q430" s="28"/>
    </row>
    <row r="431" ht="15.75" customHeight="1">
      <c r="E431" s="28"/>
      <c r="I431" s="28"/>
      <c r="M431" s="28"/>
      <c r="Q431" s="28"/>
    </row>
    <row r="432" ht="15.75" customHeight="1">
      <c r="E432" s="28"/>
      <c r="I432" s="28"/>
      <c r="M432" s="28"/>
      <c r="Q432" s="28"/>
    </row>
    <row r="433" ht="15.75" customHeight="1">
      <c r="E433" s="28"/>
      <c r="I433" s="28"/>
      <c r="M433" s="28"/>
      <c r="Q433" s="28"/>
    </row>
    <row r="434" ht="15.75" customHeight="1">
      <c r="E434" s="28"/>
      <c r="I434" s="28"/>
      <c r="M434" s="28"/>
      <c r="Q434" s="28"/>
    </row>
    <row r="435" ht="15.75" customHeight="1">
      <c r="E435" s="28"/>
      <c r="I435" s="28"/>
      <c r="M435" s="28"/>
      <c r="Q435" s="28"/>
    </row>
    <row r="436" ht="15.75" customHeight="1">
      <c r="E436" s="28"/>
      <c r="I436" s="28"/>
      <c r="M436" s="28"/>
      <c r="Q436" s="28"/>
    </row>
    <row r="437" ht="15.75" customHeight="1">
      <c r="E437" s="28"/>
      <c r="I437" s="28"/>
      <c r="M437" s="28"/>
      <c r="Q437" s="28"/>
    </row>
    <row r="438" ht="15.75" customHeight="1">
      <c r="E438" s="28"/>
      <c r="I438" s="28"/>
      <c r="M438" s="28"/>
      <c r="Q438" s="28"/>
    </row>
    <row r="439" ht="15.75" customHeight="1">
      <c r="E439" s="28"/>
      <c r="I439" s="28"/>
      <c r="M439" s="28"/>
      <c r="Q439" s="28"/>
    </row>
    <row r="440" ht="15.75" customHeight="1">
      <c r="E440" s="28"/>
      <c r="I440" s="28"/>
      <c r="M440" s="28"/>
      <c r="Q440" s="28"/>
    </row>
    <row r="441" ht="15.75" customHeight="1">
      <c r="E441" s="28"/>
      <c r="I441" s="28"/>
      <c r="M441" s="28"/>
      <c r="Q441" s="28"/>
    </row>
    <row r="442" ht="15.75" customHeight="1">
      <c r="E442" s="28"/>
      <c r="I442" s="28"/>
      <c r="M442" s="28"/>
      <c r="Q442" s="28"/>
    </row>
    <row r="443" ht="15.75" customHeight="1">
      <c r="E443" s="28"/>
      <c r="I443" s="28"/>
      <c r="M443" s="28"/>
      <c r="Q443" s="28"/>
    </row>
    <row r="444" ht="15.75" customHeight="1">
      <c r="E444" s="28"/>
      <c r="I444" s="28"/>
      <c r="M444" s="28"/>
      <c r="Q444" s="28"/>
    </row>
    <row r="445" ht="15.75" customHeight="1">
      <c r="E445" s="28"/>
      <c r="I445" s="28"/>
      <c r="M445" s="28"/>
      <c r="Q445" s="28"/>
    </row>
    <row r="446" ht="15.75" customHeight="1">
      <c r="E446" s="28"/>
      <c r="I446" s="28"/>
      <c r="M446" s="28"/>
      <c r="Q446" s="28"/>
    </row>
    <row r="447" ht="15.75" customHeight="1">
      <c r="E447" s="28"/>
      <c r="I447" s="28"/>
      <c r="M447" s="28"/>
      <c r="Q447" s="28"/>
    </row>
    <row r="448" ht="15.75" customHeight="1">
      <c r="E448" s="28"/>
      <c r="I448" s="28"/>
      <c r="M448" s="28"/>
      <c r="Q448" s="28"/>
    </row>
    <row r="449" ht="15.75" customHeight="1">
      <c r="E449" s="28"/>
      <c r="I449" s="28"/>
      <c r="M449" s="28"/>
      <c r="Q449" s="28"/>
    </row>
    <row r="450" ht="15.75" customHeight="1">
      <c r="E450" s="28"/>
      <c r="I450" s="28"/>
      <c r="M450" s="28"/>
      <c r="Q450" s="28"/>
    </row>
    <row r="451" ht="15.75" customHeight="1">
      <c r="E451" s="28"/>
      <c r="I451" s="28"/>
      <c r="M451" s="28"/>
      <c r="Q451" s="28"/>
    </row>
    <row r="452" ht="15.75" customHeight="1">
      <c r="E452" s="28"/>
      <c r="I452" s="28"/>
      <c r="M452" s="28"/>
      <c r="Q452" s="28"/>
    </row>
    <row r="453" ht="15.75" customHeight="1">
      <c r="E453" s="28"/>
      <c r="I453" s="28"/>
      <c r="M453" s="28"/>
      <c r="Q453" s="28"/>
    </row>
    <row r="454" ht="15.75" customHeight="1">
      <c r="E454" s="28"/>
      <c r="I454" s="28"/>
      <c r="M454" s="28"/>
      <c r="Q454" s="28"/>
    </row>
    <row r="455" ht="15.75" customHeight="1">
      <c r="E455" s="28"/>
      <c r="I455" s="28"/>
      <c r="M455" s="28"/>
      <c r="Q455" s="28"/>
    </row>
    <row r="456" ht="15.75" customHeight="1">
      <c r="E456" s="28"/>
      <c r="I456" s="28"/>
      <c r="M456" s="28"/>
      <c r="Q456" s="28"/>
    </row>
    <row r="457" ht="15.75" customHeight="1">
      <c r="E457" s="28"/>
      <c r="I457" s="28"/>
      <c r="M457" s="28"/>
      <c r="Q457" s="28"/>
    </row>
    <row r="458" ht="15.75" customHeight="1">
      <c r="E458" s="28"/>
      <c r="I458" s="28"/>
      <c r="M458" s="28"/>
      <c r="Q458" s="28"/>
    </row>
    <row r="459" ht="15.75" customHeight="1">
      <c r="E459" s="28"/>
      <c r="I459" s="28"/>
      <c r="M459" s="28"/>
      <c r="Q459" s="28"/>
    </row>
    <row r="460" ht="15.75" customHeight="1">
      <c r="E460" s="28"/>
      <c r="I460" s="28"/>
      <c r="M460" s="28"/>
      <c r="Q460" s="28"/>
    </row>
    <row r="461" ht="15.75" customHeight="1">
      <c r="E461" s="28"/>
      <c r="I461" s="28"/>
      <c r="M461" s="28"/>
      <c r="Q461" s="28"/>
    </row>
    <row r="462" ht="15.75" customHeight="1">
      <c r="E462" s="28"/>
      <c r="I462" s="28"/>
      <c r="M462" s="28"/>
      <c r="Q462" s="28"/>
    </row>
    <row r="463" ht="15.75" customHeight="1">
      <c r="E463" s="28"/>
      <c r="I463" s="28"/>
      <c r="M463" s="28"/>
      <c r="Q463" s="28"/>
    </row>
    <row r="464" ht="15.75" customHeight="1">
      <c r="E464" s="28"/>
      <c r="I464" s="28"/>
      <c r="M464" s="28"/>
      <c r="Q464" s="28"/>
    </row>
    <row r="465" ht="15.75" customHeight="1">
      <c r="E465" s="28"/>
      <c r="I465" s="28"/>
      <c r="M465" s="28"/>
      <c r="Q465" s="28"/>
    </row>
    <row r="466" ht="15.75" customHeight="1">
      <c r="E466" s="28"/>
      <c r="I466" s="28"/>
      <c r="M466" s="28"/>
      <c r="Q466" s="28"/>
    </row>
    <row r="467" ht="15.75" customHeight="1">
      <c r="E467" s="28"/>
      <c r="I467" s="28"/>
      <c r="M467" s="28"/>
      <c r="Q467" s="28"/>
    </row>
    <row r="468" ht="15.75" customHeight="1">
      <c r="E468" s="28"/>
      <c r="I468" s="28"/>
      <c r="M468" s="28"/>
      <c r="Q468" s="28"/>
    </row>
    <row r="469" ht="15.75" customHeight="1">
      <c r="E469" s="28"/>
      <c r="I469" s="28"/>
      <c r="M469" s="28"/>
      <c r="Q469" s="28"/>
    </row>
    <row r="470" ht="15.75" customHeight="1">
      <c r="E470" s="28"/>
      <c r="I470" s="28"/>
      <c r="M470" s="28"/>
      <c r="Q470" s="28"/>
    </row>
    <row r="471" ht="15.75" customHeight="1">
      <c r="E471" s="28"/>
      <c r="I471" s="28"/>
      <c r="M471" s="28"/>
      <c r="Q471" s="28"/>
    </row>
    <row r="472" ht="15.75" customHeight="1">
      <c r="E472" s="28"/>
      <c r="I472" s="28"/>
      <c r="M472" s="28"/>
      <c r="Q472" s="28"/>
    </row>
    <row r="473" ht="15.75" customHeight="1">
      <c r="E473" s="28"/>
      <c r="I473" s="28"/>
      <c r="M473" s="28"/>
      <c r="Q473" s="28"/>
    </row>
    <row r="474" ht="15.75" customHeight="1">
      <c r="E474" s="28"/>
      <c r="I474" s="28"/>
      <c r="M474" s="28"/>
      <c r="Q474" s="28"/>
    </row>
    <row r="475" ht="15.75" customHeight="1">
      <c r="E475" s="28"/>
      <c r="I475" s="28"/>
      <c r="M475" s="28"/>
      <c r="Q475" s="28"/>
    </row>
    <row r="476" ht="15.75" customHeight="1">
      <c r="E476" s="28"/>
      <c r="I476" s="28"/>
      <c r="M476" s="28"/>
      <c r="Q476" s="28"/>
    </row>
    <row r="477" ht="15.75" customHeight="1">
      <c r="E477" s="28"/>
      <c r="I477" s="28"/>
      <c r="M477" s="28"/>
      <c r="Q477" s="28"/>
    </row>
    <row r="478" ht="15.75" customHeight="1">
      <c r="E478" s="28"/>
      <c r="I478" s="28"/>
      <c r="M478" s="28"/>
      <c r="Q478" s="28"/>
    </row>
    <row r="479" ht="15.75" customHeight="1">
      <c r="E479" s="28"/>
      <c r="I479" s="28"/>
      <c r="M479" s="28"/>
      <c r="Q479" s="28"/>
    </row>
    <row r="480" ht="15.75" customHeight="1">
      <c r="E480" s="28"/>
      <c r="I480" s="28"/>
      <c r="M480" s="28"/>
      <c r="Q480" s="28"/>
    </row>
    <row r="481" ht="15.75" customHeight="1">
      <c r="E481" s="28"/>
      <c r="I481" s="28"/>
      <c r="M481" s="28"/>
      <c r="Q481" s="28"/>
    </row>
    <row r="482" ht="15.75" customHeight="1">
      <c r="E482" s="28"/>
      <c r="I482" s="28"/>
      <c r="M482" s="28"/>
      <c r="Q482" s="28"/>
    </row>
    <row r="483" ht="15.75" customHeight="1">
      <c r="E483" s="28"/>
      <c r="I483" s="28"/>
      <c r="M483" s="28"/>
      <c r="Q483" s="28"/>
    </row>
    <row r="484" ht="15.75" customHeight="1">
      <c r="E484" s="28"/>
      <c r="I484" s="28"/>
      <c r="M484" s="28"/>
      <c r="Q484" s="28"/>
    </row>
    <row r="485" ht="15.75" customHeight="1">
      <c r="E485" s="28"/>
      <c r="I485" s="28"/>
      <c r="M485" s="28"/>
      <c r="Q485" s="28"/>
    </row>
    <row r="486" ht="15.75" customHeight="1">
      <c r="E486" s="28"/>
      <c r="I486" s="28"/>
      <c r="M486" s="28"/>
      <c r="Q486" s="28"/>
    </row>
    <row r="487" ht="15.75" customHeight="1">
      <c r="E487" s="28"/>
      <c r="I487" s="28"/>
      <c r="M487" s="28"/>
      <c r="Q487" s="28"/>
    </row>
    <row r="488" ht="15.75" customHeight="1">
      <c r="E488" s="28"/>
      <c r="I488" s="28"/>
      <c r="M488" s="28"/>
      <c r="Q488" s="28"/>
    </row>
    <row r="489" ht="15.75" customHeight="1">
      <c r="E489" s="28"/>
      <c r="I489" s="28"/>
      <c r="M489" s="28"/>
      <c r="Q489" s="28"/>
    </row>
    <row r="490" ht="15.75" customHeight="1">
      <c r="E490" s="28"/>
      <c r="I490" s="28"/>
      <c r="M490" s="28"/>
      <c r="Q490" s="28"/>
    </row>
    <row r="491" ht="15.75" customHeight="1">
      <c r="E491" s="28"/>
      <c r="I491" s="28"/>
      <c r="M491" s="28"/>
      <c r="Q491" s="28"/>
    </row>
    <row r="492" ht="15.75" customHeight="1">
      <c r="E492" s="28"/>
      <c r="I492" s="28"/>
      <c r="M492" s="28"/>
      <c r="Q492" s="28"/>
    </row>
    <row r="493" ht="15.75" customHeight="1">
      <c r="E493" s="28"/>
      <c r="I493" s="28"/>
      <c r="M493" s="28"/>
      <c r="Q493" s="28"/>
    </row>
    <row r="494" ht="15.75" customHeight="1">
      <c r="E494" s="28"/>
      <c r="I494" s="28"/>
      <c r="M494" s="28"/>
      <c r="Q494" s="28"/>
    </row>
    <row r="495" ht="15.75" customHeight="1">
      <c r="E495" s="28"/>
      <c r="I495" s="28"/>
      <c r="M495" s="28"/>
      <c r="Q495" s="28"/>
    </row>
    <row r="496" ht="15.75" customHeight="1">
      <c r="E496" s="28"/>
      <c r="I496" s="28"/>
      <c r="M496" s="28"/>
      <c r="Q496" s="28"/>
    </row>
    <row r="497" ht="15.75" customHeight="1">
      <c r="E497" s="28"/>
      <c r="I497" s="28"/>
      <c r="M497" s="28"/>
      <c r="Q497" s="28"/>
    </row>
    <row r="498" ht="15.75" customHeight="1">
      <c r="E498" s="28"/>
      <c r="I498" s="28"/>
      <c r="M498" s="28"/>
      <c r="Q498" s="28"/>
    </row>
    <row r="499" ht="15.75" customHeight="1">
      <c r="E499" s="28"/>
      <c r="I499" s="28"/>
      <c r="M499" s="28"/>
      <c r="Q499" s="28"/>
    </row>
    <row r="500" ht="15.75" customHeight="1">
      <c r="E500" s="28"/>
      <c r="I500" s="28"/>
      <c r="M500" s="28"/>
      <c r="Q500" s="28"/>
    </row>
    <row r="501" ht="15.75" customHeight="1">
      <c r="E501" s="28"/>
      <c r="I501" s="28"/>
      <c r="M501" s="28"/>
      <c r="Q501" s="28"/>
    </row>
    <row r="502" ht="15.75" customHeight="1">
      <c r="E502" s="28"/>
      <c r="I502" s="28"/>
      <c r="M502" s="28"/>
      <c r="Q502" s="28"/>
    </row>
    <row r="503" ht="15.75" customHeight="1">
      <c r="E503" s="28"/>
      <c r="I503" s="28"/>
      <c r="M503" s="28"/>
      <c r="Q503" s="28"/>
    </row>
    <row r="504" ht="15.75" customHeight="1">
      <c r="E504" s="28"/>
      <c r="I504" s="28"/>
      <c r="M504" s="28"/>
      <c r="Q504" s="28"/>
    </row>
    <row r="505" ht="15.75" customHeight="1">
      <c r="E505" s="28"/>
      <c r="I505" s="28"/>
      <c r="M505" s="28"/>
      <c r="Q505" s="28"/>
    </row>
    <row r="506" ht="15.75" customHeight="1">
      <c r="E506" s="28"/>
      <c r="I506" s="28"/>
      <c r="M506" s="28"/>
      <c r="Q506" s="28"/>
    </row>
    <row r="507" ht="15.75" customHeight="1">
      <c r="E507" s="28"/>
      <c r="I507" s="28"/>
      <c r="M507" s="28"/>
      <c r="Q507" s="28"/>
    </row>
    <row r="508" ht="15.75" customHeight="1">
      <c r="E508" s="28"/>
      <c r="I508" s="28"/>
      <c r="M508" s="28"/>
      <c r="Q508" s="28"/>
    </row>
    <row r="509" ht="15.75" customHeight="1">
      <c r="E509" s="28"/>
      <c r="I509" s="28"/>
      <c r="M509" s="28"/>
      <c r="Q509" s="28"/>
    </row>
    <row r="510" ht="15.75" customHeight="1">
      <c r="E510" s="28"/>
      <c r="I510" s="28"/>
      <c r="M510" s="28"/>
      <c r="Q510" s="28"/>
    </row>
    <row r="511" ht="15.75" customHeight="1">
      <c r="E511" s="28"/>
      <c r="I511" s="28"/>
      <c r="M511" s="28"/>
      <c r="Q511" s="28"/>
    </row>
    <row r="512" ht="15.75" customHeight="1">
      <c r="E512" s="28"/>
      <c r="I512" s="28"/>
      <c r="M512" s="28"/>
      <c r="Q512" s="28"/>
    </row>
    <row r="513" ht="15.75" customHeight="1">
      <c r="E513" s="28"/>
      <c r="I513" s="28"/>
      <c r="M513" s="28"/>
      <c r="Q513" s="28"/>
    </row>
    <row r="514" ht="15.75" customHeight="1">
      <c r="E514" s="28"/>
      <c r="I514" s="28"/>
      <c r="M514" s="28"/>
      <c r="Q514" s="28"/>
    </row>
    <row r="515" ht="15.75" customHeight="1">
      <c r="E515" s="28"/>
      <c r="I515" s="28"/>
      <c r="M515" s="28"/>
      <c r="Q515" s="28"/>
    </row>
    <row r="516" ht="15.75" customHeight="1">
      <c r="E516" s="28"/>
      <c r="I516" s="28"/>
      <c r="M516" s="28"/>
      <c r="Q516" s="28"/>
    </row>
    <row r="517" ht="15.75" customHeight="1">
      <c r="E517" s="28"/>
      <c r="I517" s="28"/>
      <c r="M517" s="28"/>
      <c r="Q517" s="28"/>
    </row>
    <row r="518" ht="15.75" customHeight="1">
      <c r="E518" s="28"/>
      <c r="I518" s="28"/>
      <c r="M518" s="28"/>
      <c r="Q518" s="28"/>
    </row>
    <row r="519" ht="15.75" customHeight="1">
      <c r="E519" s="28"/>
      <c r="I519" s="28"/>
      <c r="M519" s="28"/>
      <c r="Q519" s="28"/>
    </row>
    <row r="520" ht="15.75" customHeight="1">
      <c r="E520" s="28"/>
      <c r="I520" s="28"/>
      <c r="M520" s="28"/>
      <c r="Q520" s="28"/>
    </row>
    <row r="521" ht="15.75" customHeight="1">
      <c r="E521" s="28"/>
      <c r="I521" s="28"/>
      <c r="M521" s="28"/>
      <c r="Q521" s="28"/>
    </row>
    <row r="522" ht="15.75" customHeight="1">
      <c r="E522" s="28"/>
      <c r="I522" s="28"/>
      <c r="M522" s="28"/>
      <c r="Q522" s="28"/>
    </row>
    <row r="523" ht="15.75" customHeight="1">
      <c r="E523" s="28"/>
      <c r="I523" s="28"/>
      <c r="M523" s="28"/>
      <c r="Q523" s="28"/>
    </row>
    <row r="524" ht="15.75" customHeight="1">
      <c r="E524" s="28"/>
      <c r="I524" s="28"/>
      <c r="M524" s="28"/>
      <c r="Q524" s="28"/>
    </row>
    <row r="525" ht="15.75" customHeight="1">
      <c r="E525" s="28"/>
      <c r="I525" s="28"/>
      <c r="M525" s="28"/>
      <c r="Q525" s="28"/>
    </row>
    <row r="526" ht="15.75" customHeight="1">
      <c r="E526" s="28"/>
      <c r="I526" s="28"/>
      <c r="M526" s="28"/>
      <c r="Q526" s="28"/>
    </row>
    <row r="527" ht="15.75" customHeight="1">
      <c r="E527" s="28"/>
      <c r="I527" s="28"/>
      <c r="M527" s="28"/>
      <c r="Q527" s="28"/>
    </row>
    <row r="528" ht="15.75" customHeight="1">
      <c r="E528" s="28"/>
      <c r="I528" s="28"/>
      <c r="M528" s="28"/>
      <c r="Q528" s="28"/>
    </row>
    <row r="529" ht="15.75" customHeight="1">
      <c r="E529" s="28"/>
      <c r="I529" s="28"/>
      <c r="M529" s="28"/>
      <c r="Q529" s="28"/>
    </row>
    <row r="530" ht="15.75" customHeight="1">
      <c r="E530" s="28"/>
      <c r="I530" s="28"/>
      <c r="M530" s="28"/>
      <c r="Q530" s="28"/>
    </row>
    <row r="531" ht="15.75" customHeight="1">
      <c r="E531" s="28"/>
      <c r="I531" s="28"/>
      <c r="M531" s="28"/>
      <c r="Q531" s="28"/>
    </row>
    <row r="532" ht="15.75" customHeight="1">
      <c r="E532" s="28"/>
      <c r="I532" s="28"/>
      <c r="M532" s="28"/>
      <c r="Q532" s="28"/>
    </row>
    <row r="533" ht="15.75" customHeight="1">
      <c r="E533" s="28"/>
      <c r="I533" s="28"/>
      <c r="M533" s="28"/>
      <c r="Q533" s="28"/>
    </row>
    <row r="534" ht="15.75" customHeight="1">
      <c r="E534" s="28"/>
      <c r="I534" s="28"/>
      <c r="M534" s="28"/>
      <c r="Q534" s="28"/>
    </row>
    <row r="535" ht="15.75" customHeight="1">
      <c r="E535" s="28"/>
      <c r="I535" s="28"/>
      <c r="M535" s="28"/>
      <c r="Q535" s="28"/>
    </row>
    <row r="536" ht="15.75" customHeight="1">
      <c r="E536" s="28"/>
      <c r="I536" s="28"/>
      <c r="M536" s="28"/>
      <c r="Q536" s="28"/>
    </row>
    <row r="537" ht="15.75" customHeight="1">
      <c r="E537" s="28"/>
      <c r="I537" s="28"/>
      <c r="M537" s="28"/>
      <c r="Q537" s="28"/>
    </row>
    <row r="538" ht="15.75" customHeight="1">
      <c r="E538" s="28"/>
      <c r="I538" s="28"/>
      <c r="M538" s="28"/>
      <c r="Q538" s="28"/>
    </row>
    <row r="539" ht="15.75" customHeight="1">
      <c r="E539" s="28"/>
      <c r="I539" s="28"/>
      <c r="M539" s="28"/>
      <c r="Q539" s="28"/>
    </row>
    <row r="540" ht="15.75" customHeight="1">
      <c r="E540" s="28"/>
      <c r="I540" s="28"/>
      <c r="M540" s="28"/>
      <c r="Q540" s="28"/>
    </row>
    <row r="541" ht="15.75" customHeight="1">
      <c r="E541" s="28"/>
      <c r="I541" s="28"/>
      <c r="M541" s="28"/>
      <c r="Q541" s="28"/>
    </row>
    <row r="542" ht="15.75" customHeight="1">
      <c r="E542" s="28"/>
      <c r="I542" s="28"/>
      <c r="M542" s="28"/>
      <c r="Q542" s="28"/>
    </row>
    <row r="543" ht="15.75" customHeight="1">
      <c r="E543" s="28"/>
      <c r="I543" s="28"/>
      <c r="M543" s="28"/>
      <c r="Q543" s="28"/>
    </row>
    <row r="544" ht="15.75" customHeight="1">
      <c r="E544" s="28"/>
      <c r="I544" s="28"/>
      <c r="M544" s="28"/>
      <c r="Q544" s="28"/>
    </row>
    <row r="545" ht="15.75" customHeight="1">
      <c r="E545" s="28"/>
      <c r="I545" s="28"/>
      <c r="M545" s="28"/>
      <c r="Q545" s="28"/>
    </row>
    <row r="546" ht="15.75" customHeight="1">
      <c r="E546" s="28"/>
      <c r="I546" s="28"/>
      <c r="M546" s="28"/>
      <c r="Q546" s="28"/>
    </row>
    <row r="547" ht="15.75" customHeight="1">
      <c r="E547" s="28"/>
      <c r="I547" s="28"/>
      <c r="M547" s="28"/>
      <c r="Q547" s="28"/>
    </row>
    <row r="548" ht="15.75" customHeight="1">
      <c r="E548" s="28"/>
      <c r="I548" s="28"/>
      <c r="M548" s="28"/>
      <c r="Q548" s="28"/>
    </row>
    <row r="549" ht="15.75" customHeight="1">
      <c r="E549" s="28"/>
      <c r="I549" s="28"/>
      <c r="M549" s="28"/>
      <c r="Q549" s="28"/>
    </row>
    <row r="550" ht="15.75" customHeight="1">
      <c r="E550" s="28"/>
      <c r="I550" s="28"/>
      <c r="M550" s="28"/>
      <c r="Q550" s="28"/>
    </row>
    <row r="551" ht="15.75" customHeight="1">
      <c r="E551" s="28"/>
      <c r="I551" s="28"/>
      <c r="M551" s="28"/>
      <c r="Q551" s="28"/>
    </row>
    <row r="552" ht="15.75" customHeight="1">
      <c r="E552" s="28"/>
      <c r="I552" s="28"/>
      <c r="M552" s="28"/>
      <c r="Q552" s="28"/>
    </row>
    <row r="553" ht="15.75" customHeight="1">
      <c r="E553" s="28"/>
      <c r="I553" s="28"/>
      <c r="M553" s="28"/>
      <c r="Q553" s="28"/>
    </row>
    <row r="554" ht="15.75" customHeight="1">
      <c r="E554" s="28"/>
      <c r="I554" s="28"/>
      <c r="M554" s="28"/>
      <c r="Q554" s="28"/>
    </row>
    <row r="555" ht="15.75" customHeight="1">
      <c r="E555" s="28"/>
      <c r="I555" s="28"/>
      <c r="M555" s="28"/>
      <c r="Q555" s="28"/>
    </row>
    <row r="556" ht="15.75" customHeight="1">
      <c r="E556" s="28"/>
      <c r="I556" s="28"/>
      <c r="M556" s="28"/>
      <c r="Q556" s="28"/>
    </row>
    <row r="557" ht="15.75" customHeight="1">
      <c r="E557" s="28"/>
      <c r="I557" s="28"/>
      <c r="M557" s="28"/>
      <c r="Q557" s="28"/>
    </row>
    <row r="558" ht="15.75" customHeight="1">
      <c r="E558" s="28"/>
      <c r="I558" s="28"/>
      <c r="M558" s="28"/>
      <c r="Q558" s="28"/>
    </row>
    <row r="559" ht="15.75" customHeight="1">
      <c r="E559" s="28"/>
      <c r="I559" s="28"/>
      <c r="M559" s="28"/>
      <c r="Q559" s="28"/>
    </row>
    <row r="560" ht="15.75" customHeight="1">
      <c r="E560" s="28"/>
      <c r="I560" s="28"/>
      <c r="M560" s="28"/>
      <c r="Q560" s="28"/>
    </row>
    <row r="561" ht="15.75" customHeight="1">
      <c r="E561" s="28"/>
      <c r="I561" s="28"/>
      <c r="M561" s="28"/>
      <c r="Q561" s="28"/>
    </row>
    <row r="562" ht="15.75" customHeight="1">
      <c r="E562" s="28"/>
      <c r="I562" s="28"/>
      <c r="M562" s="28"/>
      <c r="Q562" s="28"/>
    </row>
    <row r="563" ht="15.75" customHeight="1">
      <c r="E563" s="28"/>
      <c r="I563" s="28"/>
      <c r="M563" s="28"/>
      <c r="Q563" s="28"/>
    </row>
    <row r="564" ht="15.75" customHeight="1">
      <c r="E564" s="28"/>
      <c r="I564" s="28"/>
      <c r="M564" s="28"/>
      <c r="Q564" s="28"/>
    </row>
    <row r="565" ht="15.75" customHeight="1">
      <c r="E565" s="28"/>
      <c r="I565" s="28"/>
      <c r="M565" s="28"/>
      <c r="Q565" s="28"/>
    </row>
    <row r="566" ht="15.75" customHeight="1">
      <c r="E566" s="28"/>
      <c r="I566" s="28"/>
      <c r="M566" s="28"/>
      <c r="Q566" s="28"/>
    </row>
    <row r="567" ht="15.75" customHeight="1">
      <c r="E567" s="28"/>
      <c r="I567" s="28"/>
      <c r="M567" s="28"/>
      <c r="Q567" s="28"/>
    </row>
    <row r="568" ht="15.75" customHeight="1">
      <c r="E568" s="28"/>
      <c r="I568" s="28"/>
      <c r="M568" s="28"/>
      <c r="Q568" s="28"/>
    </row>
    <row r="569" ht="15.75" customHeight="1">
      <c r="E569" s="28"/>
      <c r="I569" s="28"/>
      <c r="M569" s="28"/>
      <c r="Q569" s="28"/>
    </row>
    <row r="570" ht="15.75" customHeight="1">
      <c r="E570" s="28"/>
      <c r="I570" s="28"/>
      <c r="M570" s="28"/>
      <c r="Q570" s="28"/>
    </row>
    <row r="571" ht="15.75" customHeight="1">
      <c r="E571" s="28"/>
      <c r="I571" s="28"/>
      <c r="M571" s="28"/>
      <c r="Q571" s="28"/>
    </row>
    <row r="572" ht="15.75" customHeight="1">
      <c r="E572" s="28"/>
      <c r="I572" s="28"/>
      <c r="M572" s="28"/>
      <c r="Q572" s="28"/>
    </row>
    <row r="573" ht="15.75" customHeight="1">
      <c r="E573" s="28"/>
      <c r="I573" s="28"/>
      <c r="M573" s="28"/>
      <c r="Q573" s="28"/>
    </row>
    <row r="574" ht="15.75" customHeight="1">
      <c r="E574" s="28"/>
      <c r="I574" s="28"/>
      <c r="M574" s="28"/>
      <c r="Q574" s="28"/>
    </row>
    <row r="575" ht="15.75" customHeight="1">
      <c r="E575" s="28"/>
      <c r="I575" s="28"/>
      <c r="M575" s="28"/>
      <c r="Q575" s="28"/>
    </row>
    <row r="576" ht="15.75" customHeight="1">
      <c r="E576" s="28"/>
      <c r="I576" s="28"/>
      <c r="M576" s="28"/>
      <c r="Q576" s="28"/>
    </row>
    <row r="577" ht="15.75" customHeight="1">
      <c r="E577" s="28"/>
      <c r="I577" s="28"/>
      <c r="M577" s="28"/>
      <c r="Q577" s="28"/>
    </row>
    <row r="578" ht="15.75" customHeight="1">
      <c r="E578" s="28"/>
      <c r="I578" s="28"/>
      <c r="M578" s="28"/>
      <c r="Q578" s="28"/>
    </row>
    <row r="579" ht="15.75" customHeight="1">
      <c r="E579" s="28"/>
      <c r="I579" s="28"/>
      <c r="M579" s="28"/>
      <c r="Q579" s="28"/>
    </row>
    <row r="580" ht="15.75" customHeight="1">
      <c r="E580" s="28"/>
      <c r="I580" s="28"/>
      <c r="M580" s="28"/>
      <c r="Q580" s="28"/>
    </row>
    <row r="581" ht="15.75" customHeight="1">
      <c r="E581" s="28"/>
      <c r="I581" s="28"/>
      <c r="M581" s="28"/>
      <c r="Q581" s="28"/>
    </row>
    <row r="582" ht="15.75" customHeight="1">
      <c r="E582" s="28"/>
      <c r="I582" s="28"/>
      <c r="M582" s="28"/>
      <c r="Q582" s="28"/>
    </row>
    <row r="583" ht="15.75" customHeight="1">
      <c r="E583" s="28"/>
      <c r="I583" s="28"/>
      <c r="M583" s="28"/>
      <c r="Q583" s="28"/>
    </row>
    <row r="584" ht="15.75" customHeight="1">
      <c r="E584" s="28"/>
      <c r="I584" s="28"/>
      <c r="M584" s="28"/>
      <c r="Q584" s="28"/>
    </row>
    <row r="585" ht="15.75" customHeight="1">
      <c r="E585" s="28"/>
      <c r="I585" s="28"/>
      <c r="M585" s="28"/>
      <c r="Q585" s="28"/>
    </row>
    <row r="586" ht="15.75" customHeight="1">
      <c r="E586" s="28"/>
      <c r="I586" s="28"/>
      <c r="M586" s="28"/>
      <c r="Q586" s="28"/>
    </row>
    <row r="587" ht="15.75" customHeight="1">
      <c r="E587" s="28"/>
      <c r="I587" s="28"/>
      <c r="M587" s="28"/>
      <c r="Q587" s="28"/>
    </row>
    <row r="588" ht="15.75" customHeight="1">
      <c r="E588" s="28"/>
      <c r="I588" s="28"/>
      <c r="M588" s="28"/>
      <c r="Q588" s="28"/>
    </row>
    <row r="589" ht="15.75" customHeight="1">
      <c r="E589" s="28"/>
      <c r="I589" s="28"/>
      <c r="M589" s="28"/>
      <c r="Q589" s="28"/>
    </row>
    <row r="590" ht="15.75" customHeight="1">
      <c r="E590" s="28"/>
      <c r="I590" s="28"/>
      <c r="M590" s="28"/>
      <c r="Q590" s="28"/>
    </row>
    <row r="591" ht="15.75" customHeight="1">
      <c r="E591" s="28"/>
      <c r="I591" s="28"/>
      <c r="M591" s="28"/>
      <c r="Q591" s="28"/>
    </row>
    <row r="592" ht="15.75" customHeight="1">
      <c r="E592" s="28"/>
      <c r="I592" s="28"/>
      <c r="M592" s="28"/>
      <c r="Q592" s="28"/>
    </row>
    <row r="593" ht="15.75" customHeight="1">
      <c r="E593" s="28"/>
      <c r="I593" s="28"/>
      <c r="M593" s="28"/>
      <c r="Q593" s="28"/>
    </row>
    <row r="594" ht="15.75" customHeight="1">
      <c r="E594" s="28"/>
      <c r="I594" s="28"/>
      <c r="M594" s="28"/>
      <c r="Q594" s="28"/>
    </row>
    <row r="595" ht="15.75" customHeight="1">
      <c r="E595" s="28"/>
      <c r="I595" s="28"/>
      <c r="M595" s="28"/>
      <c r="Q595" s="28"/>
    </row>
    <row r="596" ht="15.75" customHeight="1">
      <c r="E596" s="28"/>
      <c r="I596" s="28"/>
      <c r="M596" s="28"/>
      <c r="Q596" s="28"/>
    </row>
    <row r="597" ht="15.75" customHeight="1">
      <c r="E597" s="28"/>
      <c r="I597" s="28"/>
      <c r="M597" s="28"/>
      <c r="Q597" s="28"/>
    </row>
    <row r="598" ht="15.75" customHeight="1">
      <c r="E598" s="28"/>
      <c r="I598" s="28"/>
      <c r="M598" s="28"/>
      <c r="Q598" s="28"/>
    </row>
    <row r="599" ht="15.75" customHeight="1">
      <c r="E599" s="28"/>
      <c r="I599" s="28"/>
      <c r="M599" s="28"/>
      <c r="Q599" s="28"/>
    </row>
    <row r="600" ht="15.75" customHeight="1">
      <c r="E600" s="28"/>
      <c r="I600" s="28"/>
      <c r="M600" s="28"/>
      <c r="Q600" s="28"/>
    </row>
    <row r="601" ht="15.75" customHeight="1">
      <c r="E601" s="28"/>
      <c r="I601" s="28"/>
      <c r="M601" s="28"/>
      <c r="Q601" s="28"/>
    </row>
    <row r="602" ht="15.75" customHeight="1">
      <c r="E602" s="28"/>
      <c r="I602" s="28"/>
      <c r="M602" s="28"/>
      <c r="Q602" s="28"/>
    </row>
    <row r="603" ht="15.75" customHeight="1">
      <c r="E603" s="28"/>
      <c r="I603" s="28"/>
      <c r="M603" s="28"/>
      <c r="Q603" s="28"/>
    </row>
    <row r="604" ht="15.75" customHeight="1">
      <c r="E604" s="28"/>
      <c r="I604" s="28"/>
      <c r="M604" s="28"/>
      <c r="Q604" s="28"/>
    </row>
    <row r="605" ht="15.75" customHeight="1">
      <c r="E605" s="28"/>
      <c r="I605" s="28"/>
      <c r="M605" s="28"/>
      <c r="Q605" s="28"/>
    </row>
    <row r="606" ht="15.75" customHeight="1">
      <c r="E606" s="28"/>
      <c r="I606" s="28"/>
      <c r="M606" s="28"/>
      <c r="Q606" s="28"/>
    </row>
    <row r="607" ht="15.75" customHeight="1">
      <c r="E607" s="28"/>
      <c r="I607" s="28"/>
      <c r="M607" s="28"/>
      <c r="Q607" s="28"/>
    </row>
    <row r="608" ht="15.75" customHeight="1">
      <c r="E608" s="28"/>
      <c r="I608" s="28"/>
      <c r="M608" s="28"/>
      <c r="Q608" s="28"/>
    </row>
    <row r="609" ht="15.75" customHeight="1">
      <c r="E609" s="28"/>
      <c r="I609" s="28"/>
      <c r="M609" s="28"/>
      <c r="Q609" s="28"/>
    </row>
    <row r="610" ht="15.75" customHeight="1">
      <c r="E610" s="28"/>
      <c r="I610" s="28"/>
      <c r="M610" s="28"/>
      <c r="Q610" s="28"/>
    </row>
    <row r="611" ht="15.75" customHeight="1">
      <c r="E611" s="28"/>
      <c r="I611" s="28"/>
      <c r="M611" s="28"/>
      <c r="Q611" s="28"/>
    </row>
    <row r="612" ht="15.75" customHeight="1">
      <c r="E612" s="28"/>
      <c r="I612" s="28"/>
      <c r="M612" s="28"/>
      <c r="Q612" s="28"/>
    </row>
    <row r="613" ht="15.75" customHeight="1">
      <c r="E613" s="28"/>
      <c r="I613" s="28"/>
      <c r="M613" s="28"/>
      <c r="Q613" s="28"/>
    </row>
    <row r="614" ht="15.75" customHeight="1">
      <c r="E614" s="28"/>
      <c r="I614" s="28"/>
      <c r="M614" s="28"/>
      <c r="Q614" s="28"/>
    </row>
    <row r="615" ht="15.75" customHeight="1">
      <c r="E615" s="28"/>
      <c r="I615" s="28"/>
      <c r="M615" s="28"/>
      <c r="Q615" s="28"/>
    </row>
    <row r="616" ht="15.75" customHeight="1">
      <c r="E616" s="28"/>
      <c r="I616" s="28"/>
      <c r="M616" s="28"/>
      <c r="Q616" s="28"/>
    </row>
    <row r="617" ht="15.75" customHeight="1">
      <c r="E617" s="28"/>
      <c r="I617" s="28"/>
      <c r="M617" s="28"/>
      <c r="Q617" s="28"/>
    </row>
    <row r="618" ht="15.75" customHeight="1">
      <c r="E618" s="28"/>
      <c r="I618" s="28"/>
      <c r="M618" s="28"/>
      <c r="Q618" s="28"/>
    </row>
    <row r="619" ht="15.75" customHeight="1">
      <c r="E619" s="28"/>
      <c r="I619" s="28"/>
      <c r="M619" s="28"/>
      <c r="Q619" s="28"/>
    </row>
    <row r="620" ht="15.75" customHeight="1">
      <c r="E620" s="28"/>
      <c r="I620" s="28"/>
      <c r="M620" s="28"/>
      <c r="Q620" s="28"/>
    </row>
    <row r="621" ht="15.75" customHeight="1">
      <c r="E621" s="28"/>
      <c r="I621" s="28"/>
      <c r="M621" s="28"/>
      <c r="Q621" s="28"/>
    </row>
    <row r="622" ht="15.75" customHeight="1">
      <c r="E622" s="28"/>
      <c r="I622" s="28"/>
      <c r="M622" s="28"/>
      <c r="Q622" s="28"/>
    </row>
    <row r="623" ht="15.75" customHeight="1">
      <c r="E623" s="28"/>
      <c r="I623" s="28"/>
      <c r="M623" s="28"/>
      <c r="Q623" s="28"/>
    </row>
    <row r="624" ht="15.75" customHeight="1">
      <c r="E624" s="28"/>
      <c r="I624" s="28"/>
      <c r="M624" s="28"/>
      <c r="Q624" s="28"/>
    </row>
    <row r="625" ht="15.75" customHeight="1">
      <c r="E625" s="28"/>
      <c r="I625" s="28"/>
      <c r="M625" s="28"/>
      <c r="Q625" s="28"/>
    </row>
    <row r="626" ht="15.75" customHeight="1">
      <c r="E626" s="28"/>
      <c r="I626" s="28"/>
      <c r="M626" s="28"/>
      <c r="Q626" s="28"/>
    </row>
    <row r="627" ht="15.75" customHeight="1">
      <c r="E627" s="28"/>
      <c r="I627" s="28"/>
      <c r="M627" s="28"/>
      <c r="Q627" s="28"/>
    </row>
    <row r="628" ht="15.75" customHeight="1">
      <c r="E628" s="28"/>
      <c r="I628" s="28"/>
      <c r="M628" s="28"/>
      <c r="Q628" s="28"/>
    </row>
    <row r="629" ht="15.75" customHeight="1">
      <c r="E629" s="28"/>
      <c r="I629" s="28"/>
      <c r="M629" s="28"/>
      <c r="Q629" s="28"/>
    </row>
    <row r="630" ht="15.75" customHeight="1">
      <c r="E630" s="28"/>
      <c r="I630" s="28"/>
      <c r="M630" s="28"/>
      <c r="Q630" s="28"/>
    </row>
    <row r="631" ht="15.75" customHeight="1">
      <c r="E631" s="28"/>
      <c r="I631" s="28"/>
      <c r="M631" s="28"/>
      <c r="Q631" s="28"/>
    </row>
    <row r="632" ht="15.75" customHeight="1">
      <c r="E632" s="28"/>
      <c r="I632" s="28"/>
      <c r="M632" s="28"/>
      <c r="Q632" s="28"/>
    </row>
    <row r="633" ht="15.75" customHeight="1">
      <c r="E633" s="28"/>
      <c r="I633" s="28"/>
      <c r="M633" s="28"/>
      <c r="Q633" s="28"/>
    </row>
    <row r="634" ht="15.75" customHeight="1">
      <c r="E634" s="28"/>
      <c r="I634" s="28"/>
      <c r="M634" s="28"/>
      <c r="Q634" s="28"/>
    </row>
    <row r="635" ht="15.75" customHeight="1">
      <c r="E635" s="28"/>
      <c r="I635" s="28"/>
      <c r="M635" s="28"/>
      <c r="Q635" s="28"/>
    </row>
    <row r="636" ht="15.75" customHeight="1">
      <c r="E636" s="28"/>
      <c r="I636" s="28"/>
      <c r="M636" s="28"/>
      <c r="Q636" s="28"/>
    </row>
    <row r="637" ht="15.75" customHeight="1">
      <c r="E637" s="28"/>
      <c r="I637" s="28"/>
      <c r="M637" s="28"/>
      <c r="Q637" s="28"/>
    </row>
    <row r="638" ht="15.75" customHeight="1">
      <c r="E638" s="28"/>
      <c r="I638" s="28"/>
      <c r="M638" s="28"/>
      <c r="Q638" s="28"/>
    </row>
    <row r="639" ht="15.75" customHeight="1">
      <c r="E639" s="28"/>
      <c r="I639" s="28"/>
      <c r="M639" s="28"/>
      <c r="Q639" s="28"/>
    </row>
    <row r="640" ht="15.75" customHeight="1">
      <c r="E640" s="28"/>
      <c r="I640" s="28"/>
      <c r="M640" s="28"/>
      <c r="Q640" s="28"/>
    </row>
    <row r="641" ht="15.75" customHeight="1">
      <c r="E641" s="28"/>
      <c r="I641" s="28"/>
      <c r="M641" s="28"/>
      <c r="Q641" s="28"/>
    </row>
    <row r="642" ht="15.75" customHeight="1">
      <c r="E642" s="28"/>
      <c r="I642" s="28"/>
      <c r="M642" s="28"/>
      <c r="Q642" s="28"/>
    </row>
    <row r="643" ht="15.75" customHeight="1">
      <c r="E643" s="28"/>
      <c r="I643" s="28"/>
      <c r="M643" s="28"/>
      <c r="Q643" s="28"/>
    </row>
    <row r="644" ht="15.75" customHeight="1">
      <c r="E644" s="28"/>
      <c r="I644" s="28"/>
      <c r="M644" s="28"/>
      <c r="Q644" s="28"/>
    </row>
    <row r="645" ht="15.75" customHeight="1">
      <c r="E645" s="28"/>
      <c r="I645" s="28"/>
      <c r="M645" s="28"/>
      <c r="Q645" s="28"/>
    </row>
    <row r="646" ht="15.75" customHeight="1">
      <c r="E646" s="28"/>
      <c r="I646" s="28"/>
      <c r="M646" s="28"/>
      <c r="Q646" s="28"/>
    </row>
    <row r="647" ht="15.75" customHeight="1">
      <c r="E647" s="28"/>
      <c r="I647" s="28"/>
      <c r="M647" s="28"/>
      <c r="Q647" s="28"/>
    </row>
    <row r="648" ht="15.75" customHeight="1">
      <c r="E648" s="28"/>
      <c r="I648" s="28"/>
      <c r="M648" s="28"/>
      <c r="Q648" s="28"/>
    </row>
    <row r="649" ht="15.75" customHeight="1">
      <c r="E649" s="28"/>
      <c r="I649" s="28"/>
      <c r="M649" s="28"/>
      <c r="Q649" s="28"/>
    </row>
    <row r="650" ht="15.75" customHeight="1">
      <c r="E650" s="28"/>
      <c r="I650" s="28"/>
      <c r="M650" s="28"/>
      <c r="Q650" s="28"/>
    </row>
    <row r="651" ht="15.75" customHeight="1">
      <c r="E651" s="28"/>
      <c r="I651" s="28"/>
      <c r="M651" s="28"/>
      <c r="Q651" s="28"/>
    </row>
    <row r="652" ht="15.75" customHeight="1">
      <c r="E652" s="28"/>
      <c r="I652" s="28"/>
      <c r="M652" s="28"/>
      <c r="Q652" s="28"/>
    </row>
    <row r="653" ht="15.75" customHeight="1">
      <c r="E653" s="28"/>
      <c r="I653" s="28"/>
      <c r="M653" s="28"/>
      <c r="Q653" s="28"/>
    </row>
    <row r="654" ht="15.75" customHeight="1">
      <c r="E654" s="28"/>
      <c r="I654" s="28"/>
      <c r="M654" s="28"/>
      <c r="Q654" s="28"/>
    </row>
    <row r="655" ht="15.75" customHeight="1">
      <c r="E655" s="28"/>
      <c r="I655" s="28"/>
      <c r="M655" s="28"/>
      <c r="Q655" s="28"/>
    </row>
    <row r="656" ht="15.75" customHeight="1">
      <c r="E656" s="28"/>
      <c r="I656" s="28"/>
      <c r="M656" s="28"/>
      <c r="Q656" s="28"/>
    </row>
    <row r="657" ht="15.75" customHeight="1">
      <c r="E657" s="28"/>
      <c r="I657" s="28"/>
      <c r="M657" s="28"/>
      <c r="Q657" s="28"/>
    </row>
    <row r="658" ht="15.75" customHeight="1">
      <c r="E658" s="28"/>
      <c r="I658" s="28"/>
      <c r="M658" s="28"/>
      <c r="Q658" s="28"/>
    </row>
    <row r="659" ht="15.75" customHeight="1">
      <c r="E659" s="28"/>
      <c r="I659" s="28"/>
      <c r="M659" s="28"/>
      <c r="Q659" s="28"/>
    </row>
    <row r="660" ht="15.75" customHeight="1">
      <c r="E660" s="28"/>
      <c r="I660" s="28"/>
      <c r="M660" s="28"/>
      <c r="Q660" s="28"/>
    </row>
    <row r="661" ht="15.75" customHeight="1">
      <c r="E661" s="28"/>
      <c r="I661" s="28"/>
      <c r="M661" s="28"/>
      <c r="Q661" s="28"/>
    </row>
    <row r="662" ht="15.75" customHeight="1">
      <c r="E662" s="28"/>
      <c r="I662" s="28"/>
      <c r="M662" s="28"/>
      <c r="Q662" s="28"/>
    </row>
    <row r="663" ht="15.75" customHeight="1">
      <c r="E663" s="28"/>
      <c r="I663" s="28"/>
      <c r="M663" s="28"/>
      <c r="Q663" s="28"/>
    </row>
    <row r="664" ht="15.75" customHeight="1">
      <c r="E664" s="28"/>
      <c r="I664" s="28"/>
      <c r="M664" s="28"/>
      <c r="Q664" s="28"/>
    </row>
    <row r="665" ht="15.75" customHeight="1">
      <c r="E665" s="28"/>
      <c r="I665" s="28"/>
      <c r="M665" s="28"/>
      <c r="Q665" s="28"/>
    </row>
    <row r="666" ht="15.75" customHeight="1">
      <c r="E666" s="28"/>
      <c r="I666" s="28"/>
      <c r="M666" s="28"/>
      <c r="Q666" s="28"/>
    </row>
    <row r="667" ht="15.75" customHeight="1">
      <c r="E667" s="28"/>
      <c r="I667" s="28"/>
      <c r="M667" s="28"/>
      <c r="Q667" s="28"/>
    </row>
    <row r="668" ht="15.75" customHeight="1">
      <c r="E668" s="28"/>
      <c r="I668" s="28"/>
      <c r="M668" s="28"/>
      <c r="Q668" s="28"/>
    </row>
    <row r="669" ht="15.75" customHeight="1">
      <c r="E669" s="28"/>
      <c r="I669" s="28"/>
      <c r="M669" s="28"/>
      <c r="Q669" s="28"/>
    </row>
    <row r="670" ht="15.75" customHeight="1">
      <c r="E670" s="28"/>
      <c r="I670" s="28"/>
      <c r="M670" s="28"/>
      <c r="Q670" s="28"/>
    </row>
    <row r="671" ht="15.75" customHeight="1">
      <c r="E671" s="28"/>
      <c r="I671" s="28"/>
      <c r="M671" s="28"/>
      <c r="Q671" s="28"/>
    </row>
    <row r="672" ht="15.75" customHeight="1">
      <c r="E672" s="28"/>
      <c r="I672" s="28"/>
      <c r="M672" s="28"/>
      <c r="Q672" s="28"/>
    </row>
    <row r="673" ht="15.75" customHeight="1">
      <c r="E673" s="28"/>
      <c r="I673" s="28"/>
      <c r="M673" s="28"/>
      <c r="Q673" s="28"/>
    </row>
    <row r="674" ht="15.75" customHeight="1">
      <c r="E674" s="28"/>
      <c r="I674" s="28"/>
      <c r="M674" s="28"/>
      <c r="Q674" s="28"/>
    </row>
    <row r="675" ht="15.75" customHeight="1">
      <c r="E675" s="28"/>
      <c r="I675" s="28"/>
      <c r="M675" s="28"/>
      <c r="Q675" s="28"/>
    </row>
    <row r="676" ht="15.75" customHeight="1">
      <c r="E676" s="28"/>
      <c r="I676" s="28"/>
      <c r="M676" s="28"/>
      <c r="Q676" s="28"/>
    </row>
    <row r="677" ht="15.75" customHeight="1">
      <c r="E677" s="28"/>
      <c r="I677" s="28"/>
      <c r="M677" s="28"/>
      <c r="Q677" s="28"/>
    </row>
    <row r="678" ht="15.75" customHeight="1">
      <c r="E678" s="28"/>
      <c r="I678" s="28"/>
      <c r="M678" s="28"/>
      <c r="Q678" s="28"/>
    </row>
    <row r="679" ht="15.75" customHeight="1">
      <c r="E679" s="28"/>
      <c r="I679" s="28"/>
      <c r="M679" s="28"/>
      <c r="Q679" s="28"/>
    </row>
    <row r="680" ht="15.75" customHeight="1">
      <c r="E680" s="28"/>
      <c r="I680" s="28"/>
      <c r="M680" s="28"/>
      <c r="Q680" s="28"/>
    </row>
    <row r="681" ht="15.75" customHeight="1">
      <c r="E681" s="28"/>
      <c r="I681" s="28"/>
      <c r="M681" s="28"/>
      <c r="Q681" s="28"/>
    </row>
    <row r="682" ht="15.75" customHeight="1">
      <c r="E682" s="28"/>
      <c r="I682" s="28"/>
      <c r="M682" s="28"/>
      <c r="Q682" s="28"/>
    </row>
    <row r="683" ht="15.75" customHeight="1">
      <c r="E683" s="28"/>
      <c r="I683" s="28"/>
      <c r="M683" s="28"/>
      <c r="Q683" s="28"/>
    </row>
    <row r="684" ht="15.75" customHeight="1">
      <c r="E684" s="28"/>
      <c r="I684" s="28"/>
      <c r="M684" s="28"/>
      <c r="Q684" s="28"/>
    </row>
    <row r="685" ht="15.75" customHeight="1">
      <c r="E685" s="28"/>
      <c r="I685" s="28"/>
      <c r="M685" s="28"/>
      <c r="Q685" s="28"/>
    </row>
    <row r="686" ht="15.75" customHeight="1">
      <c r="E686" s="28"/>
      <c r="I686" s="28"/>
      <c r="M686" s="28"/>
      <c r="Q686" s="28"/>
    </row>
    <row r="687" ht="15.75" customHeight="1">
      <c r="E687" s="28"/>
      <c r="I687" s="28"/>
      <c r="M687" s="28"/>
      <c r="Q687" s="28"/>
    </row>
    <row r="688" ht="15.75" customHeight="1">
      <c r="E688" s="28"/>
      <c r="I688" s="28"/>
      <c r="M688" s="28"/>
      <c r="Q688" s="28"/>
    </row>
    <row r="689" ht="15.75" customHeight="1">
      <c r="E689" s="28"/>
      <c r="I689" s="28"/>
      <c r="M689" s="28"/>
      <c r="Q689" s="28"/>
    </row>
    <row r="690" ht="15.75" customHeight="1">
      <c r="E690" s="28"/>
      <c r="I690" s="28"/>
      <c r="M690" s="28"/>
      <c r="Q690" s="28"/>
    </row>
    <row r="691" ht="15.75" customHeight="1">
      <c r="E691" s="28"/>
      <c r="I691" s="28"/>
      <c r="M691" s="28"/>
      <c r="Q691" s="28"/>
    </row>
    <row r="692" ht="15.75" customHeight="1">
      <c r="E692" s="28"/>
      <c r="I692" s="28"/>
      <c r="M692" s="28"/>
      <c r="Q692" s="28"/>
    </row>
    <row r="693" ht="15.75" customHeight="1">
      <c r="E693" s="28"/>
      <c r="I693" s="28"/>
      <c r="M693" s="28"/>
      <c r="Q693" s="28"/>
    </row>
    <row r="694" ht="15.75" customHeight="1">
      <c r="E694" s="28"/>
      <c r="I694" s="28"/>
      <c r="M694" s="28"/>
      <c r="Q694" s="28"/>
    </row>
    <row r="695" ht="15.75" customHeight="1">
      <c r="E695" s="28"/>
      <c r="I695" s="28"/>
      <c r="M695" s="28"/>
      <c r="Q695" s="28"/>
    </row>
    <row r="696" ht="15.75" customHeight="1">
      <c r="E696" s="28"/>
      <c r="I696" s="28"/>
      <c r="M696" s="28"/>
      <c r="Q696" s="28"/>
    </row>
    <row r="697" ht="15.75" customHeight="1">
      <c r="E697" s="28"/>
      <c r="I697" s="28"/>
      <c r="M697" s="28"/>
      <c r="Q697" s="28"/>
    </row>
    <row r="698" ht="15.75" customHeight="1">
      <c r="E698" s="28"/>
      <c r="I698" s="28"/>
      <c r="M698" s="28"/>
      <c r="Q698" s="28"/>
    </row>
    <row r="699" ht="15.75" customHeight="1">
      <c r="E699" s="28"/>
      <c r="I699" s="28"/>
      <c r="M699" s="28"/>
      <c r="Q699" s="28"/>
    </row>
    <row r="700" ht="15.75" customHeight="1">
      <c r="E700" s="28"/>
      <c r="I700" s="28"/>
      <c r="M700" s="28"/>
      <c r="Q700" s="28"/>
    </row>
    <row r="701" ht="15.75" customHeight="1">
      <c r="E701" s="28"/>
      <c r="I701" s="28"/>
      <c r="M701" s="28"/>
      <c r="Q701" s="28"/>
    </row>
    <row r="702" ht="15.75" customHeight="1">
      <c r="E702" s="28"/>
      <c r="I702" s="28"/>
      <c r="M702" s="28"/>
      <c r="Q702" s="28"/>
    </row>
    <row r="703" ht="15.75" customHeight="1">
      <c r="E703" s="28"/>
      <c r="I703" s="28"/>
      <c r="M703" s="28"/>
      <c r="Q703" s="28"/>
    </row>
    <row r="704" ht="15.75" customHeight="1">
      <c r="E704" s="28"/>
      <c r="I704" s="28"/>
      <c r="M704" s="28"/>
      <c r="Q704" s="28"/>
    </row>
    <row r="705" ht="15.75" customHeight="1">
      <c r="E705" s="28"/>
      <c r="I705" s="28"/>
      <c r="M705" s="28"/>
      <c r="Q705" s="28"/>
    </row>
    <row r="706" ht="15.75" customHeight="1">
      <c r="E706" s="28"/>
      <c r="I706" s="28"/>
      <c r="M706" s="28"/>
      <c r="Q706" s="28"/>
    </row>
    <row r="707" ht="15.75" customHeight="1">
      <c r="E707" s="28"/>
      <c r="I707" s="28"/>
      <c r="M707" s="28"/>
      <c r="Q707" s="28"/>
    </row>
    <row r="708" ht="15.75" customHeight="1">
      <c r="E708" s="28"/>
      <c r="I708" s="28"/>
      <c r="M708" s="28"/>
      <c r="Q708" s="28"/>
    </row>
    <row r="709" ht="15.75" customHeight="1">
      <c r="E709" s="28"/>
      <c r="I709" s="28"/>
      <c r="M709" s="28"/>
      <c r="Q709" s="28"/>
    </row>
    <row r="710" ht="15.75" customHeight="1">
      <c r="E710" s="28"/>
      <c r="I710" s="28"/>
      <c r="M710" s="28"/>
      <c r="Q710" s="28"/>
    </row>
    <row r="711" ht="15.75" customHeight="1">
      <c r="E711" s="28"/>
      <c r="I711" s="28"/>
      <c r="M711" s="28"/>
      <c r="Q711" s="28"/>
    </row>
    <row r="712" ht="15.75" customHeight="1">
      <c r="E712" s="28"/>
      <c r="I712" s="28"/>
      <c r="M712" s="28"/>
      <c r="Q712" s="28"/>
    </row>
    <row r="713" ht="15.75" customHeight="1">
      <c r="E713" s="28"/>
      <c r="I713" s="28"/>
      <c r="M713" s="28"/>
      <c r="Q713" s="28"/>
    </row>
    <row r="714" ht="15.75" customHeight="1">
      <c r="E714" s="28"/>
      <c r="I714" s="28"/>
      <c r="M714" s="28"/>
      <c r="Q714" s="28"/>
    </row>
    <row r="715" ht="15.75" customHeight="1">
      <c r="E715" s="28"/>
      <c r="I715" s="28"/>
      <c r="M715" s="28"/>
      <c r="Q715" s="28"/>
    </row>
    <row r="716" ht="15.75" customHeight="1">
      <c r="E716" s="28"/>
      <c r="I716" s="28"/>
      <c r="M716" s="28"/>
      <c r="Q716" s="28"/>
    </row>
    <row r="717" ht="15.75" customHeight="1">
      <c r="E717" s="28"/>
      <c r="I717" s="28"/>
      <c r="M717" s="28"/>
      <c r="Q717" s="28"/>
    </row>
    <row r="718" ht="15.75" customHeight="1">
      <c r="E718" s="28"/>
      <c r="I718" s="28"/>
      <c r="M718" s="28"/>
      <c r="Q718" s="28"/>
    </row>
    <row r="719" ht="15.75" customHeight="1">
      <c r="E719" s="28"/>
      <c r="I719" s="28"/>
      <c r="M719" s="28"/>
      <c r="Q719" s="28"/>
    </row>
    <row r="720" ht="15.75" customHeight="1">
      <c r="E720" s="28"/>
      <c r="I720" s="28"/>
      <c r="M720" s="28"/>
      <c r="Q720" s="28"/>
    </row>
    <row r="721" ht="15.75" customHeight="1">
      <c r="E721" s="28"/>
      <c r="I721" s="28"/>
      <c r="M721" s="28"/>
      <c r="Q721" s="28"/>
    </row>
    <row r="722" ht="15.75" customHeight="1">
      <c r="E722" s="28"/>
      <c r="I722" s="28"/>
      <c r="M722" s="28"/>
      <c r="Q722" s="28"/>
    </row>
    <row r="723" ht="15.75" customHeight="1">
      <c r="E723" s="28"/>
      <c r="I723" s="28"/>
      <c r="M723" s="28"/>
      <c r="Q723" s="28"/>
    </row>
    <row r="724" ht="15.75" customHeight="1">
      <c r="E724" s="28"/>
      <c r="I724" s="28"/>
      <c r="M724" s="28"/>
      <c r="Q724" s="28"/>
    </row>
    <row r="725" ht="15.75" customHeight="1">
      <c r="E725" s="28"/>
      <c r="I725" s="28"/>
      <c r="M725" s="28"/>
      <c r="Q725" s="28"/>
    </row>
    <row r="726" ht="15.75" customHeight="1">
      <c r="E726" s="28"/>
      <c r="I726" s="28"/>
      <c r="M726" s="28"/>
      <c r="Q726" s="28"/>
    </row>
    <row r="727" ht="15.75" customHeight="1">
      <c r="E727" s="28"/>
      <c r="I727" s="28"/>
      <c r="M727" s="28"/>
      <c r="Q727" s="28"/>
    </row>
    <row r="728" ht="15.75" customHeight="1">
      <c r="E728" s="28"/>
      <c r="I728" s="28"/>
      <c r="M728" s="28"/>
      <c r="Q728" s="28"/>
    </row>
    <row r="729" ht="15.75" customHeight="1">
      <c r="E729" s="28"/>
      <c r="I729" s="28"/>
      <c r="M729" s="28"/>
      <c r="Q729" s="28"/>
    </row>
    <row r="730" ht="15.75" customHeight="1">
      <c r="E730" s="28"/>
      <c r="I730" s="28"/>
      <c r="M730" s="28"/>
      <c r="Q730" s="28"/>
    </row>
    <row r="731" ht="15.75" customHeight="1">
      <c r="E731" s="28"/>
      <c r="I731" s="28"/>
      <c r="M731" s="28"/>
      <c r="Q731" s="28"/>
    </row>
    <row r="732" ht="15.75" customHeight="1">
      <c r="E732" s="28"/>
      <c r="I732" s="28"/>
      <c r="M732" s="28"/>
      <c r="Q732" s="28"/>
    </row>
    <row r="733" ht="15.75" customHeight="1">
      <c r="E733" s="28"/>
      <c r="I733" s="28"/>
      <c r="M733" s="28"/>
      <c r="Q733" s="28"/>
    </row>
    <row r="734" ht="15.75" customHeight="1">
      <c r="E734" s="28"/>
      <c r="I734" s="28"/>
      <c r="M734" s="28"/>
      <c r="Q734" s="28"/>
    </row>
    <row r="735" ht="15.75" customHeight="1">
      <c r="E735" s="28"/>
      <c r="I735" s="28"/>
      <c r="M735" s="28"/>
      <c r="Q735" s="28"/>
    </row>
    <row r="736" ht="15.75" customHeight="1">
      <c r="E736" s="28"/>
      <c r="I736" s="28"/>
      <c r="M736" s="28"/>
      <c r="Q736" s="28"/>
    </row>
    <row r="737" ht="15.75" customHeight="1">
      <c r="E737" s="28"/>
      <c r="I737" s="28"/>
      <c r="M737" s="28"/>
      <c r="Q737" s="28"/>
    </row>
    <row r="738" ht="15.75" customHeight="1">
      <c r="E738" s="28"/>
      <c r="I738" s="28"/>
      <c r="M738" s="28"/>
      <c r="Q738" s="28"/>
    </row>
    <row r="739" ht="15.75" customHeight="1">
      <c r="E739" s="28"/>
      <c r="I739" s="28"/>
      <c r="M739" s="28"/>
      <c r="Q739" s="28"/>
    </row>
    <row r="740" ht="15.75" customHeight="1">
      <c r="E740" s="28"/>
      <c r="I740" s="28"/>
      <c r="M740" s="28"/>
      <c r="Q740" s="28"/>
    </row>
    <row r="741" ht="15.75" customHeight="1">
      <c r="E741" s="28"/>
      <c r="I741" s="28"/>
      <c r="M741" s="28"/>
      <c r="Q741" s="28"/>
    </row>
    <row r="742" ht="15.75" customHeight="1">
      <c r="E742" s="28"/>
      <c r="I742" s="28"/>
      <c r="M742" s="28"/>
      <c r="Q742" s="28"/>
    </row>
    <row r="743" ht="15.75" customHeight="1">
      <c r="E743" s="28"/>
      <c r="I743" s="28"/>
      <c r="M743" s="28"/>
      <c r="Q743" s="28"/>
    </row>
    <row r="744" ht="15.75" customHeight="1">
      <c r="E744" s="28"/>
      <c r="I744" s="28"/>
      <c r="M744" s="28"/>
      <c r="Q744" s="28"/>
    </row>
    <row r="745" ht="15.75" customHeight="1">
      <c r="E745" s="28"/>
      <c r="I745" s="28"/>
      <c r="M745" s="28"/>
      <c r="Q745" s="28"/>
    </row>
    <row r="746" ht="15.75" customHeight="1">
      <c r="E746" s="28"/>
      <c r="I746" s="28"/>
      <c r="M746" s="28"/>
      <c r="Q746" s="28"/>
    </row>
    <row r="747" ht="15.75" customHeight="1">
      <c r="E747" s="28"/>
      <c r="I747" s="28"/>
      <c r="M747" s="28"/>
      <c r="Q747" s="28"/>
    </row>
    <row r="748" ht="15.75" customHeight="1">
      <c r="E748" s="28"/>
      <c r="I748" s="28"/>
      <c r="M748" s="28"/>
      <c r="Q748" s="28"/>
    </row>
    <row r="749" ht="15.75" customHeight="1">
      <c r="E749" s="28"/>
      <c r="I749" s="28"/>
      <c r="M749" s="28"/>
      <c r="Q749" s="28"/>
    </row>
    <row r="750" ht="15.75" customHeight="1">
      <c r="E750" s="28"/>
      <c r="I750" s="28"/>
      <c r="M750" s="28"/>
      <c r="Q750" s="28"/>
    </row>
    <row r="751" ht="15.75" customHeight="1">
      <c r="E751" s="28"/>
      <c r="I751" s="28"/>
      <c r="M751" s="28"/>
      <c r="Q751" s="28"/>
    </row>
    <row r="752" ht="15.75" customHeight="1">
      <c r="E752" s="28"/>
      <c r="I752" s="28"/>
      <c r="M752" s="28"/>
      <c r="Q752" s="28"/>
    </row>
    <row r="753" ht="15.75" customHeight="1">
      <c r="E753" s="28"/>
      <c r="I753" s="28"/>
      <c r="M753" s="28"/>
      <c r="Q753" s="28"/>
    </row>
    <row r="754" ht="15.75" customHeight="1">
      <c r="E754" s="28"/>
      <c r="I754" s="28"/>
      <c r="M754" s="28"/>
      <c r="Q754" s="28"/>
    </row>
    <row r="755" ht="15.75" customHeight="1">
      <c r="E755" s="28"/>
      <c r="I755" s="28"/>
      <c r="M755" s="28"/>
      <c r="Q755" s="28"/>
    </row>
    <row r="756" ht="15.75" customHeight="1">
      <c r="E756" s="28"/>
      <c r="I756" s="28"/>
      <c r="M756" s="28"/>
      <c r="Q756" s="28"/>
    </row>
    <row r="757" ht="15.75" customHeight="1">
      <c r="E757" s="28"/>
      <c r="I757" s="28"/>
      <c r="M757" s="28"/>
      <c r="Q757" s="28"/>
    </row>
    <row r="758" ht="15.75" customHeight="1">
      <c r="E758" s="28"/>
      <c r="I758" s="28"/>
      <c r="M758" s="28"/>
      <c r="Q758" s="28"/>
    </row>
    <row r="759" ht="15.75" customHeight="1">
      <c r="E759" s="28"/>
      <c r="I759" s="28"/>
      <c r="M759" s="28"/>
      <c r="Q759" s="28"/>
    </row>
    <row r="760" ht="15.75" customHeight="1">
      <c r="E760" s="28"/>
      <c r="I760" s="28"/>
      <c r="M760" s="28"/>
      <c r="Q760" s="28"/>
    </row>
    <row r="761" ht="15.75" customHeight="1">
      <c r="E761" s="28"/>
      <c r="I761" s="28"/>
      <c r="M761" s="28"/>
      <c r="Q761" s="28"/>
    </row>
    <row r="762" ht="15.75" customHeight="1">
      <c r="E762" s="28"/>
      <c r="I762" s="28"/>
      <c r="M762" s="28"/>
      <c r="Q762" s="28"/>
    </row>
    <row r="763" ht="15.75" customHeight="1">
      <c r="E763" s="28"/>
      <c r="I763" s="28"/>
      <c r="M763" s="28"/>
      <c r="Q763" s="28"/>
    </row>
    <row r="764" ht="15.75" customHeight="1">
      <c r="E764" s="28"/>
      <c r="I764" s="28"/>
      <c r="M764" s="28"/>
      <c r="Q764" s="28"/>
    </row>
    <row r="765" ht="15.75" customHeight="1">
      <c r="E765" s="28"/>
      <c r="I765" s="28"/>
      <c r="M765" s="28"/>
      <c r="Q765" s="28"/>
    </row>
    <row r="766" ht="15.75" customHeight="1">
      <c r="E766" s="28"/>
      <c r="I766" s="28"/>
      <c r="M766" s="28"/>
      <c r="Q766" s="28"/>
    </row>
    <row r="767" ht="15.75" customHeight="1">
      <c r="E767" s="28"/>
      <c r="I767" s="28"/>
      <c r="M767" s="28"/>
      <c r="Q767" s="28"/>
    </row>
    <row r="768" ht="15.75" customHeight="1">
      <c r="E768" s="28"/>
      <c r="I768" s="28"/>
      <c r="M768" s="28"/>
      <c r="Q768" s="28"/>
    </row>
    <row r="769" ht="15.75" customHeight="1">
      <c r="E769" s="28"/>
      <c r="I769" s="28"/>
      <c r="M769" s="28"/>
      <c r="Q769" s="28"/>
    </row>
    <row r="770" ht="15.75" customHeight="1">
      <c r="E770" s="28"/>
      <c r="I770" s="28"/>
      <c r="M770" s="28"/>
      <c r="Q770" s="28"/>
    </row>
    <row r="771" ht="15.75" customHeight="1">
      <c r="E771" s="28"/>
      <c r="I771" s="28"/>
      <c r="M771" s="28"/>
      <c r="Q771" s="28"/>
    </row>
    <row r="772" ht="15.75" customHeight="1">
      <c r="E772" s="28"/>
      <c r="I772" s="28"/>
      <c r="M772" s="28"/>
      <c r="Q772" s="28"/>
    </row>
    <row r="773" ht="15.75" customHeight="1">
      <c r="E773" s="28"/>
      <c r="I773" s="28"/>
      <c r="M773" s="28"/>
      <c r="Q773" s="28"/>
    </row>
    <row r="774" ht="15.75" customHeight="1">
      <c r="E774" s="28"/>
      <c r="I774" s="28"/>
      <c r="M774" s="28"/>
      <c r="Q774" s="28"/>
    </row>
    <row r="775" ht="15.75" customHeight="1">
      <c r="E775" s="28"/>
      <c r="I775" s="28"/>
      <c r="M775" s="28"/>
      <c r="Q775" s="28"/>
    </row>
    <row r="776" ht="15.75" customHeight="1">
      <c r="E776" s="28"/>
      <c r="I776" s="28"/>
      <c r="M776" s="28"/>
      <c r="Q776" s="28"/>
    </row>
    <row r="777" ht="15.75" customHeight="1">
      <c r="E777" s="28"/>
      <c r="I777" s="28"/>
      <c r="M777" s="28"/>
      <c r="Q777" s="28"/>
    </row>
    <row r="778" ht="15.75" customHeight="1">
      <c r="E778" s="28"/>
      <c r="I778" s="28"/>
      <c r="M778" s="28"/>
      <c r="Q778" s="28"/>
    </row>
    <row r="779" ht="15.75" customHeight="1">
      <c r="E779" s="28"/>
      <c r="I779" s="28"/>
      <c r="M779" s="28"/>
      <c r="Q779" s="28"/>
    </row>
    <row r="780" ht="15.75" customHeight="1">
      <c r="E780" s="28"/>
      <c r="I780" s="28"/>
      <c r="M780" s="28"/>
      <c r="Q780" s="28"/>
    </row>
    <row r="781" ht="15.75" customHeight="1">
      <c r="E781" s="28"/>
      <c r="I781" s="28"/>
      <c r="M781" s="28"/>
      <c r="Q781" s="28"/>
    </row>
    <row r="782" ht="15.75" customHeight="1">
      <c r="E782" s="28"/>
      <c r="I782" s="28"/>
      <c r="M782" s="28"/>
      <c r="Q782" s="28"/>
    </row>
    <row r="783" ht="15.75" customHeight="1">
      <c r="E783" s="28"/>
      <c r="I783" s="28"/>
      <c r="M783" s="28"/>
      <c r="Q783" s="28"/>
    </row>
    <row r="784" ht="15.75" customHeight="1">
      <c r="E784" s="28"/>
      <c r="I784" s="28"/>
      <c r="M784" s="28"/>
      <c r="Q784" s="28"/>
    </row>
    <row r="785" ht="15.75" customHeight="1">
      <c r="E785" s="28"/>
      <c r="I785" s="28"/>
      <c r="M785" s="28"/>
      <c r="Q785" s="28"/>
    </row>
    <row r="786" ht="15.75" customHeight="1">
      <c r="E786" s="28"/>
      <c r="I786" s="28"/>
      <c r="M786" s="28"/>
      <c r="Q786" s="28"/>
    </row>
    <row r="787" ht="15.75" customHeight="1">
      <c r="E787" s="28"/>
      <c r="I787" s="28"/>
      <c r="M787" s="28"/>
      <c r="Q787" s="28"/>
    </row>
    <row r="788" ht="15.75" customHeight="1">
      <c r="E788" s="28"/>
      <c r="I788" s="28"/>
      <c r="M788" s="28"/>
      <c r="Q788" s="28"/>
    </row>
    <row r="789" ht="15.75" customHeight="1">
      <c r="E789" s="28"/>
      <c r="I789" s="28"/>
      <c r="M789" s="28"/>
      <c r="Q789" s="28"/>
    </row>
    <row r="790" ht="15.75" customHeight="1">
      <c r="E790" s="28"/>
      <c r="I790" s="28"/>
      <c r="M790" s="28"/>
      <c r="Q790" s="28"/>
    </row>
    <row r="791" ht="15.75" customHeight="1">
      <c r="E791" s="28"/>
      <c r="I791" s="28"/>
      <c r="M791" s="28"/>
      <c r="Q791" s="28"/>
    </row>
    <row r="792" ht="15.75" customHeight="1">
      <c r="E792" s="28"/>
      <c r="I792" s="28"/>
      <c r="M792" s="28"/>
      <c r="Q792" s="28"/>
    </row>
    <row r="793" ht="15.75" customHeight="1">
      <c r="E793" s="28"/>
      <c r="I793" s="28"/>
      <c r="M793" s="28"/>
      <c r="Q793" s="28"/>
    </row>
    <row r="794" ht="15.75" customHeight="1">
      <c r="E794" s="28"/>
      <c r="I794" s="28"/>
      <c r="M794" s="28"/>
      <c r="Q794" s="28"/>
    </row>
    <row r="795" ht="15.75" customHeight="1">
      <c r="E795" s="28"/>
      <c r="I795" s="28"/>
      <c r="M795" s="28"/>
      <c r="Q795" s="28"/>
    </row>
    <row r="796" ht="15.75" customHeight="1">
      <c r="E796" s="28"/>
      <c r="I796" s="28"/>
      <c r="M796" s="28"/>
      <c r="Q796" s="28"/>
    </row>
    <row r="797" ht="15.75" customHeight="1">
      <c r="E797" s="28"/>
      <c r="I797" s="28"/>
      <c r="M797" s="28"/>
      <c r="Q797" s="28"/>
    </row>
    <row r="798" ht="15.75" customHeight="1">
      <c r="E798" s="28"/>
      <c r="I798" s="28"/>
      <c r="M798" s="28"/>
      <c r="Q798" s="28"/>
    </row>
    <row r="799" ht="15.75" customHeight="1">
      <c r="E799" s="28"/>
      <c r="I799" s="28"/>
      <c r="M799" s="28"/>
      <c r="Q799" s="28"/>
    </row>
    <row r="800" ht="15.75" customHeight="1">
      <c r="E800" s="28"/>
      <c r="I800" s="28"/>
      <c r="M800" s="28"/>
      <c r="Q800" s="28"/>
    </row>
    <row r="801" ht="15.75" customHeight="1">
      <c r="E801" s="28"/>
      <c r="I801" s="28"/>
      <c r="M801" s="28"/>
      <c r="Q801" s="28"/>
    </row>
    <row r="802" ht="15.75" customHeight="1">
      <c r="E802" s="28"/>
      <c r="I802" s="28"/>
      <c r="M802" s="28"/>
      <c r="Q802" s="28"/>
    </row>
    <row r="803" ht="15.75" customHeight="1">
      <c r="E803" s="28"/>
      <c r="I803" s="28"/>
      <c r="M803" s="28"/>
      <c r="Q803" s="28"/>
    </row>
    <row r="804" ht="15.75" customHeight="1">
      <c r="E804" s="28"/>
      <c r="I804" s="28"/>
      <c r="M804" s="28"/>
      <c r="Q804" s="28"/>
    </row>
    <row r="805" ht="15.75" customHeight="1">
      <c r="E805" s="28"/>
      <c r="I805" s="28"/>
      <c r="M805" s="28"/>
      <c r="Q805" s="28"/>
    </row>
    <row r="806" ht="15.75" customHeight="1">
      <c r="E806" s="28"/>
      <c r="I806" s="28"/>
      <c r="M806" s="28"/>
      <c r="Q806" s="28"/>
    </row>
    <row r="807" ht="15.75" customHeight="1">
      <c r="E807" s="28"/>
      <c r="I807" s="28"/>
      <c r="M807" s="28"/>
      <c r="Q807" s="28"/>
    </row>
    <row r="808" ht="15.75" customHeight="1">
      <c r="E808" s="28"/>
      <c r="I808" s="28"/>
      <c r="M808" s="28"/>
      <c r="Q808" s="28"/>
    </row>
    <row r="809" ht="15.75" customHeight="1">
      <c r="E809" s="28"/>
      <c r="I809" s="28"/>
      <c r="M809" s="28"/>
      <c r="Q809" s="28"/>
    </row>
    <row r="810" ht="15.75" customHeight="1">
      <c r="E810" s="28"/>
      <c r="I810" s="28"/>
      <c r="M810" s="28"/>
      <c r="Q810" s="28"/>
    </row>
    <row r="811" ht="15.75" customHeight="1">
      <c r="E811" s="28"/>
      <c r="I811" s="28"/>
      <c r="M811" s="28"/>
      <c r="Q811" s="28"/>
    </row>
    <row r="812" ht="15.75" customHeight="1">
      <c r="E812" s="28"/>
      <c r="I812" s="28"/>
      <c r="M812" s="28"/>
      <c r="Q812" s="28"/>
    </row>
    <row r="813" ht="15.75" customHeight="1">
      <c r="E813" s="28"/>
      <c r="I813" s="28"/>
      <c r="M813" s="28"/>
      <c r="Q813" s="28"/>
    </row>
    <row r="814" ht="15.75" customHeight="1">
      <c r="E814" s="28"/>
      <c r="I814" s="28"/>
      <c r="M814" s="28"/>
      <c r="Q814" s="28"/>
    </row>
    <row r="815" ht="15.75" customHeight="1">
      <c r="E815" s="28"/>
      <c r="I815" s="28"/>
      <c r="M815" s="28"/>
      <c r="Q815" s="28"/>
    </row>
    <row r="816" ht="15.75" customHeight="1">
      <c r="E816" s="28"/>
      <c r="I816" s="28"/>
      <c r="M816" s="28"/>
      <c r="Q816" s="28"/>
    </row>
    <row r="817" ht="15.75" customHeight="1">
      <c r="E817" s="28"/>
      <c r="I817" s="28"/>
      <c r="M817" s="28"/>
      <c r="Q817" s="28"/>
    </row>
    <row r="818" ht="15.75" customHeight="1">
      <c r="E818" s="28"/>
      <c r="I818" s="28"/>
      <c r="M818" s="28"/>
      <c r="Q818" s="28"/>
    </row>
    <row r="819" ht="15.75" customHeight="1">
      <c r="E819" s="28"/>
      <c r="I819" s="28"/>
      <c r="M819" s="28"/>
      <c r="Q819" s="28"/>
    </row>
    <row r="820" ht="15.75" customHeight="1">
      <c r="E820" s="28"/>
      <c r="I820" s="28"/>
      <c r="M820" s="28"/>
      <c r="Q820" s="28"/>
    </row>
    <row r="821" ht="15.75" customHeight="1">
      <c r="E821" s="28"/>
      <c r="I821" s="28"/>
      <c r="M821" s="28"/>
      <c r="Q821" s="28"/>
    </row>
    <row r="822" ht="15.75" customHeight="1">
      <c r="E822" s="28"/>
      <c r="I822" s="28"/>
      <c r="M822" s="28"/>
      <c r="Q822" s="28"/>
    </row>
    <row r="823" ht="15.75" customHeight="1">
      <c r="E823" s="28"/>
      <c r="I823" s="28"/>
      <c r="M823" s="28"/>
      <c r="Q823" s="28"/>
    </row>
    <row r="824" ht="15.75" customHeight="1">
      <c r="E824" s="28"/>
      <c r="I824" s="28"/>
      <c r="M824" s="28"/>
      <c r="Q824" s="28"/>
    </row>
    <row r="825" ht="15.75" customHeight="1">
      <c r="E825" s="28"/>
      <c r="I825" s="28"/>
      <c r="M825" s="28"/>
      <c r="Q825" s="28"/>
    </row>
    <row r="826" ht="15.75" customHeight="1">
      <c r="E826" s="28"/>
      <c r="I826" s="28"/>
      <c r="M826" s="28"/>
      <c r="Q826" s="28"/>
    </row>
    <row r="827" ht="15.75" customHeight="1">
      <c r="E827" s="28"/>
      <c r="I827" s="28"/>
      <c r="M827" s="28"/>
      <c r="Q827" s="28"/>
    </row>
    <row r="828" ht="15.75" customHeight="1">
      <c r="E828" s="28"/>
      <c r="I828" s="28"/>
      <c r="M828" s="28"/>
      <c r="Q828" s="28"/>
    </row>
    <row r="829" ht="15.75" customHeight="1">
      <c r="E829" s="28"/>
      <c r="I829" s="28"/>
      <c r="M829" s="28"/>
      <c r="Q829" s="28"/>
    </row>
    <row r="830" ht="15.75" customHeight="1">
      <c r="E830" s="28"/>
      <c r="I830" s="28"/>
      <c r="M830" s="28"/>
      <c r="Q830" s="28"/>
    </row>
    <row r="831" ht="15.75" customHeight="1">
      <c r="E831" s="28"/>
      <c r="I831" s="28"/>
      <c r="M831" s="28"/>
      <c r="Q831" s="28"/>
    </row>
    <row r="832" ht="15.75" customHeight="1">
      <c r="E832" s="28"/>
      <c r="I832" s="28"/>
      <c r="M832" s="28"/>
      <c r="Q832" s="28"/>
    </row>
    <row r="833" ht="15.75" customHeight="1">
      <c r="E833" s="28"/>
      <c r="I833" s="28"/>
      <c r="M833" s="28"/>
      <c r="Q833" s="28"/>
    </row>
    <row r="834" ht="15.75" customHeight="1">
      <c r="E834" s="28"/>
      <c r="I834" s="28"/>
      <c r="M834" s="28"/>
      <c r="Q834" s="28"/>
    </row>
    <row r="835" ht="15.75" customHeight="1">
      <c r="E835" s="28"/>
      <c r="I835" s="28"/>
      <c r="M835" s="28"/>
      <c r="Q835" s="28"/>
    </row>
    <row r="836" ht="15.75" customHeight="1">
      <c r="E836" s="28"/>
      <c r="I836" s="28"/>
      <c r="M836" s="28"/>
      <c r="Q836" s="28"/>
    </row>
    <row r="837" ht="15.75" customHeight="1">
      <c r="E837" s="28"/>
      <c r="I837" s="28"/>
      <c r="M837" s="28"/>
      <c r="Q837" s="28"/>
    </row>
    <row r="838" ht="15.75" customHeight="1">
      <c r="E838" s="28"/>
      <c r="I838" s="28"/>
      <c r="M838" s="28"/>
      <c r="Q838" s="28"/>
    </row>
    <row r="839" ht="15.75" customHeight="1">
      <c r="E839" s="28"/>
      <c r="I839" s="28"/>
      <c r="M839" s="28"/>
      <c r="Q839" s="28"/>
    </row>
    <row r="840" ht="15.75" customHeight="1">
      <c r="E840" s="28"/>
      <c r="I840" s="28"/>
      <c r="M840" s="28"/>
      <c r="Q840" s="28"/>
    </row>
    <row r="841" ht="15.75" customHeight="1">
      <c r="E841" s="28"/>
      <c r="I841" s="28"/>
      <c r="M841" s="28"/>
      <c r="Q841" s="28"/>
    </row>
    <row r="842" ht="15.75" customHeight="1">
      <c r="E842" s="28"/>
      <c r="I842" s="28"/>
      <c r="M842" s="28"/>
      <c r="Q842" s="28"/>
    </row>
    <row r="843" ht="15.75" customHeight="1">
      <c r="E843" s="28"/>
      <c r="I843" s="28"/>
      <c r="M843" s="28"/>
      <c r="Q843" s="28"/>
    </row>
    <row r="844" ht="15.75" customHeight="1">
      <c r="E844" s="28"/>
      <c r="I844" s="28"/>
      <c r="M844" s="28"/>
      <c r="Q844" s="28"/>
    </row>
    <row r="845" ht="15.75" customHeight="1">
      <c r="E845" s="28"/>
      <c r="I845" s="28"/>
      <c r="M845" s="28"/>
      <c r="Q845" s="28"/>
    </row>
    <row r="846" ht="15.75" customHeight="1">
      <c r="E846" s="28"/>
      <c r="I846" s="28"/>
      <c r="M846" s="28"/>
      <c r="Q846" s="28"/>
    </row>
    <row r="847" ht="15.75" customHeight="1">
      <c r="E847" s="28"/>
      <c r="I847" s="28"/>
      <c r="M847" s="28"/>
      <c r="Q847" s="28"/>
    </row>
    <row r="848" ht="15.75" customHeight="1">
      <c r="E848" s="28"/>
      <c r="I848" s="28"/>
      <c r="M848" s="28"/>
      <c r="Q848" s="28"/>
    </row>
    <row r="849" ht="15.75" customHeight="1">
      <c r="E849" s="28"/>
      <c r="I849" s="28"/>
      <c r="M849" s="28"/>
      <c r="Q849" s="28"/>
    </row>
    <row r="850" ht="15.75" customHeight="1">
      <c r="E850" s="28"/>
      <c r="I850" s="28"/>
      <c r="M850" s="28"/>
      <c r="Q850" s="28"/>
    </row>
    <row r="851" ht="15.75" customHeight="1">
      <c r="E851" s="28"/>
      <c r="I851" s="28"/>
      <c r="M851" s="28"/>
      <c r="Q851" s="28"/>
    </row>
    <row r="852" ht="15.75" customHeight="1">
      <c r="E852" s="28"/>
      <c r="I852" s="28"/>
      <c r="M852" s="28"/>
      <c r="Q852" s="28"/>
    </row>
    <row r="853" ht="15.75" customHeight="1">
      <c r="E853" s="28"/>
      <c r="I853" s="28"/>
      <c r="M853" s="28"/>
      <c r="Q853" s="28"/>
    </row>
    <row r="854" ht="15.75" customHeight="1">
      <c r="E854" s="28"/>
      <c r="I854" s="28"/>
      <c r="M854" s="28"/>
      <c r="Q854" s="28"/>
    </row>
    <row r="855" ht="15.75" customHeight="1">
      <c r="E855" s="28"/>
      <c r="I855" s="28"/>
      <c r="M855" s="28"/>
      <c r="Q855" s="28"/>
    </row>
    <row r="856" ht="15.75" customHeight="1">
      <c r="E856" s="28"/>
      <c r="I856" s="28"/>
      <c r="M856" s="28"/>
      <c r="Q856" s="28"/>
    </row>
    <row r="857" ht="15.75" customHeight="1">
      <c r="E857" s="28"/>
      <c r="I857" s="28"/>
      <c r="M857" s="28"/>
      <c r="Q857" s="28"/>
    </row>
    <row r="858" ht="15.75" customHeight="1">
      <c r="E858" s="28"/>
      <c r="I858" s="28"/>
      <c r="M858" s="28"/>
      <c r="Q858" s="28"/>
    </row>
    <row r="859" ht="15.75" customHeight="1">
      <c r="E859" s="28"/>
      <c r="I859" s="28"/>
      <c r="M859" s="28"/>
      <c r="Q859" s="28"/>
    </row>
    <row r="860" ht="15.75" customHeight="1">
      <c r="E860" s="28"/>
      <c r="I860" s="28"/>
      <c r="M860" s="28"/>
      <c r="Q860" s="28"/>
    </row>
    <row r="861" ht="15.75" customHeight="1">
      <c r="E861" s="28"/>
      <c r="I861" s="28"/>
      <c r="M861" s="28"/>
      <c r="Q861" s="28"/>
    </row>
    <row r="862" ht="15.75" customHeight="1">
      <c r="E862" s="28"/>
      <c r="I862" s="28"/>
      <c r="M862" s="28"/>
      <c r="Q862" s="28"/>
    </row>
    <row r="863" ht="15.75" customHeight="1">
      <c r="E863" s="28"/>
      <c r="I863" s="28"/>
      <c r="M863" s="28"/>
      <c r="Q863" s="28"/>
    </row>
    <row r="864" ht="15.75" customHeight="1">
      <c r="E864" s="28"/>
      <c r="I864" s="28"/>
      <c r="M864" s="28"/>
      <c r="Q864" s="28"/>
    </row>
    <row r="865" ht="15.75" customHeight="1">
      <c r="E865" s="28"/>
      <c r="I865" s="28"/>
      <c r="M865" s="28"/>
      <c r="Q865" s="28"/>
    </row>
    <row r="866" ht="15.75" customHeight="1">
      <c r="E866" s="28"/>
      <c r="I866" s="28"/>
      <c r="M866" s="28"/>
      <c r="Q866" s="28"/>
    </row>
    <row r="867" ht="15.75" customHeight="1">
      <c r="E867" s="28"/>
      <c r="I867" s="28"/>
      <c r="M867" s="28"/>
      <c r="Q867" s="28"/>
    </row>
    <row r="868" ht="15.75" customHeight="1">
      <c r="E868" s="28"/>
      <c r="I868" s="28"/>
      <c r="M868" s="28"/>
      <c r="Q868" s="28"/>
    </row>
    <row r="869" ht="15.75" customHeight="1">
      <c r="E869" s="28"/>
      <c r="I869" s="28"/>
      <c r="M869" s="28"/>
      <c r="Q869" s="28"/>
    </row>
    <row r="870" ht="15.75" customHeight="1">
      <c r="E870" s="28"/>
      <c r="I870" s="28"/>
      <c r="M870" s="28"/>
      <c r="Q870" s="28"/>
    </row>
    <row r="871" ht="15.75" customHeight="1">
      <c r="E871" s="28"/>
      <c r="I871" s="28"/>
      <c r="M871" s="28"/>
      <c r="Q871" s="28"/>
    </row>
    <row r="872" ht="15.75" customHeight="1">
      <c r="E872" s="28"/>
      <c r="I872" s="28"/>
      <c r="M872" s="28"/>
      <c r="Q872" s="28"/>
    </row>
    <row r="873" ht="15.75" customHeight="1">
      <c r="E873" s="28"/>
      <c r="I873" s="28"/>
      <c r="M873" s="28"/>
      <c r="Q873" s="28"/>
    </row>
    <row r="874" ht="15.75" customHeight="1">
      <c r="E874" s="28"/>
      <c r="I874" s="28"/>
      <c r="M874" s="28"/>
      <c r="Q874" s="28"/>
    </row>
    <row r="875" ht="15.75" customHeight="1">
      <c r="E875" s="28"/>
      <c r="I875" s="28"/>
      <c r="M875" s="28"/>
      <c r="Q875" s="28"/>
    </row>
    <row r="876" ht="15.75" customHeight="1">
      <c r="E876" s="28"/>
      <c r="I876" s="28"/>
      <c r="M876" s="28"/>
      <c r="Q876" s="28"/>
    </row>
    <row r="877" ht="15.75" customHeight="1">
      <c r="E877" s="28"/>
      <c r="I877" s="28"/>
      <c r="M877" s="28"/>
      <c r="Q877" s="28"/>
    </row>
    <row r="878" ht="15.75" customHeight="1">
      <c r="E878" s="28"/>
      <c r="I878" s="28"/>
      <c r="M878" s="28"/>
      <c r="Q878" s="28"/>
    </row>
    <row r="879" ht="15.75" customHeight="1">
      <c r="E879" s="28"/>
      <c r="I879" s="28"/>
      <c r="M879" s="28"/>
      <c r="Q879" s="28"/>
    </row>
    <row r="880" ht="15.75" customHeight="1">
      <c r="E880" s="28"/>
      <c r="I880" s="28"/>
      <c r="M880" s="28"/>
      <c r="Q880" s="28"/>
    </row>
    <row r="881" ht="15.75" customHeight="1">
      <c r="E881" s="28"/>
      <c r="I881" s="28"/>
      <c r="M881" s="28"/>
      <c r="Q881" s="28"/>
    </row>
    <row r="882" ht="15.75" customHeight="1">
      <c r="E882" s="28"/>
      <c r="I882" s="28"/>
      <c r="M882" s="28"/>
      <c r="Q882" s="28"/>
    </row>
    <row r="883" ht="15.75" customHeight="1">
      <c r="E883" s="28"/>
      <c r="I883" s="28"/>
      <c r="M883" s="28"/>
      <c r="Q883" s="28"/>
    </row>
    <row r="884" ht="15.75" customHeight="1">
      <c r="E884" s="28"/>
      <c r="I884" s="28"/>
      <c r="M884" s="28"/>
      <c r="Q884" s="28"/>
    </row>
    <row r="885" ht="15.75" customHeight="1">
      <c r="E885" s="28"/>
      <c r="I885" s="28"/>
      <c r="M885" s="28"/>
      <c r="Q885" s="28"/>
    </row>
    <row r="886" ht="15.75" customHeight="1">
      <c r="E886" s="28"/>
      <c r="I886" s="28"/>
      <c r="M886" s="28"/>
      <c r="Q886" s="28"/>
    </row>
    <row r="887" ht="15.75" customHeight="1">
      <c r="E887" s="28"/>
      <c r="I887" s="28"/>
      <c r="M887" s="28"/>
      <c r="Q887" s="28"/>
    </row>
    <row r="888" ht="15.75" customHeight="1">
      <c r="E888" s="28"/>
      <c r="I888" s="28"/>
      <c r="M888" s="28"/>
      <c r="Q888" s="28"/>
    </row>
    <row r="889" ht="15.75" customHeight="1">
      <c r="E889" s="28"/>
      <c r="I889" s="28"/>
      <c r="M889" s="28"/>
      <c r="Q889" s="28"/>
    </row>
    <row r="890" ht="15.75" customHeight="1">
      <c r="E890" s="28"/>
      <c r="I890" s="28"/>
      <c r="M890" s="28"/>
      <c r="Q890" s="28"/>
    </row>
    <row r="891" ht="15.75" customHeight="1">
      <c r="E891" s="28"/>
      <c r="I891" s="28"/>
      <c r="M891" s="28"/>
      <c r="Q891" s="28"/>
    </row>
    <row r="892" ht="15.75" customHeight="1">
      <c r="E892" s="28"/>
      <c r="I892" s="28"/>
      <c r="M892" s="28"/>
      <c r="Q892" s="28"/>
    </row>
    <row r="893" ht="15.75" customHeight="1">
      <c r="E893" s="28"/>
      <c r="I893" s="28"/>
      <c r="M893" s="28"/>
      <c r="Q893" s="28"/>
    </row>
    <row r="894" ht="15.75" customHeight="1">
      <c r="E894" s="28"/>
      <c r="I894" s="28"/>
      <c r="M894" s="28"/>
      <c r="Q894" s="28"/>
    </row>
    <row r="895" ht="15.75" customHeight="1">
      <c r="E895" s="28"/>
      <c r="I895" s="28"/>
      <c r="M895" s="28"/>
      <c r="Q895" s="28"/>
    </row>
    <row r="896" ht="15.75" customHeight="1">
      <c r="E896" s="28"/>
      <c r="I896" s="28"/>
      <c r="M896" s="28"/>
      <c r="Q896" s="28"/>
    </row>
    <row r="897" ht="15.75" customHeight="1">
      <c r="E897" s="28"/>
      <c r="I897" s="28"/>
      <c r="M897" s="28"/>
      <c r="Q897" s="28"/>
    </row>
    <row r="898" ht="15.75" customHeight="1">
      <c r="E898" s="28"/>
      <c r="I898" s="28"/>
      <c r="M898" s="28"/>
      <c r="Q898" s="28"/>
    </row>
    <row r="899" ht="15.75" customHeight="1">
      <c r="E899" s="28"/>
      <c r="I899" s="28"/>
      <c r="M899" s="28"/>
      <c r="Q899" s="28"/>
    </row>
    <row r="900" ht="15.75" customHeight="1">
      <c r="E900" s="28"/>
      <c r="I900" s="28"/>
      <c r="M900" s="28"/>
      <c r="Q900" s="28"/>
    </row>
    <row r="901" ht="15.75" customHeight="1">
      <c r="E901" s="28"/>
      <c r="I901" s="28"/>
      <c r="M901" s="28"/>
      <c r="Q901" s="28"/>
    </row>
    <row r="902" ht="15.75" customHeight="1">
      <c r="E902" s="28"/>
      <c r="I902" s="28"/>
      <c r="M902" s="28"/>
      <c r="Q902" s="28"/>
    </row>
    <row r="903" ht="15.75" customHeight="1">
      <c r="E903" s="28"/>
      <c r="I903" s="28"/>
      <c r="M903" s="28"/>
      <c r="Q903" s="28"/>
    </row>
    <row r="904" ht="15.75" customHeight="1">
      <c r="E904" s="28"/>
      <c r="I904" s="28"/>
      <c r="M904" s="28"/>
      <c r="Q904" s="28"/>
    </row>
    <row r="905" ht="15.75" customHeight="1">
      <c r="E905" s="28"/>
      <c r="I905" s="28"/>
      <c r="M905" s="28"/>
      <c r="Q905" s="28"/>
    </row>
    <row r="906" ht="15.75" customHeight="1">
      <c r="E906" s="28"/>
      <c r="I906" s="28"/>
      <c r="M906" s="28"/>
      <c r="Q906" s="28"/>
    </row>
    <row r="907" ht="15.75" customHeight="1">
      <c r="E907" s="28"/>
      <c r="I907" s="28"/>
      <c r="M907" s="28"/>
      <c r="Q907" s="28"/>
    </row>
    <row r="908" ht="15.75" customHeight="1">
      <c r="E908" s="28"/>
      <c r="I908" s="28"/>
      <c r="M908" s="28"/>
      <c r="Q908" s="28"/>
    </row>
    <row r="909" ht="15.75" customHeight="1">
      <c r="E909" s="28"/>
      <c r="I909" s="28"/>
      <c r="M909" s="28"/>
      <c r="Q909" s="28"/>
    </row>
    <row r="910" ht="15.75" customHeight="1">
      <c r="E910" s="28"/>
      <c r="I910" s="28"/>
      <c r="M910" s="28"/>
      <c r="Q910" s="28"/>
    </row>
    <row r="911" ht="15.75" customHeight="1">
      <c r="E911" s="28"/>
      <c r="I911" s="28"/>
      <c r="M911" s="28"/>
      <c r="Q911" s="28"/>
    </row>
    <row r="912" ht="15.75" customHeight="1">
      <c r="E912" s="28"/>
      <c r="I912" s="28"/>
      <c r="M912" s="28"/>
      <c r="Q912" s="28"/>
    </row>
    <row r="913" ht="15.75" customHeight="1">
      <c r="E913" s="28"/>
      <c r="I913" s="28"/>
      <c r="M913" s="28"/>
      <c r="Q913" s="28"/>
    </row>
    <row r="914" ht="15.75" customHeight="1">
      <c r="E914" s="28"/>
      <c r="I914" s="28"/>
      <c r="M914" s="28"/>
      <c r="Q914" s="28"/>
    </row>
    <row r="915" ht="15.75" customHeight="1">
      <c r="E915" s="28"/>
      <c r="I915" s="28"/>
      <c r="M915" s="28"/>
      <c r="Q915" s="28"/>
    </row>
    <row r="916" ht="15.75" customHeight="1">
      <c r="E916" s="28"/>
      <c r="I916" s="28"/>
      <c r="M916" s="28"/>
      <c r="Q916" s="28"/>
    </row>
    <row r="917" ht="15.75" customHeight="1">
      <c r="E917" s="28"/>
      <c r="I917" s="28"/>
      <c r="M917" s="28"/>
      <c r="Q917" s="28"/>
    </row>
    <row r="918" ht="15.75" customHeight="1">
      <c r="E918" s="28"/>
      <c r="I918" s="28"/>
      <c r="M918" s="28"/>
      <c r="Q918" s="28"/>
    </row>
    <row r="919" ht="15.75" customHeight="1">
      <c r="E919" s="28"/>
      <c r="I919" s="28"/>
      <c r="M919" s="28"/>
      <c r="Q919" s="28"/>
    </row>
    <row r="920" ht="15.75" customHeight="1">
      <c r="E920" s="28"/>
      <c r="I920" s="28"/>
      <c r="M920" s="28"/>
      <c r="Q920" s="28"/>
    </row>
    <row r="921" ht="15.75" customHeight="1">
      <c r="E921" s="28"/>
      <c r="I921" s="28"/>
      <c r="M921" s="28"/>
      <c r="Q921" s="28"/>
    </row>
    <row r="922" ht="15.75" customHeight="1">
      <c r="E922" s="28"/>
      <c r="I922" s="28"/>
      <c r="M922" s="28"/>
      <c r="Q922" s="28"/>
    </row>
    <row r="923" ht="15.75" customHeight="1">
      <c r="E923" s="28"/>
      <c r="I923" s="28"/>
      <c r="M923" s="28"/>
      <c r="Q923" s="28"/>
    </row>
    <row r="924" ht="15.75" customHeight="1">
      <c r="E924" s="28"/>
      <c r="I924" s="28"/>
      <c r="M924" s="28"/>
      <c r="Q924" s="28"/>
    </row>
    <row r="925" ht="15.75" customHeight="1">
      <c r="E925" s="28"/>
      <c r="I925" s="28"/>
      <c r="M925" s="28"/>
      <c r="Q925" s="28"/>
    </row>
    <row r="926" ht="15.75" customHeight="1">
      <c r="E926" s="28"/>
      <c r="I926" s="28"/>
      <c r="M926" s="28"/>
      <c r="Q926" s="28"/>
    </row>
    <row r="927" ht="15.75" customHeight="1">
      <c r="E927" s="28"/>
      <c r="I927" s="28"/>
      <c r="M927" s="28"/>
      <c r="Q927" s="28"/>
    </row>
    <row r="928" ht="15.75" customHeight="1">
      <c r="E928" s="28"/>
      <c r="I928" s="28"/>
      <c r="M928" s="28"/>
      <c r="Q928" s="28"/>
    </row>
    <row r="929" ht="15.75" customHeight="1">
      <c r="E929" s="28"/>
      <c r="I929" s="28"/>
      <c r="M929" s="28"/>
      <c r="Q929" s="28"/>
    </row>
    <row r="930" ht="15.75" customHeight="1">
      <c r="E930" s="28"/>
      <c r="I930" s="28"/>
      <c r="M930" s="28"/>
      <c r="Q930" s="28"/>
    </row>
    <row r="931" ht="15.75" customHeight="1">
      <c r="E931" s="28"/>
      <c r="I931" s="28"/>
      <c r="M931" s="28"/>
      <c r="Q931" s="28"/>
    </row>
    <row r="932" ht="15.75" customHeight="1">
      <c r="E932" s="28"/>
      <c r="I932" s="28"/>
      <c r="M932" s="28"/>
      <c r="Q932" s="28"/>
    </row>
    <row r="933" ht="15.75" customHeight="1">
      <c r="E933" s="28"/>
      <c r="I933" s="28"/>
      <c r="M933" s="28"/>
      <c r="Q933" s="28"/>
    </row>
    <row r="934" ht="15.75" customHeight="1">
      <c r="E934" s="28"/>
      <c r="I934" s="28"/>
      <c r="M934" s="28"/>
      <c r="Q934" s="28"/>
    </row>
    <row r="935" ht="15.75" customHeight="1">
      <c r="E935" s="28"/>
      <c r="I935" s="28"/>
      <c r="M935" s="28"/>
      <c r="Q935" s="28"/>
    </row>
    <row r="936" ht="15.75" customHeight="1">
      <c r="E936" s="28"/>
      <c r="I936" s="28"/>
      <c r="M936" s="28"/>
      <c r="Q936" s="28"/>
    </row>
    <row r="937" ht="15.75" customHeight="1">
      <c r="E937" s="28"/>
      <c r="I937" s="28"/>
      <c r="M937" s="28"/>
      <c r="Q937" s="28"/>
    </row>
    <row r="938" ht="15.75" customHeight="1">
      <c r="E938" s="28"/>
      <c r="I938" s="28"/>
      <c r="M938" s="28"/>
      <c r="Q938" s="28"/>
    </row>
    <row r="939" ht="15.75" customHeight="1">
      <c r="E939" s="28"/>
      <c r="I939" s="28"/>
      <c r="M939" s="28"/>
      <c r="Q939" s="28"/>
    </row>
    <row r="940" ht="15.75" customHeight="1">
      <c r="E940" s="28"/>
      <c r="I940" s="28"/>
      <c r="M940" s="28"/>
      <c r="Q940" s="28"/>
    </row>
    <row r="941" ht="15.75" customHeight="1">
      <c r="E941" s="28"/>
      <c r="I941" s="28"/>
      <c r="M941" s="28"/>
      <c r="Q941" s="28"/>
    </row>
    <row r="942" ht="15.75" customHeight="1">
      <c r="E942" s="28"/>
      <c r="I942" s="28"/>
      <c r="M942" s="28"/>
      <c r="Q942" s="28"/>
    </row>
    <row r="943" ht="15.75" customHeight="1">
      <c r="E943" s="28"/>
      <c r="I943" s="28"/>
      <c r="M943" s="28"/>
      <c r="Q943" s="28"/>
    </row>
    <row r="944" ht="15.75" customHeight="1">
      <c r="E944" s="28"/>
      <c r="I944" s="28"/>
      <c r="M944" s="28"/>
      <c r="Q944" s="28"/>
    </row>
    <row r="945" ht="15.75" customHeight="1">
      <c r="E945" s="28"/>
      <c r="I945" s="28"/>
      <c r="M945" s="28"/>
      <c r="Q945" s="28"/>
    </row>
    <row r="946" ht="15.75" customHeight="1">
      <c r="E946" s="28"/>
      <c r="I946" s="28"/>
      <c r="M946" s="28"/>
      <c r="Q946" s="28"/>
    </row>
    <row r="947" ht="15.75" customHeight="1">
      <c r="E947" s="28"/>
      <c r="I947" s="28"/>
      <c r="M947" s="28"/>
      <c r="Q947" s="28"/>
    </row>
    <row r="948" ht="15.75" customHeight="1">
      <c r="E948" s="28"/>
      <c r="I948" s="28"/>
      <c r="M948" s="28"/>
      <c r="Q948" s="28"/>
    </row>
    <row r="949" ht="15.75" customHeight="1">
      <c r="E949" s="28"/>
      <c r="I949" s="28"/>
      <c r="M949" s="28"/>
      <c r="Q949" s="28"/>
    </row>
    <row r="950" ht="15.75" customHeight="1">
      <c r="E950" s="28"/>
      <c r="I950" s="28"/>
      <c r="M950" s="28"/>
      <c r="Q950" s="28"/>
    </row>
    <row r="951" ht="15.75" customHeight="1">
      <c r="E951" s="28"/>
      <c r="I951" s="28"/>
      <c r="M951" s="28"/>
      <c r="Q951" s="28"/>
    </row>
    <row r="952" ht="15.75" customHeight="1">
      <c r="E952" s="28"/>
      <c r="I952" s="28"/>
      <c r="M952" s="28"/>
      <c r="Q952" s="28"/>
    </row>
    <row r="953" ht="15.75" customHeight="1">
      <c r="E953" s="28"/>
      <c r="I953" s="28"/>
      <c r="M953" s="28"/>
      <c r="Q953" s="28"/>
    </row>
    <row r="954" ht="15.75" customHeight="1">
      <c r="E954" s="28"/>
      <c r="I954" s="28"/>
      <c r="M954" s="28"/>
      <c r="Q954" s="28"/>
    </row>
    <row r="955" ht="15.75" customHeight="1">
      <c r="E955" s="28"/>
      <c r="I955" s="28"/>
      <c r="M955" s="28"/>
      <c r="Q955" s="28"/>
    </row>
    <row r="956" ht="15.75" customHeight="1">
      <c r="E956" s="28"/>
      <c r="I956" s="28"/>
      <c r="M956" s="28"/>
      <c r="Q956" s="28"/>
    </row>
    <row r="957" ht="15.75" customHeight="1">
      <c r="E957" s="28"/>
      <c r="I957" s="28"/>
      <c r="M957" s="28"/>
      <c r="Q957" s="28"/>
    </row>
    <row r="958" ht="15.75" customHeight="1">
      <c r="E958" s="28"/>
      <c r="I958" s="28"/>
      <c r="M958" s="28"/>
      <c r="Q958" s="28"/>
    </row>
    <row r="959" ht="15.75" customHeight="1">
      <c r="E959" s="28"/>
      <c r="I959" s="28"/>
      <c r="M959" s="28"/>
      <c r="Q959" s="28"/>
    </row>
    <row r="960" ht="15.75" customHeight="1">
      <c r="E960" s="28"/>
      <c r="I960" s="28"/>
      <c r="M960" s="28"/>
      <c r="Q960" s="28"/>
    </row>
    <row r="961" ht="15.75" customHeight="1">
      <c r="E961" s="28"/>
      <c r="I961" s="28"/>
      <c r="M961" s="28"/>
      <c r="Q961" s="28"/>
    </row>
    <row r="962" ht="15.75" customHeight="1">
      <c r="E962" s="28"/>
      <c r="I962" s="28"/>
      <c r="M962" s="28"/>
      <c r="Q962" s="28"/>
    </row>
    <row r="963" ht="15.75" customHeight="1">
      <c r="E963" s="28"/>
      <c r="I963" s="28"/>
      <c r="M963" s="28"/>
      <c r="Q963" s="28"/>
    </row>
    <row r="964" ht="15.75" customHeight="1">
      <c r="E964" s="28"/>
      <c r="I964" s="28"/>
      <c r="M964" s="28"/>
      <c r="Q964" s="28"/>
    </row>
    <row r="965" ht="15.75" customHeight="1">
      <c r="E965" s="28"/>
      <c r="I965" s="28"/>
      <c r="M965" s="28"/>
      <c r="Q965" s="28"/>
    </row>
    <row r="966" ht="15.75" customHeight="1">
      <c r="E966" s="28"/>
      <c r="I966" s="28"/>
      <c r="M966" s="28"/>
      <c r="Q966" s="28"/>
    </row>
    <row r="967" ht="15.75" customHeight="1">
      <c r="E967" s="28"/>
      <c r="I967" s="28"/>
      <c r="M967" s="28"/>
      <c r="Q967" s="28"/>
    </row>
    <row r="968" ht="15.75" customHeight="1">
      <c r="E968" s="28"/>
      <c r="I968" s="28"/>
      <c r="M968" s="28"/>
      <c r="Q968" s="28"/>
    </row>
    <row r="969" ht="15.75" customHeight="1">
      <c r="E969" s="28"/>
      <c r="I969" s="28"/>
      <c r="M969" s="28"/>
      <c r="Q969" s="28"/>
    </row>
    <row r="970" ht="15.75" customHeight="1">
      <c r="E970" s="28"/>
      <c r="I970" s="28"/>
      <c r="M970" s="28"/>
      <c r="Q970" s="28"/>
    </row>
    <row r="971" ht="15.75" customHeight="1">
      <c r="E971" s="28"/>
      <c r="I971" s="28"/>
      <c r="M971" s="28"/>
      <c r="Q971" s="28"/>
    </row>
    <row r="972" ht="15.75" customHeight="1">
      <c r="E972" s="28"/>
      <c r="I972" s="28"/>
      <c r="M972" s="28"/>
      <c r="Q972" s="28"/>
    </row>
    <row r="973" ht="15.75" customHeight="1">
      <c r="E973" s="28"/>
      <c r="I973" s="28"/>
      <c r="M973" s="28"/>
      <c r="Q973" s="28"/>
    </row>
    <row r="974" ht="15.75" customHeight="1">
      <c r="E974" s="28"/>
      <c r="I974" s="28"/>
      <c r="M974" s="28"/>
      <c r="Q974" s="28"/>
    </row>
    <row r="975" ht="15.75" customHeight="1">
      <c r="E975" s="28"/>
      <c r="I975" s="28"/>
      <c r="M975" s="28"/>
      <c r="Q975" s="28"/>
    </row>
    <row r="976" ht="15.75" customHeight="1">
      <c r="E976" s="28"/>
      <c r="I976" s="28"/>
      <c r="M976" s="28"/>
      <c r="Q976" s="28"/>
    </row>
    <row r="977" ht="15.75" customHeight="1">
      <c r="E977" s="28"/>
      <c r="I977" s="28"/>
      <c r="M977" s="28"/>
      <c r="Q977" s="28"/>
    </row>
    <row r="978" ht="15.75" customHeight="1">
      <c r="E978" s="28"/>
      <c r="I978" s="28"/>
      <c r="M978" s="28"/>
      <c r="Q978" s="28"/>
    </row>
    <row r="979" ht="15.75" customHeight="1">
      <c r="E979" s="28"/>
      <c r="I979" s="28"/>
      <c r="M979" s="28"/>
      <c r="Q979" s="28"/>
    </row>
    <row r="980" ht="15.75" customHeight="1">
      <c r="E980" s="28"/>
      <c r="I980" s="28"/>
      <c r="M980" s="28"/>
      <c r="Q980" s="28"/>
    </row>
    <row r="981" ht="15.75" customHeight="1">
      <c r="E981" s="28"/>
      <c r="I981" s="28"/>
      <c r="M981" s="28"/>
      <c r="Q981" s="28"/>
    </row>
    <row r="982" ht="15.75" customHeight="1">
      <c r="E982" s="28"/>
      <c r="I982" s="28"/>
      <c r="M982" s="28"/>
      <c r="Q982" s="28"/>
    </row>
    <row r="983" ht="15.75" customHeight="1">
      <c r="E983" s="28"/>
      <c r="I983" s="28"/>
      <c r="M983" s="28"/>
      <c r="Q983" s="28"/>
    </row>
    <row r="984" ht="15.75" customHeight="1">
      <c r="E984" s="28"/>
      <c r="I984" s="28"/>
      <c r="M984" s="28"/>
      <c r="Q984" s="28"/>
    </row>
    <row r="985" ht="15.75" customHeight="1">
      <c r="E985" s="28"/>
      <c r="I985" s="28"/>
      <c r="M985" s="28"/>
      <c r="Q985" s="28"/>
    </row>
    <row r="986" ht="15.75" customHeight="1">
      <c r="E986" s="28"/>
      <c r="I986" s="28"/>
      <c r="M986" s="28"/>
      <c r="Q986" s="28"/>
    </row>
    <row r="987" ht="15.75" customHeight="1">
      <c r="E987" s="28"/>
      <c r="I987" s="28"/>
      <c r="M987" s="28"/>
      <c r="Q987" s="28"/>
    </row>
    <row r="988" ht="15.75" customHeight="1">
      <c r="E988" s="28"/>
      <c r="I988" s="28"/>
      <c r="M988" s="28"/>
      <c r="Q988" s="28"/>
    </row>
    <row r="989" ht="15.75" customHeight="1">
      <c r="E989" s="28"/>
      <c r="I989" s="28"/>
      <c r="M989" s="28"/>
      <c r="Q989" s="28"/>
    </row>
    <row r="990" ht="15.75" customHeight="1">
      <c r="E990" s="28"/>
      <c r="I990" s="28"/>
      <c r="M990" s="28"/>
      <c r="Q990" s="28"/>
    </row>
    <row r="991" ht="15.75" customHeight="1">
      <c r="E991" s="28"/>
      <c r="I991" s="28"/>
      <c r="M991" s="28"/>
      <c r="Q991" s="28"/>
    </row>
    <row r="992" ht="15.75" customHeight="1">
      <c r="E992" s="28"/>
      <c r="I992" s="28"/>
      <c r="M992" s="28"/>
      <c r="Q992" s="28"/>
    </row>
    <row r="993" ht="15.75" customHeight="1">
      <c r="E993" s="28"/>
      <c r="I993" s="28"/>
      <c r="M993" s="28"/>
      <c r="Q993" s="28"/>
    </row>
    <row r="994" ht="15.75" customHeight="1">
      <c r="E994" s="28"/>
      <c r="I994" s="28"/>
      <c r="M994" s="28"/>
      <c r="Q994" s="28"/>
    </row>
    <row r="995" ht="15.75" customHeight="1">
      <c r="E995" s="28"/>
      <c r="I995" s="28"/>
      <c r="M995" s="28"/>
      <c r="Q995" s="28"/>
    </row>
    <row r="996" ht="15.75" customHeight="1">
      <c r="E996" s="28"/>
      <c r="I996" s="28"/>
      <c r="M996" s="28"/>
      <c r="Q996" s="28"/>
    </row>
    <row r="997" ht="15.75" customHeight="1">
      <c r="E997" s="28"/>
      <c r="I997" s="28"/>
      <c r="M997" s="28"/>
      <c r="Q997" s="28"/>
    </row>
    <row r="998" ht="15.75" customHeight="1">
      <c r="E998" s="28"/>
      <c r="I998" s="28"/>
      <c r="M998" s="28"/>
      <c r="Q998" s="28"/>
    </row>
    <row r="999" ht="15.75" customHeight="1">
      <c r="E999" s="28"/>
      <c r="I999" s="28"/>
      <c r="M999" s="28"/>
      <c r="Q999" s="28"/>
    </row>
    <row r="1000" ht="15.75" customHeight="1">
      <c r="E1000" s="28"/>
      <c r="I1000" s="28"/>
      <c r="M1000" s="28"/>
      <c r="Q1000" s="28"/>
    </row>
  </sheetData>
  <mergeCells count="7">
    <mergeCell ref="B1:E1"/>
    <mergeCell ref="F1:I1"/>
    <mergeCell ref="J1:M1"/>
    <mergeCell ref="N1:Q1"/>
    <mergeCell ref="R1:U1"/>
    <mergeCell ref="V1:Y1"/>
    <mergeCell ref="Z1:AC1"/>
  </mergeCells>
  <dataValidations>
    <dataValidation type="custom" allowBlank="1" showDropDown="1" sqref="A3:A58">
      <formula1>OR(NOT(ISERROR(DATEVALUE(A3))), AND(ISNUMBER(A3), LEFT(CELL("format", A3))="D"))</formula1>
    </dataValidation>
    <dataValidation type="custom" allowBlank="1" showDropDown="1" sqref="B3:C58 E3:I58 K3:K58 M3:O58 Q3:AC58 R67:R69">
      <formula1>AND(ISNUMBER(B3),(NOT(OR(NOT(ISERROR(DATEVALUE(B3))), AND(ISNUMBER(B3), LEFT(CELL("format", B3))="D")))))</formula1>
    </dataValidation>
  </dataValidation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78"/>
    <col customWidth="1" min="2" max="2" width="15.11"/>
    <col customWidth="1" min="3" max="3" width="14.22"/>
    <col customWidth="1" min="4" max="4" width="16.22"/>
    <col customWidth="1" min="5" max="5" width="12.78"/>
    <col customWidth="1" min="6" max="7" width="11.78"/>
    <col customWidth="1" min="8" max="8" width="12.78"/>
    <col customWidth="1" min="9" max="9" width="13.0"/>
    <col customWidth="1" min="10" max="10" width="10.56"/>
    <col customWidth="1" min="11" max="12" width="11.44"/>
    <col customWidth="1" min="13" max="24" width="10.56"/>
  </cols>
  <sheetData>
    <row r="1" ht="15.75" customHeight="1">
      <c r="A1" s="6" t="s">
        <v>16</v>
      </c>
      <c r="B1" s="7" t="s">
        <v>32</v>
      </c>
      <c r="C1" s="7" t="s">
        <v>18</v>
      </c>
      <c r="D1" s="7" t="s">
        <v>43</v>
      </c>
      <c r="E1" s="7" t="s">
        <v>33</v>
      </c>
      <c r="F1" s="7" t="s">
        <v>44</v>
      </c>
      <c r="G1" s="7" t="s">
        <v>45</v>
      </c>
      <c r="H1" s="7" t="s">
        <v>46</v>
      </c>
      <c r="I1" s="40" t="s">
        <v>47</v>
      </c>
    </row>
    <row r="2" ht="15.75" customHeight="1">
      <c r="A2" s="41">
        <v>44075.0</v>
      </c>
      <c r="B2" s="11">
        <v>3002.34</v>
      </c>
      <c r="C2" s="11">
        <v>7197.28</v>
      </c>
      <c r="D2" s="11">
        <v>-4171.16</v>
      </c>
      <c r="E2" s="12">
        <v>6028.46</v>
      </c>
      <c r="F2" s="66">
        <v>3483.68</v>
      </c>
      <c r="G2" s="11">
        <v>1445.0</v>
      </c>
      <c r="H2" s="12">
        <v>0.0</v>
      </c>
      <c r="I2" s="66">
        <f t="shared" ref="I2:I58" si="1">E2-B2</f>
        <v>3026.12</v>
      </c>
    </row>
    <row r="3" ht="15.75" customHeight="1">
      <c r="A3" s="67">
        <v>44105.0</v>
      </c>
      <c r="B3" s="68">
        <v>6028.46</v>
      </c>
      <c r="C3" s="68">
        <v>5282.13</v>
      </c>
      <c r="D3" s="68">
        <v>-3152.31</v>
      </c>
      <c r="E3" s="69">
        <v>8158.28</v>
      </c>
      <c r="F3" s="70">
        <v>4682.08</v>
      </c>
      <c r="G3" s="68">
        <v>1445.0</v>
      </c>
      <c r="H3" s="69">
        <v>0.0</v>
      </c>
      <c r="I3" s="70">
        <f t="shared" si="1"/>
        <v>2129.82</v>
      </c>
      <c r="K3" s="4"/>
    </row>
    <row r="4" ht="15.75" customHeight="1">
      <c r="A4" s="41">
        <v>44136.0</v>
      </c>
      <c r="B4" s="11">
        <v>8158.28</v>
      </c>
      <c r="C4" s="11">
        <v>4546.6</v>
      </c>
      <c r="D4" s="11">
        <v>-2758.82</v>
      </c>
      <c r="E4" s="12">
        <v>9946.06</v>
      </c>
      <c r="F4" s="66">
        <v>4546.54</v>
      </c>
      <c r="G4" s="11">
        <v>1445.0</v>
      </c>
      <c r="H4" s="12">
        <v>0.0</v>
      </c>
      <c r="I4" s="66">
        <f t="shared" si="1"/>
        <v>1787.78</v>
      </c>
    </row>
    <row r="5" ht="15.75" customHeight="1">
      <c r="A5" s="67">
        <v>44166.0</v>
      </c>
      <c r="B5" s="68">
        <v>9946.06</v>
      </c>
      <c r="C5" s="68">
        <v>4577.21</v>
      </c>
      <c r="D5" s="68">
        <v>-2765.24</v>
      </c>
      <c r="E5" s="69">
        <v>11758.03</v>
      </c>
      <c r="F5" s="70">
        <v>4546.6</v>
      </c>
      <c r="G5" s="68">
        <v>1445.0</v>
      </c>
      <c r="H5" s="69">
        <v>0.0</v>
      </c>
      <c r="I5" s="70">
        <f t="shared" si="1"/>
        <v>1811.97</v>
      </c>
    </row>
    <row r="6" ht="15.75" customHeight="1">
      <c r="A6" s="41">
        <v>44197.0</v>
      </c>
      <c r="B6" s="11">
        <v>11758.03</v>
      </c>
      <c r="C6" s="11">
        <v>5253.53</v>
      </c>
      <c r="D6" s="11">
        <v>-2173.07</v>
      </c>
      <c r="E6" s="12">
        <v>14838.49</v>
      </c>
      <c r="F6" s="66">
        <v>4653.42</v>
      </c>
      <c r="G6" s="11">
        <v>1445.0</v>
      </c>
      <c r="H6" s="12">
        <v>0.0</v>
      </c>
      <c r="I6" s="66">
        <f t="shared" si="1"/>
        <v>3080.46</v>
      </c>
    </row>
    <row r="7" ht="15.75" customHeight="1">
      <c r="A7" s="67">
        <v>44228.0</v>
      </c>
      <c r="B7" s="68">
        <v>14838.49</v>
      </c>
      <c r="C7" s="68">
        <v>5771.37</v>
      </c>
      <c r="D7" s="68">
        <v>-2490.47</v>
      </c>
      <c r="E7" s="69">
        <v>18119.39</v>
      </c>
      <c r="F7" s="70">
        <v>4771.26</v>
      </c>
      <c r="G7" s="68">
        <v>1445.0</v>
      </c>
      <c r="H7" s="69">
        <v>0.0</v>
      </c>
      <c r="I7" s="70">
        <f t="shared" si="1"/>
        <v>3280.9</v>
      </c>
    </row>
    <row r="8" ht="15.75" customHeight="1">
      <c r="A8" s="41">
        <v>44256.0</v>
      </c>
      <c r="B8" s="11">
        <v>18119.39</v>
      </c>
      <c r="C8" s="11">
        <v>7720.4</v>
      </c>
      <c r="D8" s="11">
        <v>-5215.24</v>
      </c>
      <c r="E8" s="12">
        <v>20624.55</v>
      </c>
      <c r="F8" s="66">
        <v>5389.93</v>
      </c>
      <c r="G8" s="11">
        <v>1445.0</v>
      </c>
      <c r="H8" s="12">
        <v>0.0</v>
      </c>
      <c r="I8" s="66">
        <f t="shared" si="1"/>
        <v>2505.16</v>
      </c>
    </row>
    <row r="9" ht="15.75" customHeight="1">
      <c r="A9" s="67">
        <v>44287.0</v>
      </c>
      <c r="B9" s="68">
        <v>20624.55</v>
      </c>
      <c r="C9" s="68">
        <v>9238.63</v>
      </c>
      <c r="D9" s="68">
        <v>-10963.88</v>
      </c>
      <c r="E9" s="69">
        <v>18899.3</v>
      </c>
      <c r="F9" s="70">
        <v>4653.42</v>
      </c>
      <c r="G9" s="68">
        <v>1445.0</v>
      </c>
      <c r="H9" s="69">
        <v>0.0</v>
      </c>
      <c r="I9" s="70">
        <f t="shared" si="1"/>
        <v>-1725.25</v>
      </c>
    </row>
    <row r="10" ht="15.75" customHeight="1">
      <c r="A10" s="41">
        <v>44317.0</v>
      </c>
      <c r="B10" s="11">
        <v>18899.3</v>
      </c>
      <c r="C10" s="11">
        <v>5253.56</v>
      </c>
      <c r="D10" s="11">
        <v>-8415.93</v>
      </c>
      <c r="E10" s="12">
        <v>15736.93</v>
      </c>
      <c r="F10" s="66">
        <v>4653.42</v>
      </c>
      <c r="G10" s="11">
        <v>1445.0</v>
      </c>
      <c r="H10" s="12">
        <v>0.0</v>
      </c>
      <c r="I10" s="66">
        <f t="shared" si="1"/>
        <v>-3162.37</v>
      </c>
    </row>
    <row r="11" ht="15.75" customHeight="1">
      <c r="A11" s="67">
        <v>44348.0</v>
      </c>
      <c r="B11" s="68">
        <v>15736.93</v>
      </c>
      <c r="C11" s="68">
        <v>4653.47</v>
      </c>
      <c r="D11" s="68">
        <v>-3894.44</v>
      </c>
      <c r="E11" s="69">
        <v>16495.96</v>
      </c>
      <c r="F11" s="70">
        <v>4653.35</v>
      </c>
      <c r="G11" s="68">
        <v>1445.0</v>
      </c>
      <c r="H11" s="69">
        <v>0.0</v>
      </c>
      <c r="I11" s="70">
        <f t="shared" si="1"/>
        <v>759.03</v>
      </c>
    </row>
    <row r="12" ht="15.75" customHeight="1">
      <c r="A12" s="41">
        <v>44378.0</v>
      </c>
      <c r="B12" s="11">
        <v>16495.96</v>
      </c>
      <c r="C12" s="11">
        <v>4735.61</v>
      </c>
      <c r="D12" s="11">
        <v>-3951.99</v>
      </c>
      <c r="E12" s="12">
        <v>17279.58</v>
      </c>
      <c r="F12" s="66">
        <v>4653.299999999999</v>
      </c>
      <c r="G12" s="11">
        <v>1445.0</v>
      </c>
      <c r="H12" s="12">
        <v>0.0</v>
      </c>
      <c r="I12" s="66">
        <f t="shared" si="1"/>
        <v>783.62</v>
      </c>
    </row>
    <row r="13" ht="15.75" customHeight="1">
      <c r="A13" s="67">
        <v>44409.0</v>
      </c>
      <c r="B13" s="68">
        <v>17279.58</v>
      </c>
      <c r="C13" s="68">
        <v>4653.44</v>
      </c>
      <c r="D13" s="68">
        <v>-3623.07</v>
      </c>
      <c r="E13" s="69">
        <v>18309.95</v>
      </c>
      <c r="F13" s="70">
        <v>4653.3</v>
      </c>
      <c r="G13" s="68">
        <v>1450.0</v>
      </c>
      <c r="H13" s="69">
        <v>0.0</v>
      </c>
      <c r="I13" s="70">
        <f t="shared" si="1"/>
        <v>1030.37</v>
      </c>
    </row>
    <row r="14" ht="15.75" customHeight="1">
      <c r="A14" s="41">
        <v>44440.0</v>
      </c>
      <c r="B14" s="11">
        <v>18309.95</v>
      </c>
      <c r="C14" s="11">
        <v>4653.45</v>
      </c>
      <c r="D14" s="11">
        <v>-3209.48</v>
      </c>
      <c r="E14" s="12">
        <v>19753.92</v>
      </c>
      <c r="F14" s="66">
        <v>4653.3</v>
      </c>
      <c r="G14" s="11">
        <v>816.0</v>
      </c>
      <c r="H14" s="12">
        <v>0.0</v>
      </c>
      <c r="I14" s="66">
        <f t="shared" si="1"/>
        <v>1443.97</v>
      </c>
    </row>
    <row r="15" ht="15.75" customHeight="1">
      <c r="A15" s="67">
        <v>44470.0</v>
      </c>
      <c r="B15" s="68">
        <v>19753.92</v>
      </c>
      <c r="C15" s="68">
        <v>6084.44</v>
      </c>
      <c r="D15" s="68">
        <v>-19104.87</v>
      </c>
      <c r="E15" s="69">
        <v>6733.49</v>
      </c>
      <c r="F15" s="70">
        <v>4653.29</v>
      </c>
      <c r="G15" s="68">
        <v>1260.0</v>
      </c>
      <c r="H15" s="69">
        <v>14866.0</v>
      </c>
      <c r="I15" s="70">
        <f t="shared" si="1"/>
        <v>-13020.43</v>
      </c>
    </row>
    <row r="16" ht="15.75" customHeight="1">
      <c r="A16" s="41">
        <v>44501.0</v>
      </c>
      <c r="B16" s="11">
        <v>6733.49</v>
      </c>
      <c r="C16" s="11">
        <v>4653.35</v>
      </c>
      <c r="D16" s="11">
        <v>-3840.57</v>
      </c>
      <c r="E16" s="12">
        <v>7546.27</v>
      </c>
      <c r="F16" s="66">
        <v>4653.3099999999995</v>
      </c>
      <c r="G16" s="11">
        <v>1260.0</v>
      </c>
      <c r="H16" s="12">
        <v>1000.0</v>
      </c>
      <c r="I16" s="66">
        <f t="shared" si="1"/>
        <v>812.78</v>
      </c>
    </row>
    <row r="17" ht="15.75" customHeight="1">
      <c r="A17" s="67">
        <v>44531.0</v>
      </c>
      <c r="B17" s="68">
        <v>7546.27</v>
      </c>
      <c r="C17" s="68">
        <v>4753.47</v>
      </c>
      <c r="D17" s="68">
        <v>-6186.74</v>
      </c>
      <c r="E17" s="69">
        <v>6113.0</v>
      </c>
      <c r="F17" s="70">
        <v>4653.3</v>
      </c>
      <c r="G17" s="68">
        <v>1260.0</v>
      </c>
      <c r="H17" s="69">
        <v>1000.0</v>
      </c>
      <c r="I17" s="70">
        <f t="shared" si="1"/>
        <v>-1433.27</v>
      </c>
    </row>
    <row r="18" ht="15.75" customHeight="1">
      <c r="A18" s="41">
        <v>44562.0</v>
      </c>
      <c r="B18" s="11">
        <v>6113.0</v>
      </c>
      <c r="C18" s="11">
        <v>5420.49</v>
      </c>
      <c r="D18" s="11">
        <v>-3357.32</v>
      </c>
      <c r="E18" s="12">
        <v>8176.17</v>
      </c>
      <c r="F18" s="66">
        <v>5320.4400000000005</v>
      </c>
      <c r="G18" s="11">
        <v>1260.0</v>
      </c>
      <c r="H18" s="12">
        <v>1000.0</v>
      </c>
      <c r="I18" s="66">
        <f t="shared" si="1"/>
        <v>2063.17</v>
      </c>
    </row>
    <row r="19" ht="15.75" customHeight="1">
      <c r="A19" s="67">
        <v>44593.0</v>
      </c>
      <c r="B19" s="68">
        <v>8176.17</v>
      </c>
      <c r="C19" s="68">
        <v>5643.26</v>
      </c>
      <c r="D19" s="68">
        <v>-5411.68</v>
      </c>
      <c r="E19" s="69">
        <v>8407.75</v>
      </c>
      <c r="F19" s="70">
        <v>5165.540000000001</v>
      </c>
      <c r="G19" s="68">
        <v>1260.0</v>
      </c>
      <c r="H19" s="69">
        <v>1000.0</v>
      </c>
      <c r="I19" s="70">
        <f t="shared" si="1"/>
        <v>231.58</v>
      </c>
    </row>
    <row r="20" ht="15.75" customHeight="1">
      <c r="A20" s="41">
        <v>44621.0</v>
      </c>
      <c r="B20" s="11">
        <v>8407.75</v>
      </c>
      <c r="C20" s="11">
        <f>8257.96-2549.51</f>
        <v>5708.45</v>
      </c>
      <c r="D20" s="11">
        <f>-(8025.6-2549.51)</f>
        <v>-5476.09</v>
      </c>
      <c r="E20" s="12">
        <v>8640.11</v>
      </c>
      <c r="F20" s="66">
        <v>5011.92</v>
      </c>
      <c r="G20" s="11">
        <v>1260.0</v>
      </c>
      <c r="H20" s="12">
        <v>1324.0</v>
      </c>
      <c r="I20" s="66">
        <f t="shared" si="1"/>
        <v>232.36</v>
      </c>
    </row>
    <row r="21" ht="15.75" customHeight="1">
      <c r="A21" s="67">
        <v>44652.0</v>
      </c>
      <c r="B21" s="68">
        <v>8640.11</v>
      </c>
      <c r="C21" s="68">
        <v>4959.87</v>
      </c>
      <c r="D21" s="68">
        <v>-6126.44</v>
      </c>
      <c r="E21" s="69">
        <v>7473.54</v>
      </c>
      <c r="F21" s="70">
        <v>3879.8100000000004</v>
      </c>
      <c r="G21" s="68">
        <v>1260.0</v>
      </c>
      <c r="H21" s="69">
        <v>1000.0</v>
      </c>
      <c r="I21" s="70">
        <f t="shared" si="1"/>
        <v>-1166.57</v>
      </c>
    </row>
    <row r="22" ht="15.75" customHeight="1">
      <c r="A22" s="41">
        <v>44682.0</v>
      </c>
      <c r="B22" s="11">
        <v>7473.54</v>
      </c>
      <c r="C22" s="11">
        <v>5099.05</v>
      </c>
      <c r="D22" s="11">
        <v>-4095.15</v>
      </c>
      <c r="E22" s="12">
        <v>8477.44</v>
      </c>
      <c r="F22" s="66">
        <v>5099.0</v>
      </c>
      <c r="G22" s="11">
        <v>1260.0</v>
      </c>
      <c r="H22" s="12">
        <v>1000.0</v>
      </c>
      <c r="I22" s="66">
        <f t="shared" si="1"/>
        <v>1003.9</v>
      </c>
    </row>
    <row r="23" ht="15.75" customHeight="1">
      <c r="A23" s="67">
        <v>44713.0</v>
      </c>
      <c r="B23" s="68">
        <v>8477.44</v>
      </c>
      <c r="C23" s="68">
        <v>5099.07</v>
      </c>
      <c r="D23" s="68">
        <v>-4864.96</v>
      </c>
      <c r="E23" s="69">
        <v>8711.55</v>
      </c>
      <c r="F23" s="70">
        <v>5099.01</v>
      </c>
      <c r="G23" s="68">
        <v>1260.0</v>
      </c>
      <c r="H23" s="69">
        <v>1000.0</v>
      </c>
      <c r="I23" s="70">
        <f t="shared" si="1"/>
        <v>234.11</v>
      </c>
    </row>
    <row r="24" ht="15.75" customHeight="1">
      <c r="A24" s="41">
        <v>44743.0</v>
      </c>
      <c r="B24" s="11">
        <v>8711.55</v>
      </c>
      <c r="C24" s="11">
        <v>5299.09</v>
      </c>
      <c r="D24" s="11">
        <v>-4567.16</v>
      </c>
      <c r="E24" s="12">
        <v>9443.48</v>
      </c>
      <c r="F24" s="66">
        <v>5099.02</v>
      </c>
      <c r="G24" s="11">
        <v>1260.0</v>
      </c>
      <c r="H24" s="12">
        <v>1000.0</v>
      </c>
      <c r="I24" s="66">
        <f t="shared" si="1"/>
        <v>731.93</v>
      </c>
    </row>
    <row r="25" ht="15.75" customHeight="1">
      <c r="A25" s="67">
        <v>44774.0</v>
      </c>
      <c r="B25" s="68">
        <v>9443.48</v>
      </c>
      <c r="C25" s="68">
        <v>5999.08</v>
      </c>
      <c r="D25" s="68">
        <v>-5277.95</v>
      </c>
      <c r="E25" s="69">
        <v>10164.61</v>
      </c>
      <c r="F25" s="70">
        <v>5099.01</v>
      </c>
      <c r="G25" s="68">
        <v>1260.0</v>
      </c>
      <c r="H25" s="69">
        <v>1000.0</v>
      </c>
      <c r="I25" s="70">
        <f t="shared" si="1"/>
        <v>721.13</v>
      </c>
    </row>
    <row r="26" ht="15.75" customHeight="1">
      <c r="A26" s="41">
        <v>44805.0</v>
      </c>
      <c r="B26" s="11">
        <v>10164.61</v>
      </c>
      <c r="C26" s="11">
        <v>5099.08</v>
      </c>
      <c r="D26" s="11">
        <v>-3416.8</v>
      </c>
      <c r="E26" s="12">
        <v>11846.89</v>
      </c>
      <c r="F26" s="66">
        <v>5099.0</v>
      </c>
      <c r="G26" s="11">
        <v>1260.0</v>
      </c>
      <c r="H26" s="12">
        <v>1000.0</v>
      </c>
      <c r="I26" s="66">
        <f t="shared" si="1"/>
        <v>1682.28</v>
      </c>
    </row>
    <row r="27" ht="15.75" customHeight="1">
      <c r="A27" s="67">
        <v>44835.0</v>
      </c>
      <c r="B27" s="68">
        <v>11846.89</v>
      </c>
      <c r="C27" s="68">
        <v>5449.1</v>
      </c>
      <c r="D27" s="68">
        <v>-5888.93</v>
      </c>
      <c r="E27" s="69">
        <v>11407.06</v>
      </c>
      <c r="F27" s="70">
        <v>5099.01</v>
      </c>
      <c r="G27" s="68">
        <v>1260.0</v>
      </c>
      <c r="H27" s="69">
        <v>1000.0</v>
      </c>
      <c r="I27" s="70">
        <f t="shared" si="1"/>
        <v>-439.83</v>
      </c>
    </row>
    <row r="28" ht="15.75" customHeight="1">
      <c r="A28" s="41">
        <v>44866.0</v>
      </c>
      <c r="B28" s="11">
        <v>11407.06</v>
      </c>
      <c r="C28" s="11">
        <v>5384.09</v>
      </c>
      <c r="D28" s="11">
        <v>-4478.71</v>
      </c>
      <c r="E28" s="12">
        <v>12312.44</v>
      </c>
      <c r="F28" s="66">
        <v>5099.01</v>
      </c>
      <c r="G28" s="11">
        <v>1260.0</v>
      </c>
      <c r="H28" s="12">
        <v>0.0</v>
      </c>
      <c r="I28" s="66">
        <f t="shared" si="1"/>
        <v>905.38</v>
      </c>
      <c r="L28" s="4"/>
    </row>
    <row r="29" ht="15.75" customHeight="1">
      <c r="A29" s="67">
        <v>44896.0</v>
      </c>
      <c r="B29" s="68">
        <v>12312.44</v>
      </c>
      <c r="C29" s="68">
        <v>5099.09</v>
      </c>
      <c r="D29" s="68">
        <v>-4225.9</v>
      </c>
      <c r="E29" s="69">
        <v>13185.63</v>
      </c>
      <c r="F29" s="70">
        <v>5099.0</v>
      </c>
      <c r="G29" s="68">
        <v>1260.0</v>
      </c>
      <c r="H29" s="69">
        <v>0.0</v>
      </c>
      <c r="I29" s="70">
        <f t="shared" si="1"/>
        <v>873.19</v>
      </c>
    </row>
    <row r="30" ht="15.75" customHeight="1">
      <c r="A30" s="41">
        <v>44927.0</v>
      </c>
      <c r="B30" s="11">
        <v>13185.63</v>
      </c>
      <c r="C30" s="11">
        <v>4982.47</v>
      </c>
      <c r="D30" s="11">
        <v>-3718.56</v>
      </c>
      <c r="E30" s="12">
        <v>14449.54</v>
      </c>
      <c r="F30" s="66">
        <f>2590.83+2391.52</f>
        <v>4982.35</v>
      </c>
      <c r="G30" s="11">
        <v>1260.0</v>
      </c>
      <c r="H30" s="12">
        <v>0.0</v>
      </c>
      <c r="I30" s="66">
        <f t="shared" si="1"/>
        <v>1263.91</v>
      </c>
    </row>
    <row r="31" ht="15.75" customHeight="1">
      <c r="A31" s="67">
        <v>44958.0</v>
      </c>
      <c r="B31" s="68">
        <v>14449.54</v>
      </c>
      <c r="C31" s="68">
        <v>4783.13</v>
      </c>
      <c r="D31" s="68">
        <v>-10713.05</v>
      </c>
      <c r="E31" s="69">
        <v>8519.62</v>
      </c>
      <c r="F31" s="70">
        <f t="shared" ref="F31:F32" si="2">2391.53+2391.54</f>
        <v>4783.07</v>
      </c>
      <c r="G31" s="68">
        <v>1260.0</v>
      </c>
      <c r="H31" s="69">
        <v>0.0</v>
      </c>
      <c r="I31" s="70">
        <f t="shared" si="1"/>
        <v>-5929.92</v>
      </c>
    </row>
    <row r="32" ht="15.75" customHeight="1">
      <c r="A32" s="41">
        <v>44986.0</v>
      </c>
      <c r="B32" s="11">
        <v>8519.62</v>
      </c>
      <c r="C32" s="11">
        <v>4783.14</v>
      </c>
      <c r="D32" s="11">
        <v>-5094.4</v>
      </c>
      <c r="E32" s="12">
        <v>8208.36</v>
      </c>
      <c r="F32" s="66">
        <f t="shared" si="2"/>
        <v>4783.07</v>
      </c>
      <c r="G32" s="11">
        <v>1260.0</v>
      </c>
      <c r="H32" s="12">
        <v>0.0</v>
      </c>
      <c r="I32" s="66">
        <f t="shared" si="1"/>
        <v>-311.26</v>
      </c>
    </row>
    <row r="33" ht="15.75" customHeight="1">
      <c r="A33" s="67">
        <v>45017.0</v>
      </c>
      <c r="B33" s="68">
        <v>8208.36</v>
      </c>
      <c r="C33" s="68">
        <v>5148.4</v>
      </c>
      <c r="D33" s="68">
        <v>-2515.43</v>
      </c>
      <c r="E33" s="69">
        <v>10841.33</v>
      </c>
      <c r="F33" s="70">
        <f>2391.53+2391.52</f>
        <v>4783.05</v>
      </c>
      <c r="G33" s="68">
        <v>1260.0</v>
      </c>
      <c r="H33" s="69">
        <v>0.0</v>
      </c>
      <c r="I33" s="70">
        <f t="shared" si="1"/>
        <v>2632.97</v>
      </c>
    </row>
    <row r="34" ht="15.75" customHeight="1">
      <c r="A34" s="41">
        <v>45047.0</v>
      </c>
      <c r="B34" s="11">
        <v>10841.33</v>
      </c>
      <c r="C34" s="11">
        <v>6317.72</v>
      </c>
      <c r="D34" s="11">
        <v>-6607.86</v>
      </c>
      <c r="E34" s="12">
        <v>10551.19</v>
      </c>
      <c r="F34" s="66">
        <f>2391.54+2391.53</f>
        <v>4783.07</v>
      </c>
      <c r="G34" s="11">
        <v>1260.0</v>
      </c>
      <c r="H34" s="12">
        <v>0.0</v>
      </c>
      <c r="I34" s="66">
        <f t="shared" si="1"/>
        <v>-290.14</v>
      </c>
    </row>
    <row r="35" ht="15.75" customHeight="1">
      <c r="A35" s="67">
        <v>45078.0</v>
      </c>
      <c r="B35" s="68">
        <v>10551.19</v>
      </c>
      <c r="C35" s="68">
        <v>4783.14</v>
      </c>
      <c r="D35" s="68">
        <v>-4773.65</v>
      </c>
      <c r="E35" s="69">
        <v>10560.68</v>
      </c>
      <c r="F35" s="70">
        <f>2391.52+2391.53</f>
        <v>4783.05</v>
      </c>
      <c r="G35" s="68">
        <v>1260.0</v>
      </c>
      <c r="H35" s="69">
        <v>0.0</v>
      </c>
      <c r="I35" s="70">
        <f t="shared" si="1"/>
        <v>9.49</v>
      </c>
    </row>
    <row r="36" ht="15.75" customHeight="1">
      <c r="A36" s="41">
        <v>45108.0</v>
      </c>
      <c r="B36" s="11">
        <v>10560.68</v>
      </c>
      <c r="C36" s="11">
        <v>7174.69</v>
      </c>
      <c r="D36" s="11">
        <v>-4042.0</v>
      </c>
      <c r="E36" s="12">
        <v>13693.37</v>
      </c>
      <c r="F36" s="66">
        <f>2391.52+2391.53+2391.54</f>
        <v>7174.59</v>
      </c>
      <c r="G36" s="11">
        <v>1260.0</v>
      </c>
      <c r="H36" s="12">
        <v>0.0</v>
      </c>
      <c r="I36" s="66">
        <f t="shared" si="1"/>
        <v>3132.69</v>
      </c>
    </row>
    <row r="37" ht="15.75" customHeight="1">
      <c r="A37" s="67">
        <v>45139.0</v>
      </c>
      <c r="B37" s="68">
        <v>13693.37</v>
      </c>
      <c r="C37" s="68">
        <v>7643.21</v>
      </c>
      <c r="D37" s="68">
        <v>-10324.51</v>
      </c>
      <c r="E37" s="69">
        <v>11012.07</v>
      </c>
      <c r="F37" s="70">
        <f>2391.52+2391.54</f>
        <v>4783.06</v>
      </c>
      <c r="G37" s="68">
        <v>1260.0</v>
      </c>
      <c r="H37" s="69">
        <v>0.0</v>
      </c>
      <c r="I37" s="70">
        <f t="shared" si="1"/>
        <v>-2681.3</v>
      </c>
    </row>
    <row r="38" ht="15.75" customHeight="1">
      <c r="A38" s="41">
        <v>45170.0</v>
      </c>
      <c r="B38" s="11">
        <v>11012.07</v>
      </c>
      <c r="C38" s="11">
        <v>4928.35</v>
      </c>
      <c r="D38" s="11">
        <v>-7336.97</v>
      </c>
      <c r="E38" s="12">
        <v>8603.45</v>
      </c>
      <c r="F38" s="66">
        <f>2536.73+2391.54</f>
        <v>4928.27</v>
      </c>
      <c r="G38" s="11">
        <v>1260.0</v>
      </c>
      <c r="H38" s="12">
        <v>0.0</v>
      </c>
      <c r="I38" s="66">
        <f t="shared" si="1"/>
        <v>-2408.62</v>
      </c>
    </row>
    <row r="39" ht="15.75" customHeight="1">
      <c r="A39" s="67">
        <v>45200.0</v>
      </c>
      <c r="B39" s="68">
        <v>8603.45</v>
      </c>
      <c r="C39" s="68">
        <v>5073.55</v>
      </c>
      <c r="D39" s="68">
        <v>-6078.79</v>
      </c>
      <c r="E39" s="69">
        <v>7598.21</v>
      </c>
      <c r="F39" s="70">
        <f>2536.74+2536.74</f>
        <v>5073.48</v>
      </c>
      <c r="G39" s="68">
        <v>1260.0</v>
      </c>
      <c r="H39" s="69">
        <v>0.0</v>
      </c>
      <c r="I39" s="70">
        <f t="shared" si="1"/>
        <v>-1005.24</v>
      </c>
    </row>
    <row r="40" ht="15.75" customHeight="1">
      <c r="A40" s="41">
        <v>45231.0</v>
      </c>
      <c r="B40" s="11">
        <v>7598.21</v>
      </c>
      <c r="C40" s="11">
        <v>6688.54</v>
      </c>
      <c r="D40" s="11">
        <v>-4730.83</v>
      </c>
      <c r="E40" s="12">
        <v>9555.92</v>
      </c>
      <c r="F40" s="66">
        <f>2536.75+2536.73</f>
        <v>5073.48</v>
      </c>
      <c r="G40" s="11">
        <v>1260.0</v>
      </c>
      <c r="H40" s="12">
        <v>0.0</v>
      </c>
      <c r="I40" s="66">
        <f t="shared" si="1"/>
        <v>1957.71</v>
      </c>
    </row>
    <row r="41" ht="15.75" customHeight="1">
      <c r="A41" s="67">
        <v>45261.0</v>
      </c>
      <c r="B41" s="68">
        <v>9555.92</v>
      </c>
      <c r="C41" s="68">
        <v>5724.74</v>
      </c>
      <c r="D41" s="68">
        <v>-6794.55</v>
      </c>
      <c r="E41" s="69">
        <v>8486.11</v>
      </c>
      <c r="F41" s="70">
        <f>2536.73+2536.74</f>
        <v>5073.47</v>
      </c>
      <c r="G41" s="68">
        <v>1260.0</v>
      </c>
      <c r="H41" s="69">
        <v>0.0</v>
      </c>
      <c r="I41" s="70">
        <f t="shared" si="1"/>
        <v>-1069.81</v>
      </c>
    </row>
    <row r="42" ht="15.75" customHeight="1">
      <c r="A42" s="41">
        <v>45292.0</v>
      </c>
      <c r="B42" s="11">
        <v>8486.11</v>
      </c>
      <c r="C42" s="11">
        <v>7752.26</v>
      </c>
      <c r="D42" s="11">
        <v>-7444.05</v>
      </c>
      <c r="E42" s="12">
        <v>8794.32</v>
      </c>
      <c r="F42" s="66">
        <v>7652.21</v>
      </c>
      <c r="G42" s="11">
        <v>1260.0</v>
      </c>
      <c r="H42" s="12">
        <v>0.0</v>
      </c>
      <c r="I42" s="66">
        <f t="shared" si="1"/>
        <v>308.21</v>
      </c>
    </row>
    <row r="43" ht="15.75" customHeight="1">
      <c r="A43" s="67">
        <v>45323.0</v>
      </c>
      <c r="B43" s="68">
        <v>8794.32</v>
      </c>
      <c r="C43" s="68">
        <v>7665.55</v>
      </c>
      <c r="D43" s="68">
        <v>-7096.64</v>
      </c>
      <c r="E43" s="69">
        <v>9363.23</v>
      </c>
      <c r="F43" s="70">
        <f>2550.73+2550.74</f>
        <v>5101.47</v>
      </c>
      <c r="G43" s="68">
        <v>1260.0</v>
      </c>
      <c r="H43" s="69">
        <v>0.0</v>
      </c>
      <c r="I43" s="70">
        <f t="shared" si="1"/>
        <v>568.91</v>
      </c>
    </row>
    <row r="44" ht="15.75" customHeight="1">
      <c r="A44" s="41">
        <v>45352.0</v>
      </c>
      <c r="B44" s="11">
        <v>9363.23</v>
      </c>
      <c r="C44" s="11">
        <v>5712.99</v>
      </c>
      <c r="D44" s="11">
        <v>-6468.47</v>
      </c>
      <c r="E44" s="12">
        <v>8607.75</v>
      </c>
      <c r="F44" s="66">
        <f>2471.96+2471.98</f>
        <v>4943.94</v>
      </c>
      <c r="G44" s="11">
        <v>1260.0</v>
      </c>
      <c r="H44" s="12">
        <v>0.0</v>
      </c>
      <c r="I44" s="66">
        <f t="shared" si="1"/>
        <v>-755.48</v>
      </c>
    </row>
    <row r="45" ht="15.75" customHeight="1">
      <c r="A45" s="67">
        <v>45383.0</v>
      </c>
      <c r="B45" s="68">
        <v>8607.75</v>
      </c>
      <c r="C45" s="68">
        <v>5085.98</v>
      </c>
      <c r="D45" s="68">
        <v>-7496.35</v>
      </c>
      <c r="E45" s="69">
        <v>6197.38</v>
      </c>
      <c r="F45" s="70">
        <f>2471.96+2471.97</f>
        <v>4943.93</v>
      </c>
      <c r="G45" s="68">
        <v>1260.0</v>
      </c>
      <c r="H45" s="69">
        <v>0.0</v>
      </c>
      <c r="I45" s="70">
        <f t="shared" si="1"/>
        <v>-2410.37</v>
      </c>
    </row>
    <row r="46" ht="15.75" customHeight="1">
      <c r="A46" s="41">
        <v>45413.0</v>
      </c>
      <c r="B46" s="11">
        <v>6197.38</v>
      </c>
      <c r="C46" s="11">
        <v>11235.43</v>
      </c>
      <c r="D46" s="11">
        <v>-7850.06</v>
      </c>
      <c r="E46" s="12">
        <v>9582.75</v>
      </c>
      <c r="F46" s="66">
        <f>2471.97+1996.68+62.18+2645.76</f>
        <v>7176.59</v>
      </c>
      <c r="G46" s="11">
        <v>4680.0</v>
      </c>
      <c r="H46" s="12">
        <v>0.0</v>
      </c>
      <c r="I46" s="66">
        <f t="shared" si="1"/>
        <v>3385.37</v>
      </c>
    </row>
    <row r="47" ht="15.75" customHeight="1">
      <c r="A47" s="67">
        <v>45444.0</v>
      </c>
      <c r="B47" s="68">
        <v>9582.75</v>
      </c>
      <c r="C47" s="68">
        <v>5055.32</v>
      </c>
      <c r="D47" s="68">
        <v>-2410.68</v>
      </c>
      <c r="E47" s="69">
        <v>12227.39</v>
      </c>
      <c r="F47" s="70">
        <f>2382.89+109.36+2460.91+102.08</f>
        <v>5055.24</v>
      </c>
      <c r="G47" s="68">
        <v>0.0</v>
      </c>
      <c r="H47" s="69">
        <v>0.0</v>
      </c>
      <c r="I47" s="70">
        <f t="shared" si="1"/>
        <v>2644.64</v>
      </c>
    </row>
    <row r="48" ht="15.75" customHeight="1">
      <c r="A48" s="41">
        <v>45474.0</v>
      </c>
      <c r="B48" s="11">
        <v>12227.39</v>
      </c>
      <c r="C48" s="11">
        <v>5528.22</v>
      </c>
      <c r="D48" s="11">
        <v>-2972.16</v>
      </c>
      <c r="E48" s="12">
        <v>14783.45</v>
      </c>
      <c r="F48" s="66">
        <v>5528.16</v>
      </c>
      <c r="G48" s="11">
        <v>0.0</v>
      </c>
      <c r="H48" s="12">
        <v>0.0</v>
      </c>
      <c r="I48" s="66">
        <f t="shared" si="1"/>
        <v>2556.06</v>
      </c>
    </row>
    <row r="49" ht="15.75" customHeight="1">
      <c r="A49" s="67">
        <v>45505.0</v>
      </c>
      <c r="B49" s="68">
        <v>14783.45</v>
      </c>
      <c r="C49" s="68">
        <v>5097.67</v>
      </c>
      <c r="D49" s="68">
        <v>-6978.49</v>
      </c>
      <c r="E49" s="69">
        <v>12902.63</v>
      </c>
      <c r="F49" s="70">
        <v>5097.67</v>
      </c>
      <c r="G49" s="68">
        <v>2405.0</v>
      </c>
      <c r="H49" s="69">
        <v>0.0</v>
      </c>
      <c r="I49" s="70">
        <f t="shared" si="1"/>
        <v>-1880.82</v>
      </c>
    </row>
    <row r="50" ht="15.75" customHeight="1">
      <c r="A50" s="41">
        <v>45536.0</v>
      </c>
      <c r="B50" s="11">
        <v>12902.63</v>
      </c>
      <c r="C50" s="11">
        <v>11884.73</v>
      </c>
      <c r="D50" s="11">
        <v>-6689.22</v>
      </c>
      <c r="E50" s="12">
        <v>18098.14</v>
      </c>
      <c r="F50" s="66">
        <v>10734.73</v>
      </c>
      <c r="G50" s="11">
        <v>2405.0</v>
      </c>
      <c r="H50" s="12">
        <v>0.0</v>
      </c>
      <c r="I50" s="66">
        <f t="shared" si="1"/>
        <v>5195.51</v>
      </c>
    </row>
    <row r="51" ht="15.75" customHeight="1">
      <c r="A51" s="67">
        <v>45566.0</v>
      </c>
      <c r="B51" s="71">
        <v>18098.14</v>
      </c>
      <c r="C51" s="71">
        <v>9610.62</v>
      </c>
      <c r="D51" s="71">
        <v>-8710.56</v>
      </c>
      <c r="E51" s="72">
        <v>18998.2</v>
      </c>
      <c r="F51" s="73">
        <v>8860.62</v>
      </c>
      <c r="G51" s="71">
        <v>2405.0</v>
      </c>
      <c r="H51" s="72">
        <v>0.0</v>
      </c>
      <c r="I51" s="73">
        <f t="shared" si="1"/>
        <v>900.06</v>
      </c>
    </row>
    <row r="52" ht="15.75" customHeight="1">
      <c r="A52" s="41">
        <v>45597.0</v>
      </c>
      <c r="B52" s="11">
        <v>18998.2</v>
      </c>
      <c r="C52" s="11">
        <v>21099.32</v>
      </c>
      <c r="D52" s="11">
        <v>-8638.09</v>
      </c>
      <c r="E52" s="12">
        <v>31459.43</v>
      </c>
      <c r="F52" s="66">
        <v>9599.32</v>
      </c>
      <c r="G52" s="11">
        <v>2405.0</v>
      </c>
      <c r="H52" s="12">
        <v>0.0</v>
      </c>
      <c r="I52" s="66">
        <f t="shared" si="1"/>
        <v>12461.23</v>
      </c>
    </row>
    <row r="53" ht="15.75" customHeight="1">
      <c r="A53" s="67">
        <v>45627.0</v>
      </c>
      <c r="B53" s="71">
        <v>31459.42</v>
      </c>
      <c r="C53" s="71">
        <v>10485.72</v>
      </c>
      <c r="D53" s="71">
        <v>-27912.32</v>
      </c>
      <c r="E53" s="72">
        <v>14032.83</v>
      </c>
      <c r="F53" s="73">
        <f>2*(1842.39+2467.94) + 530.45</f>
        <v>9151.11</v>
      </c>
      <c r="G53" s="71">
        <v>2405.0</v>
      </c>
      <c r="H53" s="72"/>
      <c r="I53" s="73">
        <f t="shared" si="1"/>
        <v>-17426.59</v>
      </c>
    </row>
    <row r="54" ht="15.75" customHeight="1">
      <c r="A54" s="41">
        <v>45658.0</v>
      </c>
      <c r="B54" s="71">
        <v>14032.83</v>
      </c>
      <c r="C54" s="71">
        <v>26138.83</v>
      </c>
      <c r="D54" s="71">
        <v>-21653.35</v>
      </c>
      <c r="E54" s="72">
        <v>18518.31</v>
      </c>
      <c r="F54" s="73">
        <f>235.62+1844.3+2476.87+1844.3+2476.85</f>
        <v>8877.94</v>
      </c>
      <c r="G54" s="71">
        <v>2405.0</v>
      </c>
      <c r="H54" s="72">
        <v>0.0</v>
      </c>
      <c r="I54" s="73">
        <f t="shared" si="1"/>
        <v>4485.48</v>
      </c>
    </row>
    <row r="55" ht="15.75" customHeight="1">
      <c r="A55" s="67">
        <v>45689.0</v>
      </c>
      <c r="B55" s="74"/>
      <c r="C55" s="75"/>
      <c r="D55" s="75"/>
      <c r="E55" s="74"/>
      <c r="F55" s="70"/>
      <c r="G55" s="68"/>
      <c r="H55" s="69"/>
      <c r="I55" s="70">
        <f t="shared" si="1"/>
        <v>0</v>
      </c>
    </row>
    <row r="56" ht="15.75" customHeight="1">
      <c r="A56" s="41">
        <v>45717.0</v>
      </c>
      <c r="B56" s="50"/>
      <c r="C56" s="52"/>
      <c r="D56" s="52"/>
      <c r="E56" s="50"/>
      <c r="F56" s="66"/>
      <c r="G56" s="11"/>
      <c r="H56" s="12"/>
      <c r="I56" s="66">
        <f t="shared" si="1"/>
        <v>0</v>
      </c>
    </row>
    <row r="57" ht="15.75" customHeight="1">
      <c r="A57" s="67">
        <v>45748.0</v>
      </c>
      <c r="B57" s="74"/>
      <c r="C57" s="75"/>
      <c r="D57" s="75"/>
      <c r="E57" s="74"/>
      <c r="F57" s="70"/>
      <c r="G57" s="68"/>
      <c r="H57" s="69"/>
      <c r="I57" s="70">
        <f t="shared" si="1"/>
        <v>0</v>
      </c>
      <c r="K57" s="76"/>
      <c r="L57" s="76"/>
      <c r="M57" s="76"/>
      <c r="N57" s="76"/>
      <c r="O57" s="4"/>
      <c r="P57" s="4"/>
      <c r="Q57" s="4"/>
      <c r="R57" s="4"/>
      <c r="S57" s="4"/>
      <c r="T57" s="4"/>
    </row>
    <row r="58" ht="15.75" customHeight="1">
      <c r="A58" s="77">
        <v>45778.0</v>
      </c>
      <c r="B58" s="78"/>
      <c r="C58" s="79"/>
      <c r="D58" s="79"/>
      <c r="E58" s="78"/>
      <c r="F58" s="80"/>
      <c r="G58" s="81"/>
      <c r="H58" s="82"/>
      <c r="I58" s="80">
        <f t="shared" si="1"/>
        <v>0</v>
      </c>
    </row>
    <row r="59" ht="15.75" customHeight="1">
      <c r="A59" s="83"/>
      <c r="B59" s="4"/>
      <c r="C59" s="4"/>
      <c r="D59" s="4"/>
      <c r="E59" s="4"/>
      <c r="F59" s="4"/>
      <c r="G59" s="4"/>
      <c r="H59" s="4"/>
      <c r="I59" s="4"/>
    </row>
    <row r="60" ht="15.75" customHeight="1">
      <c r="A60" s="84"/>
      <c r="B60" s="85"/>
      <c r="C60" s="85"/>
      <c r="D60" s="85"/>
      <c r="E60" s="85"/>
      <c r="F60" s="85"/>
      <c r="G60" s="85"/>
      <c r="H60" s="85"/>
      <c r="I60" s="85"/>
    </row>
    <row r="61" ht="15.75" customHeight="1">
      <c r="A61" s="86" t="s">
        <v>48</v>
      </c>
      <c r="B61" s="87"/>
      <c r="C61" s="87"/>
      <c r="D61" s="87"/>
      <c r="E61" s="87"/>
      <c r="F61" s="87"/>
      <c r="G61" s="87"/>
      <c r="H61" s="88"/>
      <c r="I61" s="89">
        <f>AVERAGE(I2:I54)</f>
        <v>292.7543396</v>
      </c>
    </row>
    <row r="62" ht="15.75" customHeight="1">
      <c r="A62" s="90"/>
      <c r="F62" s="28"/>
    </row>
    <row r="63" ht="15.75" customHeight="1">
      <c r="A63" s="90"/>
      <c r="F63" s="28"/>
    </row>
    <row r="64" ht="15.75" customHeight="1">
      <c r="A64" s="90"/>
      <c r="F64" s="28"/>
    </row>
    <row r="65" ht="15.75" customHeight="1">
      <c r="A65" s="90"/>
      <c r="F65" s="28"/>
    </row>
    <row r="66" ht="15.75" customHeight="1">
      <c r="A66" s="90"/>
      <c r="F66" s="28"/>
    </row>
    <row r="67" ht="15.75" customHeight="1">
      <c r="A67" s="90"/>
      <c r="F67" s="28"/>
    </row>
    <row r="68" ht="15.75" customHeight="1">
      <c r="A68" s="90"/>
      <c r="F68" s="28"/>
    </row>
    <row r="69" ht="15.75" customHeight="1">
      <c r="A69" s="90"/>
      <c r="F69" s="28"/>
    </row>
    <row r="70" ht="15.75" customHeight="1">
      <c r="A70" s="90"/>
      <c r="F70" s="28"/>
    </row>
    <row r="71" ht="15.75" customHeight="1">
      <c r="A71" s="90"/>
      <c r="F71" s="28"/>
    </row>
    <row r="72" ht="15.75" customHeight="1">
      <c r="A72" s="90"/>
      <c r="F72" s="28"/>
    </row>
    <row r="73" ht="15.75" customHeight="1">
      <c r="A73" s="90"/>
      <c r="F73" s="28"/>
    </row>
    <row r="74" ht="15.75" customHeight="1">
      <c r="A74" s="90"/>
      <c r="F74" s="28"/>
    </row>
    <row r="75" ht="15.75" customHeight="1">
      <c r="A75" s="90"/>
      <c r="F75" s="28"/>
    </row>
    <row r="76" ht="15.75" customHeight="1">
      <c r="A76" s="90"/>
      <c r="F76" s="28"/>
    </row>
    <row r="77" ht="15.75" customHeight="1">
      <c r="A77" s="90"/>
      <c r="F77" s="28"/>
    </row>
    <row r="78" ht="15.75" customHeight="1">
      <c r="A78" s="90"/>
      <c r="F78" s="28"/>
    </row>
    <row r="79" ht="15.75" customHeight="1">
      <c r="A79" s="90"/>
      <c r="F79" s="28"/>
    </row>
    <row r="80" ht="15.75" customHeight="1">
      <c r="A80" s="90"/>
      <c r="F80" s="28"/>
    </row>
    <row r="81" ht="15.75" customHeight="1">
      <c r="A81" s="90"/>
      <c r="F81" s="28"/>
    </row>
    <row r="82" ht="15.75" customHeight="1">
      <c r="A82" s="90"/>
      <c r="F82" s="28"/>
    </row>
    <row r="83" ht="15.75" customHeight="1">
      <c r="A83" s="90"/>
      <c r="F83" s="28"/>
    </row>
    <row r="84" ht="15.75" customHeight="1">
      <c r="A84" s="90"/>
      <c r="F84" s="28"/>
    </row>
    <row r="85" ht="15.75" customHeight="1">
      <c r="A85" s="90"/>
      <c r="F85" s="28"/>
    </row>
    <row r="86" ht="15.75" customHeight="1">
      <c r="A86" s="90"/>
      <c r="F86" s="28"/>
    </row>
    <row r="87" ht="15.75" customHeight="1">
      <c r="A87" s="90"/>
      <c r="F87" s="28"/>
    </row>
    <row r="88" ht="15.75" customHeight="1">
      <c r="A88" s="90"/>
      <c r="F88" s="28"/>
    </row>
    <row r="89" ht="15.75" customHeight="1">
      <c r="A89" s="90"/>
      <c r="F89" s="28"/>
    </row>
    <row r="90" ht="15.75" customHeight="1">
      <c r="A90" s="90"/>
      <c r="F90" s="28"/>
    </row>
    <row r="91" ht="15.75" customHeight="1">
      <c r="A91" s="90"/>
      <c r="F91" s="28"/>
    </row>
    <row r="92" ht="15.75" customHeight="1">
      <c r="A92" s="90"/>
      <c r="F92" s="28"/>
    </row>
    <row r="93" ht="15.75" customHeight="1">
      <c r="A93" s="90"/>
      <c r="F93" s="28"/>
    </row>
    <row r="94" ht="15.75" customHeight="1">
      <c r="A94" s="90"/>
      <c r="F94" s="28"/>
    </row>
    <row r="95" ht="15.75" customHeight="1">
      <c r="A95" s="90"/>
      <c r="F95" s="28"/>
    </row>
    <row r="96" ht="15.75" customHeight="1">
      <c r="A96" s="90"/>
      <c r="F96" s="28"/>
    </row>
    <row r="97" ht="15.75" customHeight="1">
      <c r="A97" s="90"/>
      <c r="F97" s="28"/>
    </row>
    <row r="98" ht="15.75" customHeight="1">
      <c r="A98" s="90"/>
      <c r="F98" s="28"/>
    </row>
    <row r="99" ht="15.75" customHeight="1">
      <c r="A99" s="90"/>
      <c r="F99" s="28"/>
    </row>
    <row r="100" ht="15.75" customHeight="1">
      <c r="A100" s="90"/>
      <c r="F100" s="28"/>
    </row>
    <row r="101" ht="15.75" customHeight="1">
      <c r="A101" s="90"/>
      <c r="F101" s="28"/>
    </row>
    <row r="102" ht="15.75" customHeight="1">
      <c r="A102" s="90"/>
      <c r="F102" s="28"/>
    </row>
    <row r="103" ht="15.75" customHeight="1">
      <c r="A103" s="90"/>
      <c r="F103" s="28"/>
    </row>
    <row r="104" ht="15.75" customHeight="1">
      <c r="A104" s="90"/>
      <c r="F104" s="28"/>
    </row>
    <row r="105" ht="15.75" customHeight="1">
      <c r="A105" s="90"/>
      <c r="F105" s="28"/>
    </row>
    <row r="106" ht="15.75" customHeight="1">
      <c r="A106" s="90"/>
      <c r="F106" s="28"/>
    </row>
    <row r="107" ht="15.75" customHeight="1">
      <c r="A107" s="90"/>
      <c r="F107" s="28"/>
    </row>
    <row r="108" ht="15.75" customHeight="1">
      <c r="A108" s="90"/>
      <c r="F108" s="28"/>
    </row>
    <row r="109" ht="15.75" customHeight="1">
      <c r="A109" s="90"/>
      <c r="F109" s="28"/>
    </row>
    <row r="110" ht="15.75" customHeight="1">
      <c r="A110" s="90"/>
      <c r="F110" s="28"/>
    </row>
    <row r="111" ht="15.75" customHeight="1">
      <c r="A111" s="90"/>
      <c r="F111" s="28"/>
    </row>
    <row r="112" ht="15.75" customHeight="1">
      <c r="A112" s="90"/>
      <c r="F112" s="28"/>
    </row>
    <row r="113" ht="15.75" customHeight="1">
      <c r="A113" s="90"/>
      <c r="F113" s="28"/>
    </row>
    <row r="114" ht="15.75" customHeight="1">
      <c r="A114" s="90"/>
      <c r="F114" s="28"/>
    </row>
    <row r="115" ht="15.75" customHeight="1">
      <c r="A115" s="90"/>
      <c r="F115" s="28"/>
    </row>
    <row r="116" ht="15.75" customHeight="1">
      <c r="A116" s="90"/>
      <c r="F116" s="28"/>
    </row>
    <row r="117" ht="15.75" customHeight="1">
      <c r="A117" s="90"/>
      <c r="F117" s="28"/>
    </row>
    <row r="118" ht="15.75" customHeight="1">
      <c r="A118" s="90"/>
      <c r="F118" s="28"/>
    </row>
    <row r="119" ht="15.75" customHeight="1">
      <c r="A119" s="90"/>
      <c r="F119" s="28"/>
    </row>
    <row r="120" ht="15.75" customHeight="1">
      <c r="A120" s="90"/>
      <c r="F120" s="28"/>
    </row>
    <row r="121" ht="15.75" customHeight="1">
      <c r="A121" s="90"/>
      <c r="F121" s="28"/>
    </row>
    <row r="122" ht="15.75" customHeight="1">
      <c r="A122" s="90"/>
      <c r="F122" s="28"/>
    </row>
    <row r="123" ht="15.75" customHeight="1">
      <c r="A123" s="90"/>
      <c r="F123" s="28"/>
    </row>
    <row r="124" ht="15.75" customHeight="1">
      <c r="A124" s="90"/>
      <c r="F124" s="28"/>
    </row>
    <row r="125" ht="15.75" customHeight="1">
      <c r="A125" s="90"/>
      <c r="F125" s="28"/>
    </row>
    <row r="126" ht="15.75" customHeight="1">
      <c r="A126" s="90"/>
      <c r="F126" s="28"/>
    </row>
    <row r="127" ht="15.75" customHeight="1">
      <c r="A127" s="90"/>
      <c r="F127" s="28"/>
    </row>
    <row r="128" ht="15.75" customHeight="1">
      <c r="A128" s="90"/>
      <c r="F128" s="28"/>
    </row>
    <row r="129" ht="15.75" customHeight="1">
      <c r="A129" s="90"/>
      <c r="F129" s="28"/>
    </row>
    <row r="130" ht="15.75" customHeight="1">
      <c r="A130" s="90"/>
      <c r="F130" s="28"/>
    </row>
    <row r="131" ht="15.75" customHeight="1">
      <c r="A131" s="90"/>
      <c r="F131" s="28"/>
    </row>
    <row r="132" ht="15.75" customHeight="1">
      <c r="A132" s="90"/>
      <c r="F132" s="28"/>
    </row>
    <row r="133" ht="15.75" customHeight="1">
      <c r="A133" s="90"/>
      <c r="F133" s="28"/>
    </row>
    <row r="134" ht="15.75" customHeight="1">
      <c r="A134" s="90"/>
      <c r="F134" s="28"/>
    </row>
    <row r="135" ht="15.75" customHeight="1">
      <c r="A135" s="90"/>
      <c r="F135" s="28"/>
    </row>
    <row r="136" ht="15.75" customHeight="1">
      <c r="A136" s="90"/>
      <c r="F136" s="28"/>
    </row>
    <row r="137" ht="15.75" customHeight="1">
      <c r="A137" s="90"/>
      <c r="F137" s="28"/>
    </row>
    <row r="138" ht="15.75" customHeight="1">
      <c r="A138" s="90"/>
      <c r="F138" s="28"/>
    </row>
    <row r="139" ht="15.75" customHeight="1">
      <c r="A139" s="90"/>
      <c r="F139" s="28"/>
    </row>
    <row r="140" ht="15.75" customHeight="1">
      <c r="A140" s="90"/>
      <c r="F140" s="28"/>
    </row>
    <row r="141" ht="15.75" customHeight="1">
      <c r="A141" s="90"/>
      <c r="F141" s="28"/>
    </row>
    <row r="142" ht="15.75" customHeight="1">
      <c r="A142" s="90"/>
      <c r="F142" s="28"/>
    </row>
    <row r="143" ht="15.75" customHeight="1">
      <c r="A143" s="90"/>
      <c r="F143" s="28"/>
    </row>
    <row r="144" ht="15.75" customHeight="1">
      <c r="A144" s="90"/>
      <c r="F144" s="28"/>
    </row>
    <row r="145" ht="15.75" customHeight="1">
      <c r="A145" s="90"/>
      <c r="F145" s="28"/>
    </row>
    <row r="146" ht="15.75" customHeight="1">
      <c r="A146" s="90"/>
      <c r="F146" s="28"/>
    </row>
    <row r="147" ht="15.75" customHeight="1">
      <c r="A147" s="90"/>
      <c r="F147" s="28"/>
    </row>
    <row r="148" ht="15.75" customHeight="1">
      <c r="A148" s="90"/>
      <c r="F148" s="28"/>
    </row>
    <row r="149" ht="15.75" customHeight="1">
      <c r="A149" s="90"/>
      <c r="F149" s="28"/>
    </row>
    <row r="150" ht="15.75" customHeight="1">
      <c r="A150" s="90"/>
      <c r="F150" s="28"/>
    </row>
    <row r="151" ht="15.75" customHeight="1">
      <c r="A151" s="90"/>
      <c r="F151" s="28"/>
    </row>
    <row r="152" ht="15.75" customHeight="1">
      <c r="A152" s="90"/>
      <c r="F152" s="28"/>
    </row>
    <row r="153" ht="15.75" customHeight="1">
      <c r="A153" s="90"/>
      <c r="F153" s="28"/>
    </row>
    <row r="154" ht="15.75" customHeight="1">
      <c r="A154" s="90"/>
      <c r="F154" s="28"/>
    </row>
    <row r="155" ht="15.75" customHeight="1">
      <c r="A155" s="90"/>
      <c r="F155" s="28"/>
    </row>
    <row r="156" ht="15.75" customHeight="1">
      <c r="A156" s="90"/>
      <c r="F156" s="28"/>
    </row>
    <row r="157" ht="15.75" customHeight="1">
      <c r="A157" s="90"/>
      <c r="F157" s="28"/>
    </row>
    <row r="158" ht="15.75" customHeight="1">
      <c r="A158" s="90"/>
      <c r="F158" s="28"/>
    </row>
    <row r="159" ht="15.75" customHeight="1">
      <c r="A159" s="90"/>
      <c r="F159" s="28"/>
    </row>
    <row r="160" ht="15.75" customHeight="1">
      <c r="A160" s="90"/>
      <c r="F160" s="28"/>
    </row>
    <row r="161" ht="15.75" customHeight="1">
      <c r="A161" s="90"/>
      <c r="F161" s="28"/>
    </row>
    <row r="162" ht="15.75" customHeight="1">
      <c r="A162" s="90"/>
      <c r="F162" s="28"/>
    </row>
    <row r="163" ht="15.75" customHeight="1">
      <c r="A163" s="90"/>
      <c r="F163" s="28"/>
    </row>
    <row r="164" ht="15.75" customHeight="1">
      <c r="A164" s="90"/>
      <c r="F164" s="28"/>
    </row>
    <row r="165" ht="15.75" customHeight="1">
      <c r="A165" s="90"/>
      <c r="F165" s="28"/>
    </row>
    <row r="166" ht="15.75" customHeight="1">
      <c r="A166" s="90"/>
      <c r="F166" s="28"/>
    </row>
    <row r="167" ht="15.75" customHeight="1">
      <c r="A167" s="90"/>
      <c r="F167" s="28"/>
    </row>
    <row r="168" ht="15.75" customHeight="1">
      <c r="A168" s="90"/>
      <c r="F168" s="28"/>
    </row>
    <row r="169" ht="15.75" customHeight="1">
      <c r="A169" s="90"/>
      <c r="F169" s="28"/>
    </row>
    <row r="170" ht="15.75" customHeight="1">
      <c r="A170" s="90"/>
      <c r="F170" s="28"/>
    </row>
    <row r="171" ht="15.75" customHeight="1">
      <c r="A171" s="90"/>
      <c r="F171" s="28"/>
    </row>
    <row r="172" ht="15.75" customHeight="1">
      <c r="A172" s="90"/>
      <c r="F172" s="28"/>
    </row>
    <row r="173" ht="15.75" customHeight="1">
      <c r="A173" s="90"/>
      <c r="F173" s="28"/>
    </row>
    <row r="174" ht="15.75" customHeight="1">
      <c r="A174" s="90"/>
      <c r="F174" s="28"/>
    </row>
    <row r="175" ht="15.75" customHeight="1">
      <c r="A175" s="90"/>
      <c r="F175" s="28"/>
    </row>
    <row r="176" ht="15.75" customHeight="1">
      <c r="A176" s="90"/>
      <c r="F176" s="28"/>
    </row>
    <row r="177" ht="15.75" customHeight="1">
      <c r="A177" s="90"/>
      <c r="F177" s="28"/>
    </row>
    <row r="178" ht="15.75" customHeight="1">
      <c r="A178" s="90"/>
      <c r="F178" s="28"/>
    </row>
    <row r="179" ht="15.75" customHeight="1">
      <c r="A179" s="90"/>
      <c r="F179" s="28"/>
    </row>
    <row r="180" ht="15.75" customHeight="1">
      <c r="A180" s="90"/>
      <c r="F180" s="28"/>
    </row>
    <row r="181" ht="15.75" customHeight="1">
      <c r="A181" s="90"/>
      <c r="F181" s="28"/>
    </row>
    <row r="182" ht="15.75" customHeight="1">
      <c r="A182" s="90"/>
      <c r="F182" s="28"/>
    </row>
    <row r="183" ht="15.75" customHeight="1">
      <c r="A183" s="90"/>
      <c r="F183" s="28"/>
    </row>
    <row r="184" ht="15.75" customHeight="1">
      <c r="A184" s="90"/>
      <c r="F184" s="28"/>
    </row>
    <row r="185" ht="15.75" customHeight="1">
      <c r="A185" s="90"/>
      <c r="F185" s="28"/>
    </row>
    <row r="186" ht="15.75" customHeight="1">
      <c r="A186" s="90"/>
      <c r="F186" s="28"/>
    </row>
    <row r="187" ht="15.75" customHeight="1">
      <c r="A187" s="90"/>
      <c r="F187" s="28"/>
    </row>
    <row r="188" ht="15.75" customHeight="1">
      <c r="A188" s="90"/>
      <c r="F188" s="28"/>
    </row>
    <row r="189" ht="15.75" customHeight="1">
      <c r="A189" s="90"/>
      <c r="F189" s="28"/>
    </row>
    <row r="190" ht="15.75" customHeight="1">
      <c r="A190" s="90"/>
      <c r="F190" s="28"/>
    </row>
    <row r="191" ht="15.75" customHeight="1">
      <c r="A191" s="90"/>
      <c r="F191" s="28"/>
    </row>
    <row r="192" ht="15.75" customHeight="1">
      <c r="A192" s="90"/>
      <c r="F192" s="28"/>
    </row>
    <row r="193" ht="15.75" customHeight="1">
      <c r="A193" s="90"/>
      <c r="F193" s="28"/>
    </row>
    <row r="194" ht="15.75" customHeight="1">
      <c r="A194" s="90"/>
      <c r="F194" s="28"/>
    </row>
    <row r="195" ht="15.75" customHeight="1">
      <c r="A195" s="90"/>
      <c r="F195" s="28"/>
    </row>
    <row r="196" ht="15.75" customHeight="1">
      <c r="A196" s="90"/>
      <c r="F196" s="28"/>
    </row>
    <row r="197" ht="15.75" customHeight="1">
      <c r="A197" s="90"/>
      <c r="F197" s="28"/>
    </row>
    <row r="198" ht="15.75" customHeight="1">
      <c r="A198" s="90"/>
      <c r="F198" s="28"/>
    </row>
    <row r="199" ht="15.75" customHeight="1">
      <c r="A199" s="90"/>
      <c r="F199" s="28"/>
    </row>
    <row r="200" ht="15.75" customHeight="1">
      <c r="A200" s="90"/>
      <c r="F200" s="28"/>
    </row>
    <row r="201" ht="15.75" customHeight="1">
      <c r="A201" s="90"/>
      <c r="F201" s="28"/>
    </row>
    <row r="202" ht="15.75" customHeight="1">
      <c r="A202" s="90"/>
      <c r="F202" s="28"/>
    </row>
    <row r="203" ht="15.75" customHeight="1">
      <c r="A203" s="90"/>
      <c r="F203" s="28"/>
    </row>
    <row r="204" ht="15.75" customHeight="1">
      <c r="A204" s="90"/>
      <c r="F204" s="28"/>
    </row>
    <row r="205" ht="15.75" customHeight="1">
      <c r="A205" s="90"/>
      <c r="F205" s="28"/>
    </row>
    <row r="206" ht="15.75" customHeight="1">
      <c r="A206" s="90"/>
      <c r="F206" s="28"/>
    </row>
    <row r="207" ht="15.75" customHeight="1">
      <c r="A207" s="90"/>
      <c r="F207" s="28"/>
    </row>
    <row r="208" ht="15.75" customHeight="1">
      <c r="A208" s="90"/>
      <c r="F208" s="28"/>
    </row>
    <row r="209" ht="15.75" customHeight="1">
      <c r="A209" s="90"/>
      <c r="F209" s="28"/>
    </row>
    <row r="210" ht="15.75" customHeight="1">
      <c r="A210" s="90"/>
      <c r="F210" s="28"/>
    </row>
    <row r="211" ht="15.75" customHeight="1">
      <c r="A211" s="90"/>
      <c r="F211" s="28"/>
    </row>
    <row r="212" ht="15.75" customHeight="1">
      <c r="A212" s="90"/>
      <c r="F212" s="28"/>
    </row>
    <row r="213" ht="15.75" customHeight="1">
      <c r="A213" s="90"/>
      <c r="F213" s="28"/>
    </row>
    <row r="214" ht="15.75" customHeight="1">
      <c r="A214" s="90"/>
      <c r="F214" s="28"/>
    </row>
    <row r="215" ht="15.75" customHeight="1">
      <c r="A215" s="90"/>
      <c r="F215" s="28"/>
    </row>
    <row r="216" ht="15.75" customHeight="1">
      <c r="A216" s="90"/>
      <c r="F216" s="28"/>
    </row>
    <row r="217" ht="15.75" customHeight="1">
      <c r="A217" s="90"/>
      <c r="F217" s="28"/>
    </row>
    <row r="218" ht="15.75" customHeight="1">
      <c r="A218" s="90"/>
      <c r="F218" s="28"/>
    </row>
    <row r="219" ht="15.75" customHeight="1">
      <c r="A219" s="90"/>
      <c r="F219" s="28"/>
    </row>
    <row r="220" ht="15.75" customHeight="1">
      <c r="A220" s="90"/>
      <c r="F220" s="28"/>
    </row>
    <row r="221" ht="15.75" customHeight="1">
      <c r="A221" s="90"/>
      <c r="F221" s="28"/>
    </row>
    <row r="222" ht="15.75" customHeight="1">
      <c r="A222" s="90"/>
      <c r="F222" s="28"/>
    </row>
    <row r="223" ht="15.75" customHeight="1">
      <c r="A223" s="90"/>
      <c r="F223" s="28"/>
    </row>
    <row r="224" ht="15.75" customHeight="1">
      <c r="A224" s="90"/>
      <c r="F224" s="28"/>
    </row>
    <row r="225" ht="15.75" customHeight="1">
      <c r="A225" s="90"/>
      <c r="F225" s="28"/>
    </row>
    <row r="226" ht="15.75" customHeight="1">
      <c r="A226" s="90"/>
      <c r="F226" s="28"/>
    </row>
    <row r="227" ht="15.75" customHeight="1">
      <c r="A227" s="90"/>
      <c r="F227" s="28"/>
    </row>
    <row r="228" ht="15.75" customHeight="1">
      <c r="A228" s="90"/>
      <c r="F228" s="28"/>
    </row>
    <row r="229" ht="15.75" customHeight="1">
      <c r="A229" s="90"/>
      <c r="F229" s="28"/>
    </row>
    <row r="230" ht="15.75" customHeight="1">
      <c r="A230" s="90"/>
      <c r="F230" s="28"/>
    </row>
    <row r="231" ht="15.75" customHeight="1">
      <c r="A231" s="90"/>
      <c r="F231" s="28"/>
    </row>
    <row r="232" ht="15.75" customHeight="1">
      <c r="A232" s="90"/>
      <c r="F232" s="28"/>
    </row>
    <row r="233" ht="15.75" customHeight="1">
      <c r="A233" s="90"/>
      <c r="F233" s="28"/>
    </row>
    <row r="234" ht="15.75" customHeight="1">
      <c r="A234" s="90"/>
      <c r="F234" s="28"/>
    </row>
    <row r="235" ht="15.75" customHeight="1">
      <c r="A235" s="90"/>
      <c r="F235" s="28"/>
    </row>
    <row r="236" ht="15.75" customHeight="1">
      <c r="A236" s="90"/>
      <c r="F236" s="28"/>
    </row>
    <row r="237" ht="15.75" customHeight="1">
      <c r="A237" s="90"/>
      <c r="F237" s="28"/>
    </row>
    <row r="238" ht="15.75" customHeight="1">
      <c r="A238" s="90"/>
      <c r="F238" s="28"/>
    </row>
    <row r="239" ht="15.75" customHeight="1">
      <c r="A239" s="90"/>
      <c r="F239" s="28"/>
    </row>
    <row r="240" ht="15.75" customHeight="1">
      <c r="A240" s="90"/>
      <c r="F240" s="28"/>
    </row>
    <row r="241" ht="15.75" customHeight="1">
      <c r="A241" s="90"/>
      <c r="F241" s="28"/>
    </row>
    <row r="242" ht="15.75" customHeight="1">
      <c r="A242" s="90"/>
      <c r="F242" s="28"/>
    </row>
    <row r="243" ht="15.75" customHeight="1">
      <c r="A243" s="90"/>
      <c r="F243" s="28"/>
    </row>
    <row r="244" ht="15.75" customHeight="1">
      <c r="A244" s="90"/>
      <c r="F244" s="28"/>
    </row>
    <row r="245" ht="15.75" customHeight="1">
      <c r="A245" s="90"/>
      <c r="F245" s="28"/>
    </row>
    <row r="246" ht="15.75" customHeight="1">
      <c r="A246" s="90"/>
      <c r="F246" s="28"/>
    </row>
    <row r="247" ht="15.75" customHeight="1">
      <c r="A247" s="90"/>
      <c r="F247" s="28"/>
    </row>
    <row r="248" ht="15.75" customHeight="1">
      <c r="A248" s="90"/>
      <c r="F248" s="28"/>
    </row>
    <row r="249" ht="15.75" customHeight="1">
      <c r="A249" s="90"/>
      <c r="F249" s="28"/>
    </row>
    <row r="250" ht="15.75" customHeight="1">
      <c r="A250" s="90"/>
      <c r="F250" s="28"/>
    </row>
    <row r="251" ht="15.75" customHeight="1">
      <c r="A251" s="90"/>
      <c r="F251" s="28"/>
    </row>
    <row r="252" ht="15.75" customHeight="1">
      <c r="A252" s="90"/>
      <c r="F252" s="28"/>
    </row>
    <row r="253" ht="15.75" customHeight="1">
      <c r="A253" s="90"/>
      <c r="F253" s="28"/>
    </row>
    <row r="254" ht="15.75" customHeight="1">
      <c r="A254" s="90"/>
      <c r="F254" s="28"/>
    </row>
    <row r="255" ht="15.75" customHeight="1">
      <c r="A255" s="90"/>
      <c r="F255" s="28"/>
    </row>
    <row r="256" ht="15.75" customHeight="1">
      <c r="A256" s="90"/>
      <c r="F256" s="28"/>
    </row>
    <row r="257" ht="15.75" customHeight="1">
      <c r="A257" s="90"/>
      <c r="F257" s="28"/>
    </row>
    <row r="258" ht="15.75" customHeight="1">
      <c r="A258" s="90"/>
      <c r="F258" s="28"/>
    </row>
    <row r="259" ht="15.75" customHeight="1">
      <c r="A259" s="90"/>
      <c r="F259" s="28"/>
    </row>
    <row r="260" ht="15.75" customHeight="1">
      <c r="A260" s="90"/>
      <c r="F260" s="28"/>
    </row>
    <row r="261" ht="15.75" customHeight="1">
      <c r="A261" s="90"/>
      <c r="F261" s="28"/>
    </row>
    <row r="262" ht="15.75" customHeight="1">
      <c r="A262" s="90"/>
      <c r="F262" s="28"/>
    </row>
    <row r="263" ht="15.75" customHeight="1">
      <c r="A263" s="90"/>
      <c r="F263" s="28"/>
    </row>
    <row r="264" ht="15.75" customHeight="1">
      <c r="A264" s="90"/>
      <c r="F264" s="28"/>
    </row>
    <row r="265" ht="15.75" customHeight="1">
      <c r="A265" s="90"/>
      <c r="F265" s="28"/>
    </row>
    <row r="266" ht="15.75" customHeight="1">
      <c r="A266" s="90"/>
      <c r="F266" s="28"/>
    </row>
    <row r="267" ht="15.75" customHeight="1">
      <c r="A267" s="90"/>
      <c r="F267" s="28"/>
    </row>
    <row r="268" ht="15.75" customHeight="1">
      <c r="A268" s="90"/>
      <c r="F268" s="28"/>
    </row>
    <row r="269" ht="15.75" customHeight="1">
      <c r="A269" s="90"/>
      <c r="F269" s="28"/>
    </row>
    <row r="270" ht="15.75" customHeight="1">
      <c r="A270" s="90"/>
      <c r="F270" s="28"/>
    </row>
    <row r="271" ht="15.75" customHeight="1">
      <c r="A271" s="90"/>
      <c r="F271" s="28"/>
    </row>
    <row r="272" ht="15.75" customHeight="1">
      <c r="A272" s="90"/>
      <c r="F272" s="28"/>
    </row>
    <row r="273" ht="15.75" customHeight="1">
      <c r="A273" s="90"/>
      <c r="F273" s="28"/>
    </row>
    <row r="274" ht="15.75" customHeight="1">
      <c r="A274" s="90"/>
      <c r="F274" s="28"/>
    </row>
    <row r="275" ht="15.75" customHeight="1">
      <c r="A275" s="90"/>
      <c r="F275" s="28"/>
    </row>
    <row r="276" ht="15.75" customHeight="1">
      <c r="A276" s="90"/>
      <c r="F276" s="28"/>
    </row>
    <row r="277" ht="15.75" customHeight="1">
      <c r="A277" s="90"/>
      <c r="F277" s="28"/>
    </row>
    <row r="278" ht="15.75" customHeight="1">
      <c r="A278" s="90"/>
      <c r="F278" s="28"/>
    </row>
    <row r="279" ht="15.75" customHeight="1">
      <c r="A279" s="90"/>
      <c r="F279" s="28"/>
    </row>
    <row r="280" ht="15.75" customHeight="1">
      <c r="A280" s="90"/>
      <c r="F280" s="28"/>
    </row>
    <row r="281" ht="15.75" customHeight="1">
      <c r="A281" s="90"/>
      <c r="F281" s="28"/>
    </row>
    <row r="282" ht="15.75" customHeight="1">
      <c r="A282" s="90"/>
      <c r="F282" s="28"/>
    </row>
    <row r="283" ht="15.75" customHeight="1">
      <c r="A283" s="90"/>
      <c r="F283" s="28"/>
    </row>
    <row r="284" ht="15.75" customHeight="1">
      <c r="A284" s="90"/>
      <c r="F284" s="28"/>
    </row>
    <row r="285" ht="15.75" customHeight="1">
      <c r="A285" s="90"/>
      <c r="F285" s="28"/>
    </row>
    <row r="286" ht="15.75" customHeight="1">
      <c r="A286" s="90"/>
      <c r="F286" s="28"/>
    </row>
    <row r="287" ht="15.75" customHeight="1">
      <c r="A287" s="90"/>
      <c r="F287" s="28"/>
    </row>
    <row r="288" ht="15.75" customHeight="1">
      <c r="A288" s="90"/>
      <c r="F288" s="28"/>
    </row>
    <row r="289" ht="15.75" customHeight="1">
      <c r="A289" s="90"/>
      <c r="F289" s="28"/>
    </row>
    <row r="290" ht="15.75" customHeight="1">
      <c r="A290" s="90"/>
      <c r="F290" s="28"/>
    </row>
    <row r="291" ht="15.75" customHeight="1">
      <c r="A291" s="90"/>
      <c r="F291" s="28"/>
    </row>
    <row r="292" ht="15.75" customHeight="1">
      <c r="A292" s="90"/>
      <c r="F292" s="28"/>
    </row>
    <row r="293" ht="15.75" customHeight="1">
      <c r="A293" s="90"/>
      <c r="F293" s="28"/>
    </row>
    <row r="294" ht="15.75" customHeight="1">
      <c r="A294" s="90"/>
      <c r="F294" s="28"/>
    </row>
    <row r="295" ht="15.75" customHeight="1">
      <c r="A295" s="90"/>
      <c r="F295" s="28"/>
    </row>
    <row r="296" ht="15.75" customHeight="1">
      <c r="A296" s="90"/>
      <c r="F296" s="28"/>
    </row>
    <row r="297" ht="15.75" customHeight="1">
      <c r="A297" s="90"/>
      <c r="F297" s="28"/>
    </row>
    <row r="298" ht="15.75" customHeight="1">
      <c r="A298" s="90"/>
      <c r="F298" s="28"/>
    </row>
    <row r="299" ht="15.75" customHeight="1">
      <c r="A299" s="90"/>
      <c r="F299" s="28"/>
    </row>
    <row r="300" ht="15.75" customHeight="1">
      <c r="A300" s="90"/>
      <c r="F300" s="28"/>
    </row>
    <row r="301" ht="15.75" customHeight="1">
      <c r="A301" s="90"/>
      <c r="F301" s="28"/>
    </row>
    <row r="302" ht="15.75" customHeight="1">
      <c r="A302" s="90"/>
      <c r="F302" s="28"/>
    </row>
    <row r="303" ht="15.75" customHeight="1">
      <c r="A303" s="90"/>
      <c r="F303" s="28"/>
    </row>
    <row r="304" ht="15.75" customHeight="1">
      <c r="A304" s="90"/>
      <c r="F304" s="28"/>
    </row>
    <row r="305" ht="15.75" customHeight="1">
      <c r="A305" s="90"/>
      <c r="F305" s="28"/>
    </row>
    <row r="306" ht="15.75" customHeight="1">
      <c r="A306" s="90"/>
      <c r="F306" s="28"/>
    </row>
    <row r="307" ht="15.75" customHeight="1">
      <c r="A307" s="90"/>
      <c r="F307" s="28"/>
    </row>
    <row r="308" ht="15.75" customHeight="1">
      <c r="A308" s="90"/>
      <c r="F308" s="28"/>
    </row>
    <row r="309" ht="15.75" customHeight="1">
      <c r="A309" s="90"/>
      <c r="F309" s="28"/>
    </row>
    <row r="310" ht="15.75" customHeight="1">
      <c r="A310" s="90"/>
      <c r="F310" s="28"/>
    </row>
    <row r="311" ht="15.75" customHeight="1">
      <c r="A311" s="90"/>
      <c r="F311" s="28"/>
    </row>
    <row r="312" ht="15.75" customHeight="1">
      <c r="A312" s="90"/>
      <c r="F312" s="28"/>
    </row>
    <row r="313" ht="15.75" customHeight="1">
      <c r="A313" s="90"/>
      <c r="F313" s="28"/>
    </row>
    <row r="314" ht="15.75" customHeight="1">
      <c r="A314" s="90"/>
      <c r="F314" s="28"/>
    </row>
    <row r="315" ht="15.75" customHeight="1">
      <c r="A315" s="90"/>
      <c r="F315" s="28"/>
    </row>
    <row r="316" ht="15.75" customHeight="1">
      <c r="A316" s="90"/>
      <c r="F316" s="28"/>
    </row>
    <row r="317" ht="15.75" customHeight="1">
      <c r="A317" s="90"/>
      <c r="F317" s="28"/>
    </row>
    <row r="318" ht="15.75" customHeight="1">
      <c r="A318" s="90"/>
      <c r="F318" s="28"/>
    </row>
    <row r="319" ht="15.75" customHeight="1">
      <c r="A319" s="90"/>
      <c r="F319" s="28"/>
    </row>
    <row r="320" ht="15.75" customHeight="1">
      <c r="A320" s="90"/>
      <c r="F320" s="28"/>
    </row>
    <row r="321" ht="15.75" customHeight="1">
      <c r="A321" s="90"/>
      <c r="F321" s="28"/>
    </row>
    <row r="322" ht="15.75" customHeight="1">
      <c r="A322" s="90"/>
      <c r="F322" s="28"/>
    </row>
    <row r="323" ht="15.75" customHeight="1">
      <c r="A323" s="90"/>
      <c r="F323" s="28"/>
    </row>
    <row r="324" ht="15.75" customHeight="1">
      <c r="A324" s="90"/>
      <c r="F324" s="28"/>
    </row>
    <row r="325" ht="15.75" customHeight="1">
      <c r="A325" s="90"/>
      <c r="F325" s="28"/>
    </row>
    <row r="326" ht="15.75" customHeight="1">
      <c r="A326" s="90"/>
      <c r="F326" s="28"/>
    </row>
    <row r="327" ht="15.75" customHeight="1">
      <c r="A327" s="90"/>
      <c r="F327" s="28"/>
    </row>
    <row r="328" ht="15.75" customHeight="1">
      <c r="A328" s="90"/>
      <c r="F328" s="28"/>
    </row>
    <row r="329" ht="15.75" customHeight="1">
      <c r="A329" s="90"/>
      <c r="F329" s="28"/>
    </row>
    <row r="330" ht="15.75" customHeight="1">
      <c r="A330" s="90"/>
      <c r="F330" s="28"/>
    </row>
    <row r="331" ht="15.75" customHeight="1">
      <c r="A331" s="90"/>
      <c r="F331" s="28"/>
    </row>
    <row r="332" ht="15.75" customHeight="1">
      <c r="A332" s="90"/>
      <c r="F332" s="28"/>
    </row>
    <row r="333" ht="15.75" customHeight="1">
      <c r="A333" s="90"/>
      <c r="F333" s="28"/>
    </row>
    <row r="334" ht="15.75" customHeight="1">
      <c r="A334" s="90"/>
      <c r="F334" s="28"/>
    </row>
    <row r="335" ht="15.75" customHeight="1">
      <c r="A335" s="90"/>
      <c r="F335" s="28"/>
    </row>
    <row r="336" ht="15.75" customHeight="1">
      <c r="A336" s="90"/>
      <c r="F336" s="28"/>
    </row>
    <row r="337" ht="15.75" customHeight="1">
      <c r="A337" s="90"/>
      <c r="F337" s="28"/>
    </row>
    <row r="338" ht="15.75" customHeight="1">
      <c r="A338" s="90"/>
      <c r="F338" s="28"/>
    </row>
    <row r="339" ht="15.75" customHeight="1">
      <c r="A339" s="90"/>
      <c r="F339" s="28"/>
    </row>
    <row r="340" ht="15.75" customHeight="1">
      <c r="A340" s="90"/>
      <c r="F340" s="28"/>
    </row>
    <row r="341" ht="15.75" customHeight="1">
      <c r="A341" s="90"/>
      <c r="F341" s="28"/>
    </row>
    <row r="342" ht="15.75" customHeight="1">
      <c r="A342" s="90"/>
      <c r="F342" s="28"/>
    </row>
    <row r="343" ht="15.75" customHeight="1">
      <c r="A343" s="90"/>
      <c r="F343" s="28"/>
    </row>
    <row r="344" ht="15.75" customHeight="1">
      <c r="A344" s="90"/>
      <c r="F344" s="28"/>
    </row>
    <row r="345" ht="15.75" customHeight="1">
      <c r="A345" s="90"/>
      <c r="F345" s="28"/>
    </row>
    <row r="346" ht="15.75" customHeight="1">
      <c r="A346" s="90"/>
      <c r="F346" s="28"/>
    </row>
    <row r="347" ht="15.75" customHeight="1">
      <c r="A347" s="90"/>
      <c r="F347" s="28"/>
    </row>
    <row r="348" ht="15.75" customHeight="1">
      <c r="A348" s="90"/>
      <c r="F348" s="28"/>
    </row>
    <row r="349" ht="15.75" customHeight="1">
      <c r="A349" s="90"/>
      <c r="F349" s="28"/>
    </row>
    <row r="350" ht="15.75" customHeight="1">
      <c r="A350" s="90"/>
      <c r="F350" s="28"/>
    </row>
    <row r="351" ht="15.75" customHeight="1">
      <c r="A351" s="90"/>
      <c r="F351" s="28"/>
    </row>
    <row r="352" ht="15.75" customHeight="1">
      <c r="A352" s="90"/>
      <c r="F352" s="28"/>
    </row>
    <row r="353" ht="15.75" customHeight="1">
      <c r="A353" s="90"/>
      <c r="F353" s="28"/>
    </row>
    <row r="354" ht="15.75" customHeight="1">
      <c r="A354" s="90"/>
      <c r="F354" s="28"/>
    </row>
    <row r="355" ht="15.75" customHeight="1">
      <c r="A355" s="90"/>
      <c r="F355" s="28"/>
    </row>
    <row r="356" ht="15.75" customHeight="1">
      <c r="A356" s="90"/>
      <c r="F356" s="28"/>
    </row>
    <row r="357" ht="15.75" customHeight="1">
      <c r="A357" s="90"/>
      <c r="F357" s="28"/>
    </row>
    <row r="358" ht="15.75" customHeight="1">
      <c r="A358" s="90"/>
      <c r="F358" s="28"/>
    </row>
    <row r="359" ht="15.75" customHeight="1">
      <c r="A359" s="90"/>
      <c r="F359" s="28"/>
    </row>
    <row r="360" ht="15.75" customHeight="1">
      <c r="A360" s="90"/>
      <c r="F360" s="28"/>
    </row>
    <row r="361" ht="15.75" customHeight="1">
      <c r="A361" s="90"/>
      <c r="F361" s="28"/>
    </row>
    <row r="362" ht="15.75" customHeight="1">
      <c r="A362" s="90"/>
      <c r="F362" s="28"/>
    </row>
    <row r="363" ht="15.75" customHeight="1">
      <c r="A363" s="90"/>
      <c r="F363" s="28"/>
    </row>
    <row r="364" ht="15.75" customHeight="1">
      <c r="A364" s="90"/>
      <c r="F364" s="28"/>
    </row>
    <row r="365" ht="15.75" customHeight="1">
      <c r="A365" s="90"/>
      <c r="F365" s="28"/>
    </row>
    <row r="366" ht="15.75" customHeight="1">
      <c r="A366" s="90"/>
      <c r="F366" s="28"/>
    </row>
    <row r="367" ht="15.75" customHeight="1">
      <c r="A367" s="90"/>
      <c r="F367" s="28"/>
    </row>
    <row r="368" ht="15.75" customHeight="1">
      <c r="A368" s="90"/>
      <c r="F368" s="28"/>
    </row>
    <row r="369" ht="15.75" customHeight="1">
      <c r="A369" s="90"/>
      <c r="F369" s="28"/>
    </row>
    <row r="370" ht="15.75" customHeight="1">
      <c r="A370" s="90"/>
      <c r="F370" s="28"/>
    </row>
    <row r="371" ht="15.75" customHeight="1">
      <c r="A371" s="90"/>
      <c r="F371" s="28"/>
    </row>
    <row r="372" ht="15.75" customHeight="1">
      <c r="A372" s="90"/>
      <c r="F372" s="28"/>
    </row>
    <row r="373" ht="15.75" customHeight="1">
      <c r="A373" s="90"/>
      <c r="F373" s="28"/>
    </row>
    <row r="374" ht="15.75" customHeight="1">
      <c r="A374" s="90"/>
      <c r="F374" s="28"/>
    </row>
    <row r="375" ht="15.75" customHeight="1">
      <c r="A375" s="90"/>
      <c r="F375" s="28"/>
    </row>
    <row r="376" ht="15.75" customHeight="1">
      <c r="A376" s="90"/>
      <c r="F376" s="28"/>
    </row>
    <row r="377" ht="15.75" customHeight="1">
      <c r="A377" s="90"/>
      <c r="F377" s="28"/>
    </row>
    <row r="378" ht="15.75" customHeight="1">
      <c r="A378" s="90"/>
      <c r="F378" s="28"/>
    </row>
    <row r="379" ht="15.75" customHeight="1">
      <c r="A379" s="90"/>
      <c r="F379" s="28"/>
    </row>
    <row r="380" ht="15.75" customHeight="1">
      <c r="A380" s="90"/>
      <c r="F380" s="28"/>
    </row>
    <row r="381" ht="15.75" customHeight="1">
      <c r="A381" s="90"/>
      <c r="F381" s="28"/>
    </row>
    <row r="382" ht="15.75" customHeight="1">
      <c r="A382" s="90"/>
      <c r="F382" s="28"/>
    </row>
    <row r="383" ht="15.75" customHeight="1">
      <c r="A383" s="90"/>
      <c r="F383" s="28"/>
    </row>
    <row r="384" ht="15.75" customHeight="1">
      <c r="A384" s="90"/>
      <c r="F384" s="28"/>
    </row>
    <row r="385" ht="15.75" customHeight="1">
      <c r="A385" s="90"/>
      <c r="F385" s="28"/>
    </row>
    <row r="386" ht="15.75" customHeight="1">
      <c r="A386" s="90"/>
      <c r="F386" s="28"/>
    </row>
    <row r="387" ht="15.75" customHeight="1">
      <c r="A387" s="90"/>
      <c r="F387" s="28"/>
    </row>
    <row r="388" ht="15.75" customHeight="1">
      <c r="A388" s="90"/>
      <c r="F388" s="28"/>
    </row>
    <row r="389" ht="15.75" customHeight="1">
      <c r="A389" s="90"/>
      <c r="F389" s="28"/>
    </row>
    <row r="390" ht="15.75" customHeight="1">
      <c r="A390" s="90"/>
      <c r="F390" s="28"/>
    </row>
    <row r="391" ht="15.75" customHeight="1">
      <c r="A391" s="90"/>
      <c r="F391" s="28"/>
    </row>
    <row r="392" ht="15.75" customHeight="1">
      <c r="A392" s="90"/>
      <c r="F392" s="28"/>
    </row>
    <row r="393" ht="15.75" customHeight="1">
      <c r="A393" s="90"/>
      <c r="F393" s="28"/>
    </row>
    <row r="394" ht="15.75" customHeight="1">
      <c r="A394" s="90"/>
      <c r="F394" s="28"/>
    </row>
    <row r="395" ht="15.75" customHeight="1">
      <c r="A395" s="90"/>
      <c r="F395" s="28"/>
    </row>
    <row r="396" ht="15.75" customHeight="1">
      <c r="A396" s="90"/>
      <c r="F396" s="28"/>
    </row>
    <row r="397" ht="15.75" customHeight="1">
      <c r="A397" s="90"/>
      <c r="F397" s="28"/>
    </row>
    <row r="398" ht="15.75" customHeight="1">
      <c r="A398" s="90"/>
      <c r="F398" s="28"/>
    </row>
    <row r="399" ht="15.75" customHeight="1">
      <c r="A399" s="90"/>
      <c r="F399" s="28"/>
    </row>
    <row r="400" ht="15.75" customHeight="1">
      <c r="A400" s="90"/>
      <c r="F400" s="28"/>
    </row>
    <row r="401" ht="15.75" customHeight="1">
      <c r="A401" s="90"/>
      <c r="F401" s="28"/>
    </row>
    <row r="402" ht="15.75" customHeight="1">
      <c r="A402" s="90"/>
      <c r="F402" s="28"/>
    </row>
    <row r="403" ht="15.75" customHeight="1">
      <c r="A403" s="90"/>
      <c r="F403" s="28"/>
    </row>
    <row r="404" ht="15.75" customHeight="1">
      <c r="A404" s="90"/>
      <c r="F404" s="28"/>
    </row>
    <row r="405" ht="15.75" customHeight="1">
      <c r="A405" s="90"/>
      <c r="F405" s="28"/>
    </row>
    <row r="406" ht="15.75" customHeight="1">
      <c r="A406" s="90"/>
      <c r="F406" s="28"/>
    </row>
    <row r="407" ht="15.75" customHeight="1">
      <c r="A407" s="90"/>
      <c r="F407" s="28"/>
    </row>
    <row r="408" ht="15.75" customHeight="1">
      <c r="A408" s="90"/>
      <c r="F408" s="28"/>
    </row>
    <row r="409" ht="15.75" customHeight="1">
      <c r="A409" s="90"/>
      <c r="F409" s="28"/>
    </row>
    <row r="410" ht="15.75" customHeight="1">
      <c r="A410" s="90"/>
      <c r="F410" s="28"/>
    </row>
    <row r="411" ht="15.75" customHeight="1">
      <c r="A411" s="90"/>
      <c r="F411" s="28"/>
    </row>
    <row r="412" ht="15.75" customHeight="1">
      <c r="A412" s="90"/>
      <c r="F412" s="28"/>
    </row>
    <row r="413" ht="15.75" customHeight="1">
      <c r="A413" s="90"/>
      <c r="F413" s="28"/>
    </row>
    <row r="414" ht="15.75" customHeight="1">
      <c r="A414" s="90"/>
      <c r="F414" s="28"/>
    </row>
    <row r="415" ht="15.75" customHeight="1">
      <c r="A415" s="90"/>
      <c r="F415" s="28"/>
    </row>
    <row r="416" ht="15.75" customHeight="1">
      <c r="A416" s="90"/>
      <c r="F416" s="28"/>
    </row>
    <row r="417" ht="15.75" customHeight="1">
      <c r="A417" s="90"/>
      <c r="F417" s="28"/>
    </row>
    <row r="418" ht="15.75" customHeight="1">
      <c r="A418" s="90"/>
      <c r="F418" s="28"/>
    </row>
    <row r="419" ht="15.75" customHeight="1">
      <c r="A419" s="90"/>
      <c r="F419" s="28"/>
    </row>
    <row r="420" ht="15.75" customHeight="1">
      <c r="A420" s="90"/>
      <c r="F420" s="28"/>
    </row>
    <row r="421" ht="15.75" customHeight="1">
      <c r="A421" s="90"/>
      <c r="F421" s="28"/>
    </row>
    <row r="422" ht="15.75" customHeight="1">
      <c r="A422" s="90"/>
      <c r="F422" s="28"/>
    </row>
    <row r="423" ht="15.75" customHeight="1">
      <c r="A423" s="90"/>
      <c r="F423" s="28"/>
    </row>
    <row r="424" ht="15.75" customHeight="1">
      <c r="A424" s="90"/>
      <c r="F424" s="28"/>
    </row>
    <row r="425" ht="15.75" customHeight="1">
      <c r="A425" s="90"/>
      <c r="F425" s="28"/>
    </row>
    <row r="426" ht="15.75" customHeight="1">
      <c r="A426" s="90"/>
      <c r="F426" s="28"/>
    </row>
    <row r="427" ht="15.75" customHeight="1">
      <c r="A427" s="90"/>
      <c r="F427" s="28"/>
    </row>
    <row r="428" ht="15.75" customHeight="1">
      <c r="A428" s="90"/>
      <c r="F428" s="28"/>
    </row>
    <row r="429" ht="15.75" customHeight="1">
      <c r="A429" s="90"/>
      <c r="F429" s="28"/>
    </row>
    <row r="430" ht="15.75" customHeight="1">
      <c r="A430" s="90"/>
      <c r="F430" s="28"/>
    </row>
    <row r="431" ht="15.75" customHeight="1">
      <c r="A431" s="90"/>
      <c r="F431" s="28"/>
    </row>
    <row r="432" ht="15.75" customHeight="1">
      <c r="A432" s="90"/>
      <c r="F432" s="28"/>
    </row>
    <row r="433" ht="15.75" customHeight="1">
      <c r="A433" s="90"/>
      <c r="F433" s="28"/>
    </row>
    <row r="434" ht="15.75" customHeight="1">
      <c r="A434" s="90"/>
      <c r="F434" s="28"/>
    </row>
    <row r="435" ht="15.75" customHeight="1">
      <c r="A435" s="90"/>
      <c r="F435" s="28"/>
    </row>
    <row r="436" ht="15.75" customHeight="1">
      <c r="A436" s="90"/>
      <c r="F436" s="28"/>
    </row>
    <row r="437" ht="15.75" customHeight="1">
      <c r="A437" s="90"/>
      <c r="F437" s="28"/>
    </row>
    <row r="438" ht="15.75" customHeight="1">
      <c r="A438" s="90"/>
      <c r="F438" s="28"/>
    </row>
    <row r="439" ht="15.75" customHeight="1">
      <c r="A439" s="90"/>
      <c r="F439" s="28"/>
    </row>
    <row r="440" ht="15.75" customHeight="1">
      <c r="A440" s="90"/>
      <c r="F440" s="28"/>
    </row>
    <row r="441" ht="15.75" customHeight="1">
      <c r="A441" s="90"/>
      <c r="F441" s="28"/>
    </row>
    <row r="442" ht="15.75" customHeight="1">
      <c r="A442" s="90"/>
      <c r="F442" s="28"/>
    </row>
    <row r="443" ht="15.75" customHeight="1">
      <c r="A443" s="90"/>
      <c r="F443" s="28"/>
    </row>
    <row r="444" ht="15.75" customHeight="1">
      <c r="A444" s="90"/>
      <c r="F444" s="28"/>
    </row>
    <row r="445" ht="15.75" customHeight="1">
      <c r="A445" s="90"/>
      <c r="F445" s="28"/>
    </row>
    <row r="446" ht="15.75" customHeight="1">
      <c r="A446" s="90"/>
      <c r="F446" s="28"/>
    </row>
    <row r="447" ht="15.75" customHeight="1">
      <c r="A447" s="90"/>
      <c r="F447" s="28"/>
    </row>
    <row r="448" ht="15.75" customHeight="1">
      <c r="A448" s="90"/>
      <c r="F448" s="28"/>
    </row>
    <row r="449" ht="15.75" customHeight="1">
      <c r="A449" s="90"/>
      <c r="F449" s="28"/>
    </row>
    <row r="450" ht="15.75" customHeight="1">
      <c r="A450" s="90"/>
      <c r="F450" s="28"/>
    </row>
    <row r="451" ht="15.75" customHeight="1">
      <c r="A451" s="90"/>
      <c r="F451" s="28"/>
    </row>
    <row r="452" ht="15.75" customHeight="1">
      <c r="A452" s="90"/>
      <c r="F452" s="28"/>
    </row>
    <row r="453" ht="15.75" customHeight="1">
      <c r="A453" s="90"/>
      <c r="F453" s="28"/>
    </row>
    <row r="454" ht="15.75" customHeight="1">
      <c r="A454" s="90"/>
      <c r="F454" s="28"/>
    </row>
    <row r="455" ht="15.75" customHeight="1">
      <c r="A455" s="90"/>
      <c r="F455" s="28"/>
    </row>
    <row r="456" ht="15.75" customHeight="1">
      <c r="A456" s="90"/>
      <c r="F456" s="28"/>
    </row>
    <row r="457" ht="15.75" customHeight="1">
      <c r="A457" s="90"/>
      <c r="F457" s="28"/>
    </row>
    <row r="458" ht="15.75" customHeight="1">
      <c r="A458" s="90"/>
      <c r="F458" s="28"/>
    </row>
    <row r="459" ht="15.75" customHeight="1">
      <c r="A459" s="90"/>
      <c r="F459" s="28"/>
    </row>
    <row r="460" ht="15.75" customHeight="1">
      <c r="A460" s="90"/>
      <c r="F460" s="28"/>
    </row>
    <row r="461" ht="15.75" customHeight="1">
      <c r="A461" s="90"/>
      <c r="F461" s="28"/>
    </row>
    <row r="462" ht="15.75" customHeight="1">
      <c r="A462" s="90"/>
      <c r="F462" s="28"/>
    </row>
    <row r="463" ht="15.75" customHeight="1">
      <c r="A463" s="90"/>
      <c r="F463" s="28"/>
    </row>
    <row r="464" ht="15.75" customHeight="1">
      <c r="A464" s="90"/>
      <c r="F464" s="28"/>
    </row>
    <row r="465" ht="15.75" customHeight="1">
      <c r="A465" s="90"/>
      <c r="F465" s="28"/>
    </row>
    <row r="466" ht="15.75" customHeight="1">
      <c r="A466" s="90"/>
      <c r="F466" s="28"/>
    </row>
    <row r="467" ht="15.75" customHeight="1">
      <c r="A467" s="90"/>
      <c r="F467" s="28"/>
    </row>
    <row r="468" ht="15.75" customHeight="1">
      <c r="A468" s="90"/>
      <c r="F468" s="28"/>
    </row>
    <row r="469" ht="15.75" customHeight="1">
      <c r="A469" s="90"/>
      <c r="F469" s="28"/>
    </row>
    <row r="470" ht="15.75" customHeight="1">
      <c r="A470" s="90"/>
      <c r="F470" s="28"/>
    </row>
    <row r="471" ht="15.75" customHeight="1">
      <c r="A471" s="90"/>
      <c r="F471" s="28"/>
    </row>
    <row r="472" ht="15.75" customHeight="1">
      <c r="A472" s="90"/>
      <c r="F472" s="28"/>
    </row>
    <row r="473" ht="15.75" customHeight="1">
      <c r="A473" s="90"/>
      <c r="F473" s="28"/>
    </row>
    <row r="474" ht="15.75" customHeight="1">
      <c r="A474" s="90"/>
      <c r="F474" s="28"/>
    </row>
    <row r="475" ht="15.75" customHeight="1">
      <c r="A475" s="90"/>
      <c r="F475" s="28"/>
    </row>
    <row r="476" ht="15.75" customHeight="1">
      <c r="A476" s="90"/>
      <c r="F476" s="28"/>
    </row>
    <row r="477" ht="15.75" customHeight="1">
      <c r="A477" s="90"/>
      <c r="F477" s="28"/>
    </row>
    <row r="478" ht="15.75" customHeight="1">
      <c r="A478" s="90"/>
      <c r="F478" s="28"/>
    </row>
    <row r="479" ht="15.75" customHeight="1">
      <c r="A479" s="90"/>
      <c r="F479" s="28"/>
    </row>
    <row r="480" ht="15.75" customHeight="1">
      <c r="A480" s="90"/>
      <c r="F480" s="28"/>
    </row>
    <row r="481" ht="15.75" customHeight="1">
      <c r="A481" s="90"/>
      <c r="F481" s="28"/>
    </row>
    <row r="482" ht="15.75" customHeight="1">
      <c r="A482" s="90"/>
      <c r="F482" s="28"/>
    </row>
    <row r="483" ht="15.75" customHeight="1">
      <c r="A483" s="90"/>
      <c r="F483" s="28"/>
    </row>
    <row r="484" ht="15.75" customHeight="1">
      <c r="A484" s="90"/>
      <c r="F484" s="28"/>
    </row>
    <row r="485" ht="15.75" customHeight="1">
      <c r="A485" s="90"/>
      <c r="F485" s="28"/>
    </row>
    <row r="486" ht="15.75" customHeight="1">
      <c r="A486" s="90"/>
      <c r="F486" s="28"/>
    </row>
    <row r="487" ht="15.75" customHeight="1">
      <c r="A487" s="90"/>
      <c r="F487" s="28"/>
    </row>
    <row r="488" ht="15.75" customHeight="1">
      <c r="A488" s="90"/>
      <c r="F488" s="28"/>
    </row>
    <row r="489" ht="15.75" customHeight="1">
      <c r="A489" s="90"/>
      <c r="F489" s="28"/>
    </row>
    <row r="490" ht="15.75" customHeight="1">
      <c r="A490" s="90"/>
      <c r="F490" s="28"/>
    </row>
    <row r="491" ht="15.75" customHeight="1">
      <c r="A491" s="90"/>
      <c r="F491" s="28"/>
    </row>
    <row r="492" ht="15.75" customHeight="1">
      <c r="A492" s="90"/>
      <c r="F492" s="28"/>
    </row>
    <row r="493" ht="15.75" customHeight="1">
      <c r="A493" s="90"/>
      <c r="F493" s="28"/>
    </row>
    <row r="494" ht="15.75" customHeight="1">
      <c r="A494" s="90"/>
      <c r="F494" s="28"/>
    </row>
    <row r="495" ht="15.75" customHeight="1">
      <c r="A495" s="90"/>
      <c r="F495" s="28"/>
    </row>
    <row r="496" ht="15.75" customHeight="1">
      <c r="A496" s="90"/>
      <c r="F496" s="28"/>
    </row>
    <row r="497" ht="15.75" customHeight="1">
      <c r="A497" s="90"/>
      <c r="F497" s="28"/>
    </row>
    <row r="498" ht="15.75" customHeight="1">
      <c r="A498" s="90"/>
      <c r="F498" s="28"/>
    </row>
    <row r="499" ht="15.75" customHeight="1">
      <c r="A499" s="90"/>
      <c r="F499" s="28"/>
    </row>
    <row r="500" ht="15.75" customHeight="1">
      <c r="A500" s="90"/>
      <c r="F500" s="28"/>
    </row>
    <row r="501" ht="15.75" customHeight="1">
      <c r="A501" s="90"/>
      <c r="F501" s="28"/>
    </row>
    <row r="502" ht="15.75" customHeight="1">
      <c r="A502" s="90"/>
      <c r="F502" s="28"/>
    </row>
    <row r="503" ht="15.75" customHeight="1">
      <c r="A503" s="90"/>
      <c r="F503" s="28"/>
    </row>
    <row r="504" ht="15.75" customHeight="1">
      <c r="A504" s="90"/>
      <c r="F504" s="28"/>
    </row>
    <row r="505" ht="15.75" customHeight="1">
      <c r="A505" s="90"/>
      <c r="F505" s="28"/>
    </row>
    <row r="506" ht="15.75" customHeight="1">
      <c r="A506" s="90"/>
      <c r="F506" s="28"/>
    </row>
    <row r="507" ht="15.75" customHeight="1">
      <c r="A507" s="90"/>
      <c r="F507" s="28"/>
    </row>
    <row r="508" ht="15.75" customHeight="1">
      <c r="A508" s="90"/>
      <c r="F508" s="28"/>
    </row>
    <row r="509" ht="15.75" customHeight="1">
      <c r="A509" s="90"/>
      <c r="F509" s="28"/>
    </row>
    <row r="510" ht="15.75" customHeight="1">
      <c r="A510" s="90"/>
      <c r="F510" s="28"/>
    </row>
    <row r="511" ht="15.75" customHeight="1">
      <c r="A511" s="90"/>
      <c r="F511" s="28"/>
    </row>
    <row r="512" ht="15.75" customHeight="1">
      <c r="A512" s="90"/>
      <c r="F512" s="28"/>
    </row>
    <row r="513" ht="15.75" customHeight="1">
      <c r="A513" s="90"/>
      <c r="F513" s="28"/>
    </row>
    <row r="514" ht="15.75" customHeight="1">
      <c r="A514" s="90"/>
      <c r="F514" s="28"/>
    </row>
    <row r="515" ht="15.75" customHeight="1">
      <c r="A515" s="90"/>
      <c r="F515" s="28"/>
    </row>
    <row r="516" ht="15.75" customHeight="1">
      <c r="A516" s="90"/>
      <c r="F516" s="28"/>
    </row>
    <row r="517" ht="15.75" customHeight="1">
      <c r="A517" s="90"/>
      <c r="F517" s="28"/>
    </row>
    <row r="518" ht="15.75" customHeight="1">
      <c r="A518" s="90"/>
      <c r="F518" s="28"/>
    </row>
    <row r="519" ht="15.75" customHeight="1">
      <c r="A519" s="90"/>
      <c r="F519" s="28"/>
    </row>
    <row r="520" ht="15.75" customHeight="1">
      <c r="A520" s="90"/>
      <c r="F520" s="28"/>
    </row>
    <row r="521" ht="15.75" customHeight="1">
      <c r="A521" s="90"/>
      <c r="F521" s="28"/>
    </row>
    <row r="522" ht="15.75" customHeight="1">
      <c r="A522" s="90"/>
      <c r="F522" s="28"/>
    </row>
    <row r="523" ht="15.75" customHeight="1">
      <c r="A523" s="90"/>
      <c r="F523" s="28"/>
    </row>
    <row r="524" ht="15.75" customHeight="1">
      <c r="A524" s="90"/>
      <c r="F524" s="28"/>
    </row>
    <row r="525" ht="15.75" customHeight="1">
      <c r="A525" s="90"/>
      <c r="F525" s="28"/>
    </row>
    <row r="526" ht="15.75" customHeight="1">
      <c r="A526" s="90"/>
      <c r="F526" s="28"/>
    </row>
    <row r="527" ht="15.75" customHeight="1">
      <c r="A527" s="90"/>
      <c r="F527" s="28"/>
    </row>
    <row r="528" ht="15.75" customHeight="1">
      <c r="A528" s="90"/>
      <c r="F528" s="28"/>
    </row>
    <row r="529" ht="15.75" customHeight="1">
      <c r="A529" s="90"/>
      <c r="F529" s="28"/>
    </row>
    <row r="530" ht="15.75" customHeight="1">
      <c r="A530" s="90"/>
      <c r="F530" s="28"/>
    </row>
    <row r="531" ht="15.75" customHeight="1">
      <c r="A531" s="90"/>
      <c r="F531" s="28"/>
    </row>
    <row r="532" ht="15.75" customHeight="1">
      <c r="A532" s="90"/>
      <c r="F532" s="28"/>
    </row>
    <row r="533" ht="15.75" customHeight="1">
      <c r="A533" s="90"/>
      <c r="F533" s="28"/>
    </row>
    <row r="534" ht="15.75" customHeight="1">
      <c r="A534" s="90"/>
      <c r="F534" s="28"/>
    </row>
    <row r="535" ht="15.75" customHeight="1">
      <c r="A535" s="90"/>
      <c r="F535" s="28"/>
    </row>
    <row r="536" ht="15.75" customHeight="1">
      <c r="A536" s="90"/>
      <c r="F536" s="28"/>
    </row>
    <row r="537" ht="15.75" customHeight="1">
      <c r="A537" s="90"/>
      <c r="F537" s="28"/>
    </row>
    <row r="538" ht="15.75" customHeight="1">
      <c r="A538" s="90"/>
      <c r="F538" s="28"/>
    </row>
    <row r="539" ht="15.75" customHeight="1">
      <c r="A539" s="90"/>
      <c r="F539" s="28"/>
    </row>
    <row r="540" ht="15.75" customHeight="1">
      <c r="A540" s="90"/>
      <c r="F540" s="28"/>
    </row>
    <row r="541" ht="15.75" customHeight="1">
      <c r="A541" s="90"/>
      <c r="F541" s="28"/>
    </row>
    <row r="542" ht="15.75" customHeight="1">
      <c r="A542" s="90"/>
      <c r="F542" s="28"/>
    </row>
    <row r="543" ht="15.75" customHeight="1">
      <c r="A543" s="90"/>
      <c r="F543" s="28"/>
    </row>
    <row r="544" ht="15.75" customHeight="1">
      <c r="A544" s="90"/>
      <c r="F544" s="28"/>
    </row>
    <row r="545" ht="15.75" customHeight="1">
      <c r="A545" s="90"/>
      <c r="F545" s="28"/>
    </row>
    <row r="546" ht="15.75" customHeight="1">
      <c r="A546" s="90"/>
      <c r="F546" s="28"/>
    </row>
    <row r="547" ht="15.75" customHeight="1">
      <c r="A547" s="90"/>
      <c r="F547" s="28"/>
    </row>
    <row r="548" ht="15.75" customHeight="1">
      <c r="A548" s="90"/>
      <c r="F548" s="28"/>
    </row>
    <row r="549" ht="15.75" customHeight="1">
      <c r="A549" s="90"/>
      <c r="F549" s="28"/>
    </row>
    <row r="550" ht="15.75" customHeight="1">
      <c r="A550" s="90"/>
      <c r="F550" s="28"/>
    </row>
    <row r="551" ht="15.75" customHeight="1">
      <c r="A551" s="90"/>
      <c r="F551" s="28"/>
    </row>
    <row r="552" ht="15.75" customHeight="1">
      <c r="A552" s="90"/>
      <c r="F552" s="28"/>
    </row>
    <row r="553" ht="15.75" customHeight="1">
      <c r="A553" s="90"/>
      <c r="F553" s="28"/>
    </row>
    <row r="554" ht="15.75" customHeight="1">
      <c r="A554" s="90"/>
      <c r="F554" s="28"/>
    </row>
    <row r="555" ht="15.75" customHeight="1">
      <c r="A555" s="90"/>
      <c r="F555" s="28"/>
    </row>
    <row r="556" ht="15.75" customHeight="1">
      <c r="A556" s="90"/>
      <c r="F556" s="28"/>
    </row>
    <row r="557" ht="15.75" customHeight="1">
      <c r="A557" s="90"/>
      <c r="F557" s="28"/>
    </row>
    <row r="558" ht="15.75" customHeight="1">
      <c r="A558" s="90"/>
      <c r="F558" s="28"/>
    </row>
    <row r="559" ht="15.75" customHeight="1">
      <c r="A559" s="90"/>
      <c r="F559" s="28"/>
    </row>
    <row r="560" ht="15.75" customHeight="1">
      <c r="A560" s="90"/>
      <c r="F560" s="28"/>
    </row>
    <row r="561" ht="15.75" customHeight="1">
      <c r="A561" s="90"/>
      <c r="F561" s="28"/>
    </row>
    <row r="562" ht="15.75" customHeight="1">
      <c r="A562" s="90"/>
      <c r="F562" s="28"/>
    </row>
    <row r="563" ht="15.75" customHeight="1">
      <c r="A563" s="90"/>
      <c r="F563" s="28"/>
    </row>
    <row r="564" ht="15.75" customHeight="1">
      <c r="A564" s="90"/>
      <c r="F564" s="28"/>
    </row>
    <row r="565" ht="15.75" customHeight="1">
      <c r="A565" s="90"/>
      <c r="F565" s="28"/>
    </row>
    <row r="566" ht="15.75" customHeight="1">
      <c r="A566" s="90"/>
      <c r="F566" s="28"/>
    </row>
    <row r="567" ht="15.75" customHeight="1">
      <c r="A567" s="90"/>
      <c r="F567" s="28"/>
    </row>
    <row r="568" ht="15.75" customHeight="1">
      <c r="A568" s="90"/>
      <c r="F568" s="28"/>
    </row>
    <row r="569" ht="15.75" customHeight="1">
      <c r="A569" s="90"/>
      <c r="F569" s="28"/>
    </row>
    <row r="570" ht="15.75" customHeight="1">
      <c r="A570" s="90"/>
      <c r="F570" s="28"/>
    </row>
    <row r="571" ht="15.75" customHeight="1">
      <c r="A571" s="90"/>
      <c r="F571" s="28"/>
    </row>
    <row r="572" ht="15.75" customHeight="1">
      <c r="A572" s="90"/>
      <c r="F572" s="28"/>
    </row>
    <row r="573" ht="15.75" customHeight="1">
      <c r="A573" s="90"/>
      <c r="F573" s="28"/>
    </row>
    <row r="574" ht="15.75" customHeight="1">
      <c r="A574" s="90"/>
      <c r="F574" s="28"/>
    </row>
    <row r="575" ht="15.75" customHeight="1">
      <c r="A575" s="90"/>
      <c r="F575" s="28"/>
    </row>
    <row r="576" ht="15.75" customHeight="1">
      <c r="A576" s="90"/>
      <c r="F576" s="28"/>
    </row>
    <row r="577" ht="15.75" customHeight="1">
      <c r="A577" s="90"/>
      <c r="F577" s="28"/>
    </row>
    <row r="578" ht="15.75" customHeight="1">
      <c r="A578" s="90"/>
      <c r="F578" s="28"/>
    </row>
    <row r="579" ht="15.75" customHeight="1">
      <c r="A579" s="90"/>
      <c r="F579" s="28"/>
    </row>
    <row r="580" ht="15.75" customHeight="1">
      <c r="A580" s="90"/>
      <c r="F580" s="28"/>
    </row>
    <row r="581" ht="15.75" customHeight="1">
      <c r="A581" s="90"/>
      <c r="F581" s="28"/>
    </row>
    <row r="582" ht="15.75" customHeight="1">
      <c r="A582" s="90"/>
      <c r="F582" s="28"/>
    </row>
    <row r="583" ht="15.75" customHeight="1">
      <c r="A583" s="90"/>
      <c r="F583" s="28"/>
    </row>
    <row r="584" ht="15.75" customHeight="1">
      <c r="A584" s="90"/>
      <c r="F584" s="28"/>
    </row>
    <row r="585" ht="15.75" customHeight="1">
      <c r="A585" s="90"/>
      <c r="F585" s="28"/>
    </row>
    <row r="586" ht="15.75" customHeight="1">
      <c r="A586" s="90"/>
      <c r="F586" s="28"/>
    </row>
    <row r="587" ht="15.75" customHeight="1">
      <c r="A587" s="90"/>
      <c r="F587" s="28"/>
    </row>
    <row r="588" ht="15.75" customHeight="1">
      <c r="A588" s="90"/>
      <c r="F588" s="28"/>
    </row>
    <row r="589" ht="15.75" customHeight="1">
      <c r="A589" s="90"/>
      <c r="F589" s="28"/>
    </row>
    <row r="590" ht="15.75" customHeight="1">
      <c r="A590" s="90"/>
      <c r="F590" s="28"/>
    </row>
    <row r="591" ht="15.75" customHeight="1">
      <c r="A591" s="90"/>
      <c r="F591" s="28"/>
    </row>
    <row r="592" ht="15.75" customHeight="1">
      <c r="A592" s="90"/>
      <c r="F592" s="28"/>
    </row>
    <row r="593" ht="15.75" customHeight="1">
      <c r="A593" s="90"/>
      <c r="F593" s="28"/>
    </row>
    <row r="594" ht="15.75" customHeight="1">
      <c r="A594" s="90"/>
      <c r="F594" s="28"/>
    </row>
    <row r="595" ht="15.75" customHeight="1">
      <c r="A595" s="90"/>
      <c r="F595" s="28"/>
    </row>
    <row r="596" ht="15.75" customHeight="1">
      <c r="A596" s="90"/>
      <c r="F596" s="28"/>
    </row>
    <row r="597" ht="15.75" customHeight="1">
      <c r="A597" s="90"/>
      <c r="F597" s="28"/>
    </row>
    <row r="598" ht="15.75" customHeight="1">
      <c r="A598" s="90"/>
      <c r="F598" s="28"/>
    </row>
    <row r="599" ht="15.75" customHeight="1">
      <c r="A599" s="90"/>
      <c r="F599" s="28"/>
    </row>
    <row r="600" ht="15.75" customHeight="1">
      <c r="A600" s="90"/>
      <c r="F600" s="28"/>
    </row>
    <row r="601" ht="15.75" customHeight="1">
      <c r="A601" s="90"/>
      <c r="F601" s="28"/>
    </row>
    <row r="602" ht="15.75" customHeight="1">
      <c r="A602" s="90"/>
      <c r="F602" s="28"/>
    </row>
    <row r="603" ht="15.75" customHeight="1">
      <c r="A603" s="90"/>
      <c r="F603" s="28"/>
    </row>
    <row r="604" ht="15.75" customHeight="1">
      <c r="A604" s="90"/>
      <c r="F604" s="28"/>
    </row>
    <row r="605" ht="15.75" customHeight="1">
      <c r="A605" s="90"/>
      <c r="F605" s="28"/>
    </row>
    <row r="606" ht="15.75" customHeight="1">
      <c r="A606" s="90"/>
      <c r="F606" s="28"/>
    </row>
    <row r="607" ht="15.75" customHeight="1">
      <c r="A607" s="90"/>
      <c r="F607" s="28"/>
    </row>
    <row r="608" ht="15.75" customHeight="1">
      <c r="A608" s="90"/>
      <c r="F608" s="28"/>
    </row>
    <row r="609" ht="15.75" customHeight="1">
      <c r="A609" s="90"/>
      <c r="F609" s="28"/>
    </row>
    <row r="610" ht="15.75" customHeight="1">
      <c r="A610" s="90"/>
      <c r="F610" s="28"/>
    </row>
    <row r="611" ht="15.75" customHeight="1">
      <c r="A611" s="90"/>
      <c r="F611" s="28"/>
    </row>
    <row r="612" ht="15.75" customHeight="1">
      <c r="A612" s="90"/>
      <c r="F612" s="28"/>
    </row>
    <row r="613" ht="15.75" customHeight="1">
      <c r="A613" s="90"/>
      <c r="F613" s="28"/>
    </row>
    <row r="614" ht="15.75" customHeight="1">
      <c r="A614" s="90"/>
      <c r="F614" s="28"/>
    </row>
    <row r="615" ht="15.75" customHeight="1">
      <c r="A615" s="90"/>
      <c r="F615" s="28"/>
    </row>
    <row r="616" ht="15.75" customHeight="1">
      <c r="A616" s="90"/>
      <c r="F616" s="28"/>
    </row>
    <row r="617" ht="15.75" customHeight="1">
      <c r="A617" s="90"/>
      <c r="F617" s="28"/>
    </row>
    <row r="618" ht="15.75" customHeight="1">
      <c r="A618" s="90"/>
      <c r="F618" s="28"/>
    </row>
    <row r="619" ht="15.75" customHeight="1">
      <c r="A619" s="90"/>
      <c r="F619" s="28"/>
    </row>
    <row r="620" ht="15.75" customHeight="1">
      <c r="A620" s="90"/>
      <c r="F620" s="28"/>
    </row>
    <row r="621" ht="15.75" customHeight="1">
      <c r="A621" s="90"/>
      <c r="F621" s="28"/>
    </row>
    <row r="622" ht="15.75" customHeight="1">
      <c r="A622" s="90"/>
      <c r="F622" s="28"/>
    </row>
    <row r="623" ht="15.75" customHeight="1">
      <c r="A623" s="90"/>
      <c r="F623" s="28"/>
    </row>
    <row r="624" ht="15.75" customHeight="1">
      <c r="A624" s="90"/>
      <c r="F624" s="28"/>
    </row>
    <row r="625" ht="15.75" customHeight="1">
      <c r="A625" s="90"/>
      <c r="F625" s="28"/>
    </row>
    <row r="626" ht="15.75" customHeight="1">
      <c r="A626" s="90"/>
      <c r="F626" s="28"/>
    </row>
    <row r="627" ht="15.75" customHeight="1">
      <c r="A627" s="90"/>
      <c r="F627" s="28"/>
    </row>
    <row r="628" ht="15.75" customHeight="1">
      <c r="A628" s="90"/>
      <c r="F628" s="28"/>
    </row>
    <row r="629" ht="15.75" customHeight="1">
      <c r="A629" s="90"/>
      <c r="F629" s="28"/>
    </row>
    <row r="630" ht="15.75" customHeight="1">
      <c r="A630" s="90"/>
      <c r="F630" s="28"/>
    </row>
    <row r="631" ht="15.75" customHeight="1">
      <c r="A631" s="90"/>
      <c r="F631" s="28"/>
    </row>
    <row r="632" ht="15.75" customHeight="1">
      <c r="A632" s="90"/>
      <c r="F632" s="28"/>
    </row>
    <row r="633" ht="15.75" customHeight="1">
      <c r="A633" s="90"/>
      <c r="F633" s="28"/>
    </row>
    <row r="634" ht="15.75" customHeight="1">
      <c r="A634" s="90"/>
      <c r="F634" s="28"/>
    </row>
    <row r="635" ht="15.75" customHeight="1">
      <c r="A635" s="90"/>
      <c r="F635" s="28"/>
    </row>
    <row r="636" ht="15.75" customHeight="1">
      <c r="A636" s="90"/>
      <c r="F636" s="28"/>
    </row>
    <row r="637" ht="15.75" customHeight="1">
      <c r="A637" s="90"/>
      <c r="F637" s="28"/>
    </row>
    <row r="638" ht="15.75" customHeight="1">
      <c r="A638" s="90"/>
      <c r="F638" s="28"/>
    </row>
    <row r="639" ht="15.75" customHeight="1">
      <c r="A639" s="90"/>
      <c r="F639" s="28"/>
    </row>
    <row r="640" ht="15.75" customHeight="1">
      <c r="A640" s="90"/>
      <c r="F640" s="28"/>
    </row>
    <row r="641" ht="15.75" customHeight="1">
      <c r="A641" s="90"/>
      <c r="F641" s="28"/>
    </row>
    <row r="642" ht="15.75" customHeight="1">
      <c r="A642" s="90"/>
      <c r="F642" s="28"/>
    </row>
    <row r="643" ht="15.75" customHeight="1">
      <c r="A643" s="90"/>
      <c r="F643" s="28"/>
    </row>
    <row r="644" ht="15.75" customHeight="1">
      <c r="A644" s="90"/>
      <c r="F644" s="28"/>
    </row>
    <row r="645" ht="15.75" customHeight="1">
      <c r="A645" s="90"/>
      <c r="F645" s="28"/>
    </row>
    <row r="646" ht="15.75" customHeight="1">
      <c r="A646" s="90"/>
      <c r="F646" s="28"/>
    </row>
    <row r="647" ht="15.75" customHeight="1">
      <c r="A647" s="90"/>
      <c r="F647" s="28"/>
    </row>
    <row r="648" ht="15.75" customHeight="1">
      <c r="A648" s="90"/>
      <c r="F648" s="28"/>
    </row>
    <row r="649" ht="15.75" customHeight="1">
      <c r="A649" s="90"/>
      <c r="F649" s="28"/>
    </row>
    <row r="650" ht="15.75" customHeight="1">
      <c r="A650" s="90"/>
      <c r="F650" s="28"/>
    </row>
    <row r="651" ht="15.75" customHeight="1">
      <c r="A651" s="90"/>
      <c r="F651" s="28"/>
    </row>
    <row r="652" ht="15.75" customHeight="1">
      <c r="A652" s="90"/>
      <c r="F652" s="28"/>
    </row>
    <row r="653" ht="15.75" customHeight="1">
      <c r="A653" s="90"/>
      <c r="F653" s="28"/>
    </row>
    <row r="654" ht="15.75" customHeight="1">
      <c r="A654" s="90"/>
      <c r="F654" s="28"/>
    </row>
    <row r="655" ht="15.75" customHeight="1">
      <c r="A655" s="90"/>
      <c r="F655" s="28"/>
    </row>
    <row r="656" ht="15.75" customHeight="1">
      <c r="A656" s="90"/>
      <c r="F656" s="28"/>
    </row>
    <row r="657" ht="15.75" customHeight="1">
      <c r="A657" s="90"/>
      <c r="F657" s="28"/>
    </row>
    <row r="658" ht="15.75" customHeight="1">
      <c r="A658" s="90"/>
      <c r="F658" s="28"/>
    </row>
    <row r="659" ht="15.75" customHeight="1">
      <c r="A659" s="90"/>
      <c r="F659" s="28"/>
    </row>
    <row r="660" ht="15.75" customHeight="1">
      <c r="A660" s="90"/>
      <c r="F660" s="28"/>
    </row>
    <row r="661" ht="15.75" customHeight="1">
      <c r="A661" s="90"/>
      <c r="F661" s="28"/>
    </row>
    <row r="662" ht="15.75" customHeight="1">
      <c r="A662" s="90"/>
      <c r="F662" s="28"/>
    </row>
    <row r="663" ht="15.75" customHeight="1">
      <c r="A663" s="90"/>
      <c r="F663" s="28"/>
    </row>
    <row r="664" ht="15.75" customHeight="1">
      <c r="A664" s="90"/>
      <c r="F664" s="28"/>
    </row>
    <row r="665" ht="15.75" customHeight="1">
      <c r="A665" s="90"/>
      <c r="F665" s="28"/>
    </row>
    <row r="666" ht="15.75" customHeight="1">
      <c r="A666" s="90"/>
      <c r="F666" s="28"/>
    </row>
    <row r="667" ht="15.75" customHeight="1">
      <c r="A667" s="90"/>
      <c r="F667" s="28"/>
    </row>
    <row r="668" ht="15.75" customHeight="1">
      <c r="A668" s="90"/>
      <c r="F668" s="28"/>
    </row>
    <row r="669" ht="15.75" customHeight="1">
      <c r="A669" s="90"/>
      <c r="F669" s="28"/>
    </row>
    <row r="670" ht="15.75" customHeight="1">
      <c r="A670" s="90"/>
      <c r="F670" s="28"/>
    </row>
    <row r="671" ht="15.75" customHeight="1">
      <c r="A671" s="90"/>
      <c r="F671" s="28"/>
    </row>
    <row r="672" ht="15.75" customHeight="1">
      <c r="A672" s="90"/>
      <c r="F672" s="28"/>
    </row>
    <row r="673" ht="15.75" customHeight="1">
      <c r="A673" s="90"/>
      <c r="F673" s="28"/>
    </row>
    <row r="674" ht="15.75" customHeight="1">
      <c r="A674" s="90"/>
      <c r="F674" s="28"/>
    </row>
    <row r="675" ht="15.75" customHeight="1">
      <c r="A675" s="90"/>
      <c r="F675" s="28"/>
    </row>
    <row r="676" ht="15.75" customHeight="1">
      <c r="A676" s="90"/>
      <c r="F676" s="28"/>
    </row>
    <row r="677" ht="15.75" customHeight="1">
      <c r="A677" s="90"/>
      <c r="F677" s="28"/>
    </row>
    <row r="678" ht="15.75" customHeight="1">
      <c r="A678" s="90"/>
      <c r="F678" s="28"/>
    </row>
    <row r="679" ht="15.75" customHeight="1">
      <c r="A679" s="90"/>
      <c r="F679" s="28"/>
    </row>
    <row r="680" ht="15.75" customHeight="1">
      <c r="A680" s="90"/>
      <c r="F680" s="28"/>
    </row>
    <row r="681" ht="15.75" customHeight="1">
      <c r="A681" s="90"/>
      <c r="F681" s="28"/>
    </row>
    <row r="682" ht="15.75" customHeight="1">
      <c r="A682" s="90"/>
      <c r="F682" s="28"/>
    </row>
    <row r="683" ht="15.75" customHeight="1">
      <c r="A683" s="90"/>
      <c r="F683" s="28"/>
    </row>
    <row r="684" ht="15.75" customHeight="1">
      <c r="A684" s="90"/>
      <c r="F684" s="28"/>
    </row>
    <row r="685" ht="15.75" customHeight="1">
      <c r="A685" s="90"/>
      <c r="F685" s="28"/>
    </row>
    <row r="686" ht="15.75" customHeight="1">
      <c r="A686" s="90"/>
      <c r="F686" s="28"/>
    </row>
    <row r="687" ht="15.75" customHeight="1">
      <c r="A687" s="90"/>
      <c r="F687" s="28"/>
    </row>
    <row r="688" ht="15.75" customHeight="1">
      <c r="A688" s="90"/>
      <c r="F688" s="28"/>
    </row>
    <row r="689" ht="15.75" customHeight="1">
      <c r="A689" s="90"/>
      <c r="F689" s="28"/>
    </row>
    <row r="690" ht="15.75" customHeight="1">
      <c r="A690" s="90"/>
      <c r="F690" s="28"/>
    </row>
    <row r="691" ht="15.75" customHeight="1">
      <c r="A691" s="90"/>
      <c r="F691" s="28"/>
    </row>
    <row r="692" ht="15.75" customHeight="1">
      <c r="A692" s="90"/>
      <c r="F692" s="28"/>
    </row>
    <row r="693" ht="15.75" customHeight="1">
      <c r="A693" s="90"/>
      <c r="F693" s="28"/>
    </row>
    <row r="694" ht="15.75" customHeight="1">
      <c r="A694" s="90"/>
      <c r="F694" s="28"/>
    </row>
    <row r="695" ht="15.75" customHeight="1">
      <c r="A695" s="90"/>
      <c r="F695" s="28"/>
    </row>
    <row r="696" ht="15.75" customHeight="1">
      <c r="A696" s="90"/>
      <c r="F696" s="28"/>
    </row>
    <row r="697" ht="15.75" customHeight="1">
      <c r="A697" s="90"/>
      <c r="F697" s="28"/>
    </row>
    <row r="698" ht="15.75" customHeight="1">
      <c r="A698" s="90"/>
      <c r="F698" s="28"/>
    </row>
    <row r="699" ht="15.75" customHeight="1">
      <c r="A699" s="90"/>
      <c r="F699" s="28"/>
    </row>
    <row r="700" ht="15.75" customHeight="1">
      <c r="A700" s="90"/>
      <c r="F700" s="28"/>
    </row>
    <row r="701" ht="15.75" customHeight="1">
      <c r="A701" s="90"/>
      <c r="F701" s="28"/>
    </row>
    <row r="702" ht="15.75" customHeight="1">
      <c r="A702" s="90"/>
      <c r="F702" s="28"/>
    </row>
    <row r="703" ht="15.75" customHeight="1">
      <c r="A703" s="90"/>
      <c r="F703" s="28"/>
    </row>
    <row r="704" ht="15.75" customHeight="1">
      <c r="A704" s="90"/>
      <c r="F704" s="28"/>
    </row>
    <row r="705" ht="15.75" customHeight="1">
      <c r="A705" s="90"/>
      <c r="F705" s="28"/>
    </row>
    <row r="706" ht="15.75" customHeight="1">
      <c r="A706" s="90"/>
      <c r="F706" s="28"/>
    </row>
    <row r="707" ht="15.75" customHeight="1">
      <c r="A707" s="90"/>
      <c r="F707" s="28"/>
    </row>
    <row r="708" ht="15.75" customHeight="1">
      <c r="A708" s="90"/>
      <c r="F708" s="28"/>
    </row>
    <row r="709" ht="15.75" customHeight="1">
      <c r="A709" s="90"/>
      <c r="F709" s="28"/>
    </row>
    <row r="710" ht="15.75" customHeight="1">
      <c r="A710" s="90"/>
      <c r="F710" s="28"/>
    </row>
    <row r="711" ht="15.75" customHeight="1">
      <c r="A711" s="90"/>
      <c r="F711" s="28"/>
    </row>
    <row r="712" ht="15.75" customHeight="1">
      <c r="A712" s="90"/>
      <c r="F712" s="28"/>
    </row>
    <row r="713" ht="15.75" customHeight="1">
      <c r="A713" s="90"/>
      <c r="F713" s="28"/>
    </row>
    <row r="714" ht="15.75" customHeight="1">
      <c r="A714" s="90"/>
      <c r="F714" s="28"/>
    </row>
    <row r="715" ht="15.75" customHeight="1">
      <c r="A715" s="90"/>
      <c r="F715" s="28"/>
    </row>
    <row r="716" ht="15.75" customHeight="1">
      <c r="A716" s="90"/>
      <c r="F716" s="28"/>
    </row>
    <row r="717" ht="15.75" customHeight="1">
      <c r="A717" s="90"/>
      <c r="F717" s="28"/>
    </row>
    <row r="718" ht="15.75" customHeight="1">
      <c r="A718" s="90"/>
      <c r="F718" s="28"/>
    </row>
    <row r="719" ht="15.75" customHeight="1">
      <c r="A719" s="90"/>
      <c r="F719" s="28"/>
    </row>
    <row r="720" ht="15.75" customHeight="1">
      <c r="A720" s="90"/>
      <c r="F720" s="28"/>
    </row>
    <row r="721" ht="15.75" customHeight="1">
      <c r="A721" s="90"/>
      <c r="F721" s="28"/>
    </row>
    <row r="722" ht="15.75" customHeight="1">
      <c r="A722" s="90"/>
      <c r="F722" s="28"/>
    </row>
    <row r="723" ht="15.75" customHeight="1">
      <c r="A723" s="90"/>
      <c r="F723" s="28"/>
    </row>
    <row r="724" ht="15.75" customHeight="1">
      <c r="A724" s="90"/>
      <c r="F724" s="28"/>
    </row>
    <row r="725" ht="15.75" customHeight="1">
      <c r="A725" s="90"/>
      <c r="F725" s="28"/>
    </row>
    <row r="726" ht="15.75" customHeight="1">
      <c r="A726" s="90"/>
      <c r="F726" s="28"/>
    </row>
    <row r="727" ht="15.75" customHeight="1">
      <c r="A727" s="90"/>
      <c r="F727" s="28"/>
    </row>
    <row r="728" ht="15.75" customHeight="1">
      <c r="A728" s="90"/>
      <c r="F728" s="28"/>
    </row>
    <row r="729" ht="15.75" customHeight="1">
      <c r="A729" s="90"/>
      <c r="F729" s="28"/>
    </row>
    <row r="730" ht="15.75" customHeight="1">
      <c r="A730" s="90"/>
      <c r="F730" s="28"/>
    </row>
    <row r="731" ht="15.75" customHeight="1">
      <c r="A731" s="90"/>
      <c r="F731" s="28"/>
    </row>
    <row r="732" ht="15.75" customHeight="1">
      <c r="A732" s="90"/>
      <c r="F732" s="28"/>
    </row>
    <row r="733" ht="15.75" customHeight="1">
      <c r="A733" s="90"/>
      <c r="F733" s="28"/>
    </row>
    <row r="734" ht="15.75" customHeight="1">
      <c r="A734" s="90"/>
      <c r="F734" s="28"/>
    </row>
    <row r="735" ht="15.75" customHeight="1">
      <c r="A735" s="90"/>
      <c r="F735" s="28"/>
    </row>
    <row r="736" ht="15.75" customHeight="1">
      <c r="A736" s="90"/>
      <c r="F736" s="28"/>
    </row>
    <row r="737" ht="15.75" customHeight="1">
      <c r="A737" s="90"/>
      <c r="F737" s="28"/>
    </row>
    <row r="738" ht="15.75" customHeight="1">
      <c r="A738" s="90"/>
      <c r="F738" s="28"/>
    </row>
    <row r="739" ht="15.75" customHeight="1">
      <c r="A739" s="90"/>
      <c r="F739" s="28"/>
    </row>
    <row r="740" ht="15.75" customHeight="1">
      <c r="A740" s="90"/>
      <c r="F740" s="28"/>
    </row>
    <row r="741" ht="15.75" customHeight="1">
      <c r="A741" s="90"/>
      <c r="F741" s="28"/>
    </row>
    <row r="742" ht="15.75" customHeight="1">
      <c r="A742" s="90"/>
      <c r="F742" s="28"/>
    </row>
    <row r="743" ht="15.75" customHeight="1">
      <c r="A743" s="90"/>
      <c r="F743" s="28"/>
    </row>
    <row r="744" ht="15.75" customHeight="1">
      <c r="A744" s="90"/>
      <c r="F744" s="28"/>
    </row>
    <row r="745" ht="15.75" customHeight="1">
      <c r="A745" s="90"/>
      <c r="F745" s="28"/>
    </row>
    <row r="746" ht="15.75" customHeight="1">
      <c r="A746" s="90"/>
      <c r="F746" s="28"/>
    </row>
    <row r="747" ht="15.75" customHeight="1">
      <c r="A747" s="90"/>
      <c r="F747" s="28"/>
    </row>
    <row r="748" ht="15.75" customHeight="1">
      <c r="A748" s="90"/>
      <c r="F748" s="28"/>
    </row>
    <row r="749" ht="15.75" customHeight="1">
      <c r="A749" s="90"/>
      <c r="F749" s="28"/>
    </row>
    <row r="750" ht="15.75" customHeight="1">
      <c r="A750" s="90"/>
      <c r="F750" s="28"/>
    </row>
    <row r="751" ht="15.75" customHeight="1">
      <c r="A751" s="90"/>
      <c r="F751" s="28"/>
    </row>
    <row r="752" ht="15.75" customHeight="1">
      <c r="A752" s="90"/>
      <c r="F752" s="28"/>
    </row>
    <row r="753" ht="15.75" customHeight="1">
      <c r="A753" s="90"/>
      <c r="F753" s="28"/>
    </row>
    <row r="754" ht="15.75" customHeight="1">
      <c r="A754" s="90"/>
      <c r="F754" s="28"/>
    </row>
    <row r="755" ht="15.75" customHeight="1">
      <c r="A755" s="90"/>
      <c r="F755" s="28"/>
    </row>
    <row r="756" ht="15.75" customHeight="1">
      <c r="A756" s="90"/>
      <c r="F756" s="28"/>
    </row>
    <row r="757" ht="15.75" customHeight="1">
      <c r="A757" s="90"/>
      <c r="F757" s="28"/>
    </row>
    <row r="758" ht="15.75" customHeight="1">
      <c r="A758" s="90"/>
      <c r="F758" s="28"/>
    </row>
    <row r="759" ht="15.75" customHeight="1">
      <c r="A759" s="90"/>
      <c r="F759" s="28"/>
    </row>
    <row r="760" ht="15.75" customHeight="1">
      <c r="A760" s="90"/>
      <c r="F760" s="28"/>
    </row>
    <row r="761" ht="15.75" customHeight="1">
      <c r="A761" s="90"/>
      <c r="F761" s="28"/>
    </row>
    <row r="762" ht="15.75" customHeight="1">
      <c r="A762" s="90"/>
      <c r="F762" s="28"/>
    </row>
    <row r="763" ht="15.75" customHeight="1">
      <c r="A763" s="90"/>
      <c r="F763" s="28"/>
    </row>
    <row r="764" ht="15.75" customHeight="1">
      <c r="A764" s="90"/>
      <c r="F764" s="28"/>
    </row>
    <row r="765" ht="15.75" customHeight="1">
      <c r="A765" s="90"/>
      <c r="F765" s="28"/>
    </row>
    <row r="766" ht="15.75" customHeight="1">
      <c r="A766" s="90"/>
      <c r="F766" s="28"/>
    </row>
    <row r="767" ht="15.75" customHeight="1">
      <c r="A767" s="90"/>
      <c r="F767" s="28"/>
    </row>
    <row r="768" ht="15.75" customHeight="1">
      <c r="A768" s="90"/>
      <c r="F768" s="28"/>
    </row>
    <row r="769" ht="15.75" customHeight="1">
      <c r="A769" s="90"/>
      <c r="F769" s="28"/>
    </row>
    <row r="770" ht="15.75" customHeight="1">
      <c r="A770" s="90"/>
      <c r="F770" s="28"/>
    </row>
    <row r="771" ht="15.75" customHeight="1">
      <c r="A771" s="90"/>
      <c r="F771" s="28"/>
    </row>
    <row r="772" ht="15.75" customHeight="1">
      <c r="A772" s="90"/>
      <c r="F772" s="28"/>
    </row>
    <row r="773" ht="15.75" customHeight="1">
      <c r="A773" s="90"/>
      <c r="F773" s="28"/>
    </row>
    <row r="774" ht="15.75" customHeight="1">
      <c r="A774" s="90"/>
      <c r="F774" s="28"/>
    </row>
    <row r="775" ht="15.75" customHeight="1">
      <c r="A775" s="90"/>
      <c r="F775" s="28"/>
    </row>
    <row r="776" ht="15.75" customHeight="1">
      <c r="A776" s="90"/>
      <c r="F776" s="28"/>
    </row>
    <row r="777" ht="15.75" customHeight="1">
      <c r="A777" s="90"/>
      <c r="F777" s="28"/>
    </row>
    <row r="778" ht="15.75" customHeight="1">
      <c r="A778" s="90"/>
      <c r="F778" s="28"/>
    </row>
    <row r="779" ht="15.75" customHeight="1">
      <c r="A779" s="90"/>
      <c r="F779" s="28"/>
    </row>
    <row r="780" ht="15.75" customHeight="1">
      <c r="A780" s="90"/>
      <c r="F780" s="28"/>
    </row>
    <row r="781" ht="15.75" customHeight="1">
      <c r="A781" s="90"/>
      <c r="F781" s="28"/>
    </row>
    <row r="782" ht="15.75" customHeight="1">
      <c r="A782" s="90"/>
      <c r="F782" s="28"/>
    </row>
    <row r="783" ht="15.75" customHeight="1">
      <c r="A783" s="90"/>
      <c r="F783" s="28"/>
    </row>
    <row r="784" ht="15.75" customHeight="1">
      <c r="A784" s="90"/>
      <c r="F784" s="28"/>
    </row>
    <row r="785" ht="15.75" customHeight="1">
      <c r="A785" s="90"/>
      <c r="F785" s="28"/>
    </row>
    <row r="786" ht="15.75" customHeight="1">
      <c r="A786" s="90"/>
      <c r="F786" s="28"/>
    </row>
    <row r="787" ht="15.75" customHeight="1">
      <c r="A787" s="90"/>
      <c r="F787" s="28"/>
    </row>
    <row r="788" ht="15.75" customHeight="1">
      <c r="A788" s="90"/>
      <c r="F788" s="28"/>
    </row>
    <row r="789" ht="15.75" customHeight="1">
      <c r="A789" s="90"/>
      <c r="F789" s="28"/>
    </row>
    <row r="790" ht="15.75" customHeight="1">
      <c r="A790" s="90"/>
      <c r="F790" s="28"/>
    </row>
    <row r="791" ht="15.75" customHeight="1">
      <c r="A791" s="90"/>
      <c r="F791" s="28"/>
    </row>
    <row r="792" ht="15.75" customHeight="1">
      <c r="A792" s="90"/>
      <c r="F792" s="28"/>
    </row>
    <row r="793" ht="15.75" customHeight="1">
      <c r="A793" s="90"/>
      <c r="F793" s="28"/>
    </row>
    <row r="794" ht="15.75" customHeight="1">
      <c r="A794" s="90"/>
      <c r="F794" s="28"/>
    </row>
    <row r="795" ht="15.75" customHeight="1">
      <c r="A795" s="90"/>
      <c r="F795" s="28"/>
    </row>
    <row r="796" ht="15.75" customHeight="1">
      <c r="A796" s="90"/>
      <c r="F796" s="28"/>
    </row>
    <row r="797" ht="15.75" customHeight="1">
      <c r="A797" s="90"/>
      <c r="F797" s="28"/>
    </row>
    <row r="798" ht="15.75" customHeight="1">
      <c r="A798" s="90"/>
      <c r="F798" s="28"/>
    </row>
    <row r="799" ht="15.75" customHeight="1">
      <c r="A799" s="90"/>
      <c r="F799" s="28"/>
    </row>
    <row r="800" ht="15.75" customHeight="1">
      <c r="A800" s="90"/>
      <c r="F800" s="28"/>
    </row>
    <row r="801" ht="15.75" customHeight="1">
      <c r="A801" s="90"/>
      <c r="F801" s="28"/>
    </row>
    <row r="802" ht="15.75" customHeight="1">
      <c r="A802" s="90"/>
      <c r="F802" s="28"/>
    </row>
    <row r="803" ht="15.75" customHeight="1">
      <c r="A803" s="90"/>
      <c r="F803" s="28"/>
    </row>
    <row r="804" ht="15.75" customHeight="1">
      <c r="A804" s="90"/>
      <c r="F804" s="28"/>
    </row>
    <row r="805" ht="15.75" customHeight="1">
      <c r="A805" s="90"/>
      <c r="F805" s="28"/>
    </row>
    <row r="806" ht="15.75" customHeight="1">
      <c r="A806" s="90"/>
      <c r="F806" s="28"/>
    </row>
    <row r="807" ht="15.75" customHeight="1">
      <c r="A807" s="90"/>
      <c r="F807" s="28"/>
    </row>
    <row r="808" ht="15.75" customHeight="1">
      <c r="A808" s="90"/>
      <c r="F808" s="28"/>
    </row>
    <row r="809" ht="15.75" customHeight="1">
      <c r="A809" s="90"/>
      <c r="F809" s="28"/>
    </row>
    <row r="810" ht="15.75" customHeight="1">
      <c r="A810" s="90"/>
      <c r="F810" s="28"/>
    </row>
    <row r="811" ht="15.75" customHeight="1">
      <c r="A811" s="90"/>
      <c r="F811" s="28"/>
    </row>
    <row r="812" ht="15.75" customHeight="1">
      <c r="A812" s="90"/>
      <c r="F812" s="28"/>
    </row>
    <row r="813" ht="15.75" customHeight="1">
      <c r="A813" s="90"/>
      <c r="F813" s="28"/>
    </row>
    <row r="814" ht="15.75" customHeight="1">
      <c r="A814" s="90"/>
      <c r="F814" s="28"/>
    </row>
    <row r="815" ht="15.75" customHeight="1">
      <c r="A815" s="90"/>
      <c r="F815" s="28"/>
    </row>
    <row r="816" ht="15.75" customHeight="1">
      <c r="A816" s="90"/>
      <c r="F816" s="28"/>
    </row>
    <row r="817" ht="15.75" customHeight="1">
      <c r="A817" s="90"/>
      <c r="F817" s="28"/>
    </row>
    <row r="818" ht="15.75" customHeight="1">
      <c r="A818" s="90"/>
      <c r="F818" s="28"/>
    </row>
    <row r="819" ht="15.75" customHeight="1">
      <c r="A819" s="90"/>
      <c r="F819" s="28"/>
    </row>
    <row r="820" ht="15.75" customHeight="1">
      <c r="A820" s="90"/>
      <c r="F820" s="28"/>
    </row>
    <row r="821" ht="15.75" customHeight="1">
      <c r="A821" s="90"/>
      <c r="F821" s="28"/>
    </row>
    <row r="822" ht="15.75" customHeight="1">
      <c r="A822" s="90"/>
      <c r="F822" s="28"/>
    </row>
    <row r="823" ht="15.75" customHeight="1">
      <c r="A823" s="90"/>
      <c r="F823" s="28"/>
    </row>
    <row r="824" ht="15.75" customHeight="1">
      <c r="A824" s="90"/>
      <c r="F824" s="28"/>
    </row>
    <row r="825" ht="15.75" customHeight="1">
      <c r="A825" s="90"/>
      <c r="F825" s="28"/>
    </row>
    <row r="826" ht="15.75" customHeight="1">
      <c r="A826" s="90"/>
      <c r="F826" s="28"/>
    </row>
    <row r="827" ht="15.75" customHeight="1">
      <c r="A827" s="90"/>
      <c r="F827" s="28"/>
    </row>
    <row r="828" ht="15.75" customHeight="1">
      <c r="A828" s="90"/>
      <c r="F828" s="28"/>
    </row>
    <row r="829" ht="15.75" customHeight="1">
      <c r="A829" s="90"/>
      <c r="F829" s="28"/>
    </row>
    <row r="830" ht="15.75" customHeight="1">
      <c r="A830" s="90"/>
      <c r="F830" s="28"/>
    </row>
    <row r="831" ht="15.75" customHeight="1">
      <c r="A831" s="90"/>
      <c r="F831" s="28"/>
    </row>
    <row r="832" ht="15.75" customHeight="1">
      <c r="A832" s="90"/>
      <c r="F832" s="28"/>
    </row>
    <row r="833" ht="15.75" customHeight="1">
      <c r="A833" s="90"/>
      <c r="F833" s="28"/>
    </row>
    <row r="834" ht="15.75" customHeight="1">
      <c r="A834" s="90"/>
      <c r="F834" s="28"/>
    </row>
    <row r="835" ht="15.75" customHeight="1">
      <c r="A835" s="90"/>
      <c r="F835" s="28"/>
    </row>
    <row r="836" ht="15.75" customHeight="1">
      <c r="A836" s="90"/>
      <c r="F836" s="28"/>
    </row>
    <row r="837" ht="15.75" customHeight="1">
      <c r="A837" s="90"/>
      <c r="F837" s="28"/>
    </row>
    <row r="838" ht="15.75" customHeight="1">
      <c r="A838" s="90"/>
      <c r="F838" s="28"/>
    </row>
    <row r="839" ht="15.75" customHeight="1">
      <c r="A839" s="90"/>
      <c r="F839" s="28"/>
    </row>
    <row r="840" ht="15.75" customHeight="1">
      <c r="A840" s="90"/>
      <c r="F840" s="28"/>
    </row>
    <row r="841" ht="15.75" customHeight="1">
      <c r="A841" s="90"/>
      <c r="F841" s="28"/>
    </row>
    <row r="842" ht="15.75" customHeight="1">
      <c r="A842" s="90"/>
      <c r="F842" s="28"/>
    </row>
    <row r="843" ht="15.75" customHeight="1">
      <c r="A843" s="90"/>
      <c r="F843" s="28"/>
    </row>
    <row r="844" ht="15.75" customHeight="1">
      <c r="A844" s="90"/>
      <c r="F844" s="28"/>
    </row>
    <row r="845" ht="15.75" customHeight="1">
      <c r="A845" s="90"/>
      <c r="F845" s="28"/>
    </row>
    <row r="846" ht="15.75" customHeight="1">
      <c r="A846" s="90"/>
      <c r="F846" s="28"/>
    </row>
    <row r="847" ht="15.75" customHeight="1">
      <c r="A847" s="90"/>
      <c r="F847" s="28"/>
    </row>
    <row r="848" ht="15.75" customHeight="1">
      <c r="A848" s="90"/>
      <c r="F848" s="28"/>
    </row>
    <row r="849" ht="15.75" customHeight="1">
      <c r="A849" s="90"/>
      <c r="F849" s="28"/>
    </row>
    <row r="850" ht="15.75" customHeight="1">
      <c r="A850" s="90"/>
      <c r="F850" s="28"/>
    </row>
    <row r="851" ht="15.75" customHeight="1">
      <c r="A851" s="90"/>
      <c r="F851" s="28"/>
    </row>
    <row r="852" ht="15.75" customHeight="1">
      <c r="A852" s="90"/>
      <c r="F852" s="28"/>
    </row>
    <row r="853" ht="15.75" customHeight="1">
      <c r="A853" s="90"/>
      <c r="F853" s="28"/>
    </row>
    <row r="854" ht="15.75" customHeight="1">
      <c r="A854" s="90"/>
      <c r="F854" s="28"/>
    </row>
    <row r="855" ht="15.75" customHeight="1">
      <c r="A855" s="90"/>
      <c r="F855" s="28"/>
    </row>
    <row r="856" ht="15.75" customHeight="1">
      <c r="A856" s="90"/>
      <c r="F856" s="28"/>
    </row>
    <row r="857" ht="15.75" customHeight="1">
      <c r="A857" s="90"/>
      <c r="F857" s="28"/>
    </row>
    <row r="858" ht="15.75" customHeight="1">
      <c r="A858" s="90"/>
      <c r="F858" s="28"/>
    </row>
    <row r="859" ht="15.75" customHeight="1">
      <c r="A859" s="90"/>
      <c r="F859" s="28"/>
    </row>
    <row r="860" ht="15.75" customHeight="1">
      <c r="A860" s="90"/>
      <c r="F860" s="28"/>
    </row>
    <row r="861" ht="15.75" customHeight="1">
      <c r="A861" s="90"/>
      <c r="F861" s="28"/>
    </row>
    <row r="862" ht="15.75" customHeight="1">
      <c r="A862" s="90"/>
      <c r="F862" s="28"/>
    </row>
    <row r="863" ht="15.75" customHeight="1">
      <c r="A863" s="90"/>
      <c r="F863" s="28"/>
    </row>
    <row r="864" ht="15.75" customHeight="1">
      <c r="A864" s="90"/>
      <c r="F864" s="28"/>
    </row>
    <row r="865" ht="15.75" customHeight="1">
      <c r="A865" s="90"/>
      <c r="F865" s="28"/>
    </row>
    <row r="866" ht="15.75" customHeight="1">
      <c r="A866" s="90"/>
      <c r="F866" s="28"/>
    </row>
    <row r="867" ht="15.75" customHeight="1">
      <c r="A867" s="90"/>
      <c r="F867" s="28"/>
    </row>
    <row r="868" ht="15.75" customHeight="1">
      <c r="A868" s="90"/>
      <c r="F868" s="28"/>
    </row>
    <row r="869" ht="15.75" customHeight="1">
      <c r="A869" s="90"/>
      <c r="F869" s="28"/>
    </row>
    <row r="870" ht="15.75" customHeight="1">
      <c r="A870" s="90"/>
      <c r="F870" s="28"/>
    </row>
    <row r="871" ht="15.75" customHeight="1">
      <c r="A871" s="90"/>
      <c r="F871" s="28"/>
    </row>
    <row r="872" ht="15.75" customHeight="1">
      <c r="A872" s="90"/>
      <c r="F872" s="28"/>
    </row>
    <row r="873" ht="15.75" customHeight="1">
      <c r="A873" s="90"/>
      <c r="F873" s="28"/>
    </row>
    <row r="874" ht="15.75" customHeight="1">
      <c r="A874" s="90"/>
      <c r="F874" s="28"/>
    </row>
    <row r="875" ht="15.75" customHeight="1">
      <c r="A875" s="90"/>
      <c r="F875" s="28"/>
    </row>
    <row r="876" ht="15.75" customHeight="1">
      <c r="A876" s="90"/>
      <c r="F876" s="28"/>
    </row>
    <row r="877" ht="15.75" customHeight="1">
      <c r="A877" s="90"/>
      <c r="F877" s="28"/>
    </row>
    <row r="878" ht="15.75" customHeight="1">
      <c r="A878" s="90"/>
      <c r="F878" s="28"/>
    </row>
    <row r="879" ht="15.75" customHeight="1">
      <c r="A879" s="90"/>
      <c r="F879" s="28"/>
    </row>
    <row r="880" ht="15.75" customHeight="1">
      <c r="A880" s="90"/>
      <c r="F880" s="28"/>
    </row>
    <row r="881" ht="15.75" customHeight="1">
      <c r="A881" s="90"/>
      <c r="F881" s="28"/>
    </row>
    <row r="882" ht="15.75" customHeight="1">
      <c r="A882" s="90"/>
      <c r="F882" s="28"/>
    </row>
    <row r="883" ht="15.75" customHeight="1">
      <c r="A883" s="90"/>
      <c r="F883" s="28"/>
    </row>
    <row r="884" ht="15.75" customHeight="1">
      <c r="A884" s="90"/>
      <c r="F884" s="28"/>
    </row>
    <row r="885" ht="15.75" customHeight="1">
      <c r="A885" s="90"/>
      <c r="F885" s="28"/>
    </row>
    <row r="886" ht="15.75" customHeight="1">
      <c r="A886" s="90"/>
      <c r="F886" s="28"/>
    </row>
    <row r="887" ht="15.75" customHeight="1">
      <c r="A887" s="90"/>
      <c r="F887" s="28"/>
    </row>
    <row r="888" ht="15.75" customHeight="1">
      <c r="A888" s="90"/>
      <c r="F888" s="28"/>
    </row>
    <row r="889" ht="15.75" customHeight="1">
      <c r="A889" s="90"/>
      <c r="F889" s="28"/>
    </row>
    <row r="890" ht="15.75" customHeight="1">
      <c r="A890" s="90"/>
      <c r="F890" s="28"/>
    </row>
    <row r="891" ht="15.75" customHeight="1">
      <c r="A891" s="90"/>
      <c r="F891" s="28"/>
    </row>
    <row r="892" ht="15.75" customHeight="1">
      <c r="A892" s="90"/>
      <c r="F892" s="28"/>
    </row>
    <row r="893" ht="15.75" customHeight="1">
      <c r="A893" s="90"/>
      <c r="F893" s="28"/>
    </row>
    <row r="894" ht="15.75" customHeight="1">
      <c r="A894" s="90"/>
      <c r="F894" s="28"/>
    </row>
    <row r="895" ht="15.75" customHeight="1">
      <c r="A895" s="90"/>
      <c r="F895" s="28"/>
    </row>
    <row r="896" ht="15.75" customHeight="1">
      <c r="A896" s="90"/>
      <c r="F896" s="28"/>
    </row>
    <row r="897" ht="15.75" customHeight="1">
      <c r="A897" s="90"/>
      <c r="F897" s="28"/>
    </row>
    <row r="898" ht="15.75" customHeight="1">
      <c r="A898" s="90"/>
      <c r="F898" s="28"/>
    </row>
    <row r="899" ht="15.75" customHeight="1">
      <c r="A899" s="90"/>
      <c r="F899" s="28"/>
    </row>
    <row r="900" ht="15.75" customHeight="1">
      <c r="A900" s="90"/>
      <c r="F900" s="28"/>
    </row>
    <row r="901" ht="15.75" customHeight="1">
      <c r="A901" s="90"/>
      <c r="F901" s="28"/>
    </row>
    <row r="902" ht="15.75" customHeight="1">
      <c r="A902" s="90"/>
      <c r="F902" s="28"/>
    </row>
    <row r="903" ht="15.75" customHeight="1">
      <c r="A903" s="90"/>
      <c r="F903" s="28"/>
    </row>
    <row r="904" ht="15.75" customHeight="1">
      <c r="A904" s="90"/>
      <c r="F904" s="28"/>
    </row>
    <row r="905" ht="15.75" customHeight="1">
      <c r="A905" s="90"/>
      <c r="F905" s="28"/>
    </row>
    <row r="906" ht="15.75" customHeight="1">
      <c r="A906" s="90"/>
      <c r="F906" s="28"/>
    </row>
    <row r="907" ht="15.75" customHeight="1">
      <c r="A907" s="90"/>
      <c r="F907" s="28"/>
    </row>
    <row r="908" ht="15.75" customHeight="1">
      <c r="A908" s="90"/>
      <c r="F908" s="28"/>
    </row>
    <row r="909" ht="15.75" customHeight="1">
      <c r="A909" s="90"/>
      <c r="F909" s="28"/>
    </row>
    <row r="910" ht="15.75" customHeight="1">
      <c r="A910" s="90"/>
      <c r="F910" s="28"/>
    </row>
    <row r="911" ht="15.75" customHeight="1">
      <c r="A911" s="90"/>
      <c r="F911" s="28"/>
    </row>
    <row r="912" ht="15.75" customHeight="1">
      <c r="A912" s="90"/>
      <c r="F912" s="28"/>
    </row>
    <row r="913" ht="15.75" customHeight="1">
      <c r="A913" s="90"/>
      <c r="F913" s="28"/>
    </row>
    <row r="914" ht="15.75" customHeight="1">
      <c r="A914" s="90"/>
      <c r="F914" s="28"/>
    </row>
    <row r="915" ht="15.75" customHeight="1">
      <c r="A915" s="90"/>
      <c r="F915" s="28"/>
    </row>
    <row r="916" ht="15.75" customHeight="1">
      <c r="A916" s="90"/>
      <c r="F916" s="28"/>
    </row>
    <row r="917" ht="15.75" customHeight="1">
      <c r="A917" s="90"/>
      <c r="F917" s="28"/>
    </row>
    <row r="918" ht="15.75" customHeight="1">
      <c r="A918" s="90"/>
      <c r="F918" s="28"/>
    </row>
    <row r="919" ht="15.75" customHeight="1">
      <c r="A919" s="90"/>
      <c r="F919" s="28"/>
    </row>
    <row r="920" ht="15.75" customHeight="1">
      <c r="A920" s="90"/>
      <c r="F920" s="28"/>
    </row>
    <row r="921" ht="15.75" customHeight="1">
      <c r="A921" s="90"/>
      <c r="F921" s="28"/>
    </row>
    <row r="922" ht="15.75" customHeight="1">
      <c r="A922" s="90"/>
      <c r="F922" s="28"/>
    </row>
    <row r="923" ht="15.75" customHeight="1">
      <c r="A923" s="90"/>
      <c r="F923" s="28"/>
    </row>
    <row r="924" ht="15.75" customHeight="1">
      <c r="A924" s="90"/>
      <c r="F924" s="28"/>
    </row>
    <row r="925" ht="15.75" customHeight="1">
      <c r="A925" s="90"/>
      <c r="F925" s="28"/>
    </row>
    <row r="926" ht="15.75" customHeight="1">
      <c r="A926" s="90"/>
      <c r="F926" s="28"/>
    </row>
    <row r="927" ht="15.75" customHeight="1">
      <c r="A927" s="90"/>
      <c r="F927" s="28"/>
    </row>
    <row r="928" ht="15.75" customHeight="1">
      <c r="A928" s="90"/>
      <c r="F928" s="28"/>
    </row>
    <row r="929" ht="15.75" customHeight="1">
      <c r="A929" s="90"/>
      <c r="F929" s="28"/>
    </row>
    <row r="930" ht="15.75" customHeight="1">
      <c r="A930" s="90"/>
      <c r="F930" s="28"/>
    </row>
    <row r="931" ht="15.75" customHeight="1">
      <c r="A931" s="90"/>
      <c r="F931" s="28"/>
    </row>
    <row r="932" ht="15.75" customHeight="1">
      <c r="A932" s="90"/>
      <c r="F932" s="28"/>
    </row>
    <row r="933" ht="15.75" customHeight="1">
      <c r="A933" s="90"/>
      <c r="F933" s="28"/>
    </row>
    <row r="934" ht="15.75" customHeight="1">
      <c r="A934" s="90"/>
      <c r="F934" s="28"/>
    </row>
    <row r="935" ht="15.75" customHeight="1">
      <c r="A935" s="90"/>
      <c r="F935" s="28"/>
    </row>
    <row r="936" ht="15.75" customHeight="1">
      <c r="A936" s="90"/>
      <c r="F936" s="28"/>
    </row>
    <row r="937" ht="15.75" customHeight="1">
      <c r="A937" s="90"/>
      <c r="F937" s="28"/>
    </row>
    <row r="938" ht="15.75" customHeight="1">
      <c r="A938" s="90"/>
      <c r="F938" s="28"/>
    </row>
    <row r="939" ht="15.75" customHeight="1">
      <c r="A939" s="90"/>
      <c r="F939" s="28"/>
    </row>
    <row r="940" ht="15.75" customHeight="1">
      <c r="A940" s="90"/>
      <c r="F940" s="28"/>
    </row>
    <row r="941" ht="15.75" customHeight="1">
      <c r="A941" s="90"/>
      <c r="F941" s="28"/>
    </row>
    <row r="942" ht="15.75" customHeight="1">
      <c r="A942" s="90"/>
      <c r="F942" s="28"/>
    </row>
    <row r="943" ht="15.75" customHeight="1">
      <c r="A943" s="90"/>
      <c r="F943" s="28"/>
    </row>
    <row r="944" ht="15.75" customHeight="1">
      <c r="A944" s="90"/>
      <c r="F944" s="28"/>
    </row>
    <row r="945" ht="15.75" customHeight="1">
      <c r="A945" s="90"/>
      <c r="F945" s="28"/>
    </row>
    <row r="946" ht="15.75" customHeight="1">
      <c r="A946" s="90"/>
      <c r="F946" s="28"/>
    </row>
    <row r="947" ht="15.75" customHeight="1">
      <c r="A947" s="90"/>
      <c r="F947" s="28"/>
    </row>
    <row r="948" ht="15.75" customHeight="1">
      <c r="A948" s="90"/>
      <c r="F948" s="28"/>
    </row>
    <row r="949" ht="15.75" customHeight="1">
      <c r="A949" s="90"/>
      <c r="F949" s="28"/>
    </row>
    <row r="950" ht="15.75" customHeight="1">
      <c r="A950" s="90"/>
      <c r="F950" s="28"/>
    </row>
    <row r="951" ht="15.75" customHeight="1">
      <c r="A951" s="90"/>
      <c r="F951" s="28"/>
    </row>
    <row r="952" ht="15.75" customHeight="1">
      <c r="A952" s="90"/>
      <c r="F952" s="28"/>
    </row>
    <row r="953" ht="15.75" customHeight="1">
      <c r="A953" s="90"/>
      <c r="F953" s="28"/>
    </row>
    <row r="954" ht="15.75" customHeight="1">
      <c r="A954" s="90"/>
      <c r="F954" s="28"/>
    </row>
    <row r="955" ht="15.75" customHeight="1">
      <c r="A955" s="90"/>
      <c r="F955" s="28"/>
    </row>
    <row r="956" ht="15.75" customHeight="1">
      <c r="A956" s="90"/>
      <c r="F956" s="28"/>
    </row>
    <row r="957" ht="15.75" customHeight="1">
      <c r="A957" s="90"/>
      <c r="F957" s="28"/>
    </row>
    <row r="958" ht="15.75" customHeight="1">
      <c r="A958" s="90"/>
      <c r="F958" s="28"/>
    </row>
    <row r="959" ht="15.75" customHeight="1">
      <c r="A959" s="90"/>
      <c r="F959" s="28"/>
    </row>
    <row r="960" ht="15.75" customHeight="1">
      <c r="A960" s="90"/>
      <c r="F960" s="28"/>
    </row>
    <row r="961" ht="15.75" customHeight="1">
      <c r="A961" s="90"/>
      <c r="F961" s="28"/>
    </row>
    <row r="962" ht="15.75" customHeight="1">
      <c r="A962" s="90"/>
      <c r="F962" s="28"/>
    </row>
    <row r="963" ht="15.75" customHeight="1">
      <c r="A963" s="90"/>
      <c r="F963" s="28"/>
    </row>
    <row r="964" ht="15.75" customHeight="1">
      <c r="A964" s="90"/>
      <c r="F964" s="28"/>
    </row>
    <row r="965" ht="15.75" customHeight="1">
      <c r="A965" s="90"/>
      <c r="F965" s="28"/>
    </row>
    <row r="966" ht="15.75" customHeight="1">
      <c r="A966" s="90"/>
      <c r="F966" s="28"/>
    </row>
    <row r="967" ht="15.75" customHeight="1">
      <c r="A967" s="90"/>
      <c r="F967" s="28"/>
    </row>
    <row r="968" ht="15.75" customHeight="1">
      <c r="A968" s="90"/>
      <c r="F968" s="28"/>
    </row>
    <row r="969" ht="15.75" customHeight="1">
      <c r="A969" s="90"/>
      <c r="F969" s="28"/>
    </row>
    <row r="970" ht="15.75" customHeight="1">
      <c r="A970" s="90"/>
      <c r="F970" s="28"/>
    </row>
    <row r="971" ht="15.75" customHeight="1">
      <c r="A971" s="90"/>
      <c r="F971" s="28"/>
    </row>
    <row r="972" ht="15.75" customHeight="1">
      <c r="A972" s="90"/>
      <c r="F972" s="28"/>
    </row>
    <row r="973" ht="15.75" customHeight="1">
      <c r="A973" s="90"/>
      <c r="F973" s="28"/>
    </row>
    <row r="974" ht="15.75" customHeight="1">
      <c r="A974" s="90"/>
      <c r="F974" s="28"/>
    </row>
    <row r="975" ht="15.75" customHeight="1">
      <c r="A975" s="90"/>
      <c r="F975" s="28"/>
    </row>
    <row r="976" ht="15.75" customHeight="1">
      <c r="A976" s="90"/>
      <c r="F976" s="28"/>
    </row>
    <row r="977" ht="15.75" customHeight="1">
      <c r="A977" s="90"/>
      <c r="F977" s="28"/>
    </row>
    <row r="978" ht="15.75" customHeight="1">
      <c r="A978" s="90"/>
      <c r="F978" s="28"/>
    </row>
    <row r="979" ht="15.75" customHeight="1">
      <c r="A979" s="90"/>
      <c r="F979" s="28"/>
    </row>
    <row r="980" ht="15.75" customHeight="1">
      <c r="A980" s="90"/>
      <c r="F980" s="28"/>
    </row>
    <row r="981" ht="15.75" customHeight="1">
      <c r="A981" s="90"/>
      <c r="F981" s="28"/>
    </row>
    <row r="982" ht="15.75" customHeight="1">
      <c r="A982" s="90"/>
      <c r="F982" s="28"/>
    </row>
    <row r="983" ht="15.75" customHeight="1">
      <c r="A983" s="90"/>
      <c r="F983" s="28"/>
    </row>
    <row r="984" ht="15.75" customHeight="1">
      <c r="A984" s="90"/>
      <c r="F984" s="28"/>
    </row>
    <row r="985" ht="15.75" customHeight="1">
      <c r="A985" s="90"/>
      <c r="F985" s="28"/>
    </row>
    <row r="986" ht="15.75" customHeight="1">
      <c r="A986" s="90"/>
      <c r="F986" s="28"/>
    </row>
    <row r="987" ht="15.75" customHeight="1">
      <c r="A987" s="90"/>
      <c r="F987" s="28"/>
    </row>
    <row r="988" ht="15.75" customHeight="1">
      <c r="A988" s="90"/>
      <c r="F988" s="28"/>
    </row>
    <row r="989" ht="15.75" customHeight="1">
      <c r="A989" s="90"/>
      <c r="F989" s="28"/>
    </row>
    <row r="990" ht="15.75" customHeight="1">
      <c r="A990" s="90"/>
      <c r="F990" s="28"/>
    </row>
    <row r="991" ht="15.75" customHeight="1">
      <c r="A991" s="90"/>
      <c r="F991" s="28"/>
    </row>
    <row r="992" ht="15.75" customHeight="1">
      <c r="A992" s="90"/>
      <c r="F992" s="28"/>
    </row>
    <row r="993" ht="15.75" customHeight="1">
      <c r="A993" s="90"/>
      <c r="F993" s="28"/>
    </row>
    <row r="994" ht="15.75" customHeight="1">
      <c r="A994" s="90"/>
      <c r="F994" s="28"/>
    </row>
    <row r="995" ht="15.75" customHeight="1">
      <c r="A995" s="90"/>
      <c r="F995" s="28"/>
    </row>
    <row r="996" ht="15.75" customHeight="1">
      <c r="A996" s="90"/>
      <c r="F996" s="28"/>
    </row>
    <row r="997" ht="15.75" customHeight="1">
      <c r="A997" s="90"/>
      <c r="F997" s="28"/>
    </row>
    <row r="998" ht="15.75" customHeight="1">
      <c r="A998" s="90"/>
      <c r="F998" s="28"/>
    </row>
    <row r="999" ht="15.75" customHeight="1">
      <c r="A999" s="90"/>
      <c r="F999" s="28"/>
    </row>
    <row r="1000" ht="15.75" customHeight="1">
      <c r="A1000" s="90"/>
      <c r="F1000" s="28"/>
    </row>
  </sheetData>
  <mergeCells count="1">
    <mergeCell ref="A61:H61"/>
  </mergeCells>
  <dataValidations>
    <dataValidation type="custom" allowBlank="1" showDropDown="1" sqref="A2:A58">
      <formula1>OR(NOT(ISERROR(DATEVALUE(A2))), AND(ISNUMBER(A2), LEFT(CELL("format", A2))="D"))</formula1>
    </dataValidation>
    <dataValidation type="custom" allowBlank="1" showDropDown="1" sqref="B2:I58">
      <formula1>AND(ISNUMBER(B2),(NOT(OR(NOT(ISERROR(DATEVALUE(B2))), AND(ISNUMBER(B2), LEFT(CELL("format", B2))="D")))))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2"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0"/>
    <col customWidth="1" min="2" max="2" width="13.11"/>
    <col customWidth="1" min="3" max="3" width="17.11"/>
    <col customWidth="1" min="4" max="4" width="14.89"/>
    <col customWidth="1" min="5" max="5" width="12.89"/>
    <col customWidth="1" min="6" max="6" width="16.78"/>
    <col customWidth="1" min="7" max="7" width="15.89"/>
    <col customWidth="1" min="8" max="8" width="13.44"/>
    <col customWidth="1" min="9" max="9" width="13.11"/>
    <col customWidth="1" min="10" max="10" width="10.44"/>
    <col customWidth="1" min="11" max="11" width="15.78"/>
    <col customWidth="1" min="12" max="12" width="11.44"/>
    <col customWidth="1" min="13" max="13" width="14.78"/>
    <col customWidth="1" min="14" max="14" width="12.22"/>
    <col customWidth="1" min="15" max="15" width="14.67"/>
    <col customWidth="1" min="16" max="16" width="13.0"/>
    <col customWidth="1" min="17" max="17" width="17.67"/>
    <col customWidth="1" min="18" max="18" width="13.78"/>
    <col customWidth="1" min="19" max="19" width="11.33"/>
    <col customWidth="1" min="20" max="20" width="12.67"/>
    <col customWidth="1" min="21" max="21" width="18.11"/>
    <col customWidth="1" min="22" max="22" width="12.0"/>
    <col customWidth="1" min="23" max="23" width="13.33"/>
    <col customWidth="1" min="24" max="24" width="16.89"/>
    <col customWidth="1" min="25" max="26" width="10.78"/>
    <col customWidth="1" min="27" max="27" width="11.67"/>
  </cols>
  <sheetData>
    <row r="1" ht="15.75" customHeight="1">
      <c r="A1" s="6" t="s">
        <v>16</v>
      </c>
      <c r="B1" s="7" t="s">
        <v>45</v>
      </c>
      <c r="C1" s="7" t="s">
        <v>46</v>
      </c>
      <c r="D1" s="7" t="s">
        <v>49</v>
      </c>
      <c r="E1" s="7" t="s">
        <v>28</v>
      </c>
      <c r="F1" s="7" t="s">
        <v>26</v>
      </c>
      <c r="G1" s="7" t="s">
        <v>29</v>
      </c>
      <c r="H1" s="7" t="s">
        <v>37</v>
      </c>
      <c r="I1" s="7" t="s">
        <v>50</v>
      </c>
      <c r="J1" s="7" t="s">
        <v>51</v>
      </c>
      <c r="K1" s="7" t="s">
        <v>52</v>
      </c>
      <c r="L1" s="7" t="s">
        <v>53</v>
      </c>
      <c r="M1" s="7" t="s">
        <v>54</v>
      </c>
      <c r="N1" s="7" t="s">
        <v>55</v>
      </c>
      <c r="O1" s="7" t="s">
        <v>56</v>
      </c>
      <c r="P1" s="7" t="s">
        <v>57</v>
      </c>
      <c r="Q1" s="7" t="s">
        <v>58</v>
      </c>
      <c r="R1" s="7" t="s">
        <v>59</v>
      </c>
      <c r="S1" s="7" t="s">
        <v>60</v>
      </c>
      <c r="T1" s="7" t="s">
        <v>20</v>
      </c>
      <c r="U1" s="7" t="s">
        <v>61</v>
      </c>
      <c r="V1" s="7" t="s">
        <v>44</v>
      </c>
      <c r="W1" s="7" t="s">
        <v>62</v>
      </c>
      <c r="X1" s="40" t="s">
        <v>63</v>
      </c>
      <c r="Y1" s="28"/>
      <c r="Z1" s="28"/>
      <c r="AA1" s="28"/>
    </row>
    <row r="2" ht="15.75" customHeight="1">
      <c r="A2" s="41">
        <v>44075.0</v>
      </c>
      <c r="B2" s="66">
        <v>1445.0</v>
      </c>
      <c r="C2" s="91">
        <v>0.0</v>
      </c>
      <c r="D2" s="12">
        <v>0.0</v>
      </c>
      <c r="E2" s="11">
        <v>0.0</v>
      </c>
      <c r="F2" s="11">
        <v>0.0</v>
      </c>
      <c r="G2" s="11">
        <v>0.0</v>
      </c>
      <c r="H2" s="12">
        <v>0.0</v>
      </c>
      <c r="I2" s="11">
        <v>0.0</v>
      </c>
      <c r="J2" s="11">
        <v>68.02000000000001</v>
      </c>
      <c r="K2" s="11">
        <v>0.0</v>
      </c>
      <c r="L2" s="11">
        <v>401.29</v>
      </c>
      <c r="M2" s="11">
        <v>311.71</v>
      </c>
      <c r="N2" s="11">
        <v>0.0</v>
      </c>
      <c r="O2" s="11">
        <v>92.08999999999999</v>
      </c>
      <c r="P2" s="11">
        <v>21.91</v>
      </c>
      <c r="Q2" s="11">
        <v>10.98</v>
      </c>
      <c r="R2" s="11">
        <v>160.16</v>
      </c>
      <c r="S2" s="11">
        <v>1660.0</v>
      </c>
      <c r="T2" s="11">
        <f t="shared" ref="T2:T24" si="1">SUM(B2:S2)</f>
        <v>4171.16</v>
      </c>
      <c r="U2" s="11">
        <f t="shared" ref="U2:U38" si="2">SUM(I2:S2)+SUM(B2:D2)</f>
        <v>4171.16</v>
      </c>
      <c r="V2" s="11">
        <f>'Monthly Finances'!F2</f>
        <v>3483.68</v>
      </c>
      <c r="W2" s="11">
        <f t="shared" ref="W2:W38" si="3">V2-U2</f>
        <v>-687.48</v>
      </c>
      <c r="X2" s="92">
        <f t="shared" ref="X2:X38" si="4">SUM(D2)+SUM(I2:O2)+SUM(Q2:S2)</f>
        <v>2704.25</v>
      </c>
      <c r="Y2" s="28"/>
      <c r="Z2" s="28"/>
      <c r="AA2" s="28"/>
    </row>
    <row r="3" ht="15.75" customHeight="1">
      <c r="A3" s="44">
        <v>44105.0</v>
      </c>
      <c r="B3" s="93">
        <v>1445.0</v>
      </c>
      <c r="C3" s="18">
        <v>0.0</v>
      </c>
      <c r="D3" s="19">
        <v>0.0</v>
      </c>
      <c r="E3" s="18">
        <v>0.0</v>
      </c>
      <c r="F3" s="18">
        <v>0.0</v>
      </c>
      <c r="G3" s="18">
        <v>0.0</v>
      </c>
      <c r="H3" s="19">
        <v>0.0</v>
      </c>
      <c r="I3" s="18">
        <v>96.46</v>
      </c>
      <c r="J3" s="18">
        <v>39.85</v>
      </c>
      <c r="K3" s="18">
        <v>0.0</v>
      </c>
      <c r="L3" s="18">
        <v>213.38</v>
      </c>
      <c r="M3" s="18">
        <v>198.24999999999997</v>
      </c>
      <c r="N3" s="18">
        <v>0.0</v>
      </c>
      <c r="O3" s="18">
        <v>192.78</v>
      </c>
      <c r="P3" s="18">
        <v>474.56</v>
      </c>
      <c r="Q3" s="18">
        <v>10.98</v>
      </c>
      <c r="R3" s="18">
        <v>469.04999999999995</v>
      </c>
      <c r="S3" s="18">
        <v>12.0</v>
      </c>
      <c r="T3" s="18">
        <f t="shared" si="1"/>
        <v>3152.31</v>
      </c>
      <c r="U3" s="18">
        <f t="shared" si="2"/>
        <v>3152.31</v>
      </c>
      <c r="V3" s="18">
        <f>'Monthly Finances'!F3</f>
        <v>4682.08</v>
      </c>
      <c r="W3" s="18">
        <f t="shared" si="3"/>
        <v>1529.77</v>
      </c>
      <c r="X3" s="94">
        <f t="shared" si="4"/>
        <v>1232.75</v>
      </c>
      <c r="Y3" s="28"/>
      <c r="Z3" s="28"/>
      <c r="AA3" s="28"/>
    </row>
    <row r="4" ht="15.75" customHeight="1">
      <c r="A4" s="41">
        <v>44136.0</v>
      </c>
      <c r="B4" s="66">
        <v>1445.0</v>
      </c>
      <c r="C4" s="11">
        <v>0.0</v>
      </c>
      <c r="D4" s="12">
        <v>0.0</v>
      </c>
      <c r="E4" s="11">
        <v>0.0</v>
      </c>
      <c r="F4" s="11">
        <v>0.0</v>
      </c>
      <c r="G4" s="11">
        <v>0.0</v>
      </c>
      <c r="H4" s="12">
        <v>0.0</v>
      </c>
      <c r="I4" s="11">
        <v>0.0</v>
      </c>
      <c r="J4" s="11">
        <v>238.3</v>
      </c>
      <c r="K4" s="11">
        <v>25.0</v>
      </c>
      <c r="L4" s="11">
        <v>398.94000000000005</v>
      </c>
      <c r="M4" s="11">
        <v>164.18</v>
      </c>
      <c r="N4" s="11">
        <v>0.0</v>
      </c>
      <c r="O4" s="11">
        <v>380.01</v>
      </c>
      <c r="P4" s="11">
        <v>57.67</v>
      </c>
      <c r="Q4" s="11">
        <v>10.98</v>
      </c>
      <c r="R4" s="11">
        <v>102.34</v>
      </c>
      <c r="S4" s="11">
        <v>0.0</v>
      </c>
      <c r="T4" s="11">
        <f t="shared" si="1"/>
        <v>2822.42</v>
      </c>
      <c r="U4" s="11">
        <f t="shared" si="2"/>
        <v>2822.42</v>
      </c>
      <c r="V4" s="11">
        <f>'Monthly Finances'!F4</f>
        <v>4546.54</v>
      </c>
      <c r="W4" s="11">
        <f t="shared" si="3"/>
        <v>1724.12</v>
      </c>
      <c r="X4" s="92">
        <f t="shared" si="4"/>
        <v>1319.75</v>
      </c>
      <c r="Y4" s="28"/>
      <c r="Z4" s="28"/>
      <c r="AA4" s="28"/>
    </row>
    <row r="5" ht="15.75" customHeight="1">
      <c r="A5" s="44">
        <v>44166.0</v>
      </c>
      <c r="B5" s="93">
        <v>1445.0</v>
      </c>
      <c r="C5" s="18">
        <v>0.0</v>
      </c>
      <c r="D5" s="19">
        <v>0.0</v>
      </c>
      <c r="E5" s="18">
        <v>0.0</v>
      </c>
      <c r="F5" s="18">
        <v>0.0</v>
      </c>
      <c r="G5" s="18">
        <v>0.0</v>
      </c>
      <c r="H5" s="19">
        <v>0.0</v>
      </c>
      <c r="I5" s="18">
        <v>98.46</v>
      </c>
      <c r="J5" s="18">
        <v>33.86</v>
      </c>
      <c r="K5" s="18">
        <v>0.0</v>
      </c>
      <c r="L5" s="18">
        <v>149.83</v>
      </c>
      <c r="M5" s="18">
        <v>202.11</v>
      </c>
      <c r="N5" s="18">
        <v>0.0</v>
      </c>
      <c r="O5" s="95">
        <v>302.17</v>
      </c>
      <c r="P5" s="95">
        <v>157.67000000000002</v>
      </c>
      <c r="Q5" s="18">
        <v>10.98</v>
      </c>
      <c r="R5" s="18">
        <v>339.94</v>
      </c>
      <c r="S5" s="18">
        <v>7.85</v>
      </c>
      <c r="T5" s="18">
        <f t="shared" si="1"/>
        <v>2747.87</v>
      </c>
      <c r="U5" s="18">
        <f t="shared" si="2"/>
        <v>2747.87</v>
      </c>
      <c r="V5" s="18">
        <f>'Monthly Finances'!F5</f>
        <v>4546.6</v>
      </c>
      <c r="W5" s="18">
        <f t="shared" si="3"/>
        <v>1798.73</v>
      </c>
      <c r="X5" s="94">
        <f t="shared" si="4"/>
        <v>1145.2</v>
      </c>
      <c r="Y5" s="28"/>
      <c r="Z5" s="28"/>
      <c r="AA5" s="28"/>
    </row>
    <row r="6" ht="15.75" customHeight="1">
      <c r="A6" s="41">
        <v>44197.0</v>
      </c>
      <c r="B6" s="66">
        <v>1445.0</v>
      </c>
      <c r="C6" s="11">
        <v>0.0</v>
      </c>
      <c r="D6" s="12">
        <v>0.0</v>
      </c>
      <c r="E6" s="11">
        <v>63.0</v>
      </c>
      <c r="F6" s="11">
        <v>0.0</v>
      </c>
      <c r="G6" s="11">
        <v>0.0</v>
      </c>
      <c r="H6" s="12">
        <v>0.0</v>
      </c>
      <c r="I6" s="11">
        <v>0.0</v>
      </c>
      <c r="J6" s="11">
        <v>70.50999999999999</v>
      </c>
      <c r="K6" s="11">
        <v>0.0</v>
      </c>
      <c r="L6" s="11">
        <v>106.02999999999997</v>
      </c>
      <c r="M6" s="11">
        <v>180.5</v>
      </c>
      <c r="N6" s="11">
        <v>0.0</v>
      </c>
      <c r="O6" s="11">
        <v>175.84</v>
      </c>
      <c r="P6" s="11">
        <v>115.54</v>
      </c>
      <c r="Q6" s="11">
        <v>10.98</v>
      </c>
      <c r="R6" s="11">
        <v>47.81</v>
      </c>
      <c r="S6" s="11">
        <v>50.0</v>
      </c>
      <c r="T6" s="11">
        <f t="shared" si="1"/>
        <v>2265.21</v>
      </c>
      <c r="U6" s="11">
        <f t="shared" si="2"/>
        <v>2202.21</v>
      </c>
      <c r="V6" s="11">
        <f>'Monthly Finances'!F6</f>
        <v>4653.42</v>
      </c>
      <c r="W6" s="11">
        <f t="shared" si="3"/>
        <v>2451.21</v>
      </c>
      <c r="X6" s="92">
        <f t="shared" si="4"/>
        <v>641.67</v>
      </c>
      <c r="Y6" s="28"/>
      <c r="Z6" s="28"/>
      <c r="AA6" s="28"/>
    </row>
    <row r="7" ht="15.75" customHeight="1">
      <c r="A7" s="44">
        <v>44228.0</v>
      </c>
      <c r="B7" s="93">
        <v>1445.0</v>
      </c>
      <c r="C7" s="18">
        <v>0.0</v>
      </c>
      <c r="D7" s="19">
        <v>0.0</v>
      </c>
      <c r="E7" s="18">
        <v>104.61</v>
      </c>
      <c r="F7" s="18">
        <v>0.0</v>
      </c>
      <c r="G7" s="18">
        <v>0.0</v>
      </c>
      <c r="H7" s="19">
        <v>0.0</v>
      </c>
      <c r="I7" s="18">
        <v>0.0</v>
      </c>
      <c r="J7" s="18">
        <v>110.69</v>
      </c>
      <c r="K7" s="18">
        <v>32.84</v>
      </c>
      <c r="L7" s="18">
        <v>595.87</v>
      </c>
      <c r="M7" s="18">
        <v>146.74</v>
      </c>
      <c r="N7" s="18">
        <v>0.0</v>
      </c>
      <c r="O7" s="18">
        <v>65.4</v>
      </c>
      <c r="P7" s="18">
        <v>145.8</v>
      </c>
      <c r="Q7" s="18">
        <v>20.98</v>
      </c>
      <c r="R7" s="18">
        <v>44.21</v>
      </c>
      <c r="S7" s="18">
        <v>20.0</v>
      </c>
      <c r="T7" s="18">
        <f t="shared" si="1"/>
        <v>2732.14</v>
      </c>
      <c r="U7" s="18">
        <f t="shared" si="2"/>
        <v>2627.53</v>
      </c>
      <c r="V7" s="18">
        <f>'Monthly Finances'!F7</f>
        <v>4771.26</v>
      </c>
      <c r="W7" s="18">
        <f t="shared" si="3"/>
        <v>2143.73</v>
      </c>
      <c r="X7" s="94">
        <f t="shared" si="4"/>
        <v>1036.73</v>
      </c>
      <c r="Y7" s="28"/>
      <c r="Z7" s="28"/>
      <c r="AA7" s="28"/>
    </row>
    <row r="8" ht="15.75" customHeight="1">
      <c r="A8" s="41">
        <v>44256.0</v>
      </c>
      <c r="B8" s="66">
        <v>1445.0</v>
      </c>
      <c r="C8" s="11">
        <v>0.0</v>
      </c>
      <c r="D8" s="12">
        <v>0.0</v>
      </c>
      <c r="E8" s="11">
        <v>130.20999999999998</v>
      </c>
      <c r="F8" s="11">
        <v>0.0</v>
      </c>
      <c r="G8" s="11">
        <v>0.0</v>
      </c>
      <c r="H8" s="12">
        <v>1500.0</v>
      </c>
      <c r="I8" s="11">
        <v>83.57</v>
      </c>
      <c r="J8" s="11">
        <v>133.11</v>
      </c>
      <c r="K8" s="11">
        <v>23.87</v>
      </c>
      <c r="L8" s="11">
        <v>343.21000000000004</v>
      </c>
      <c r="M8" s="11">
        <v>147.37</v>
      </c>
      <c r="N8" s="11">
        <f>307.64</f>
        <v>307.64</v>
      </c>
      <c r="O8" s="11">
        <v>335.83000000000004</v>
      </c>
      <c r="P8" s="11">
        <v>260.88</v>
      </c>
      <c r="Q8" s="11">
        <v>20.98</v>
      </c>
      <c r="R8" s="11">
        <v>23.48</v>
      </c>
      <c r="S8" s="11">
        <v>563.14</v>
      </c>
      <c r="T8" s="11">
        <f t="shared" si="1"/>
        <v>5318.29</v>
      </c>
      <c r="U8" s="11">
        <f t="shared" si="2"/>
        <v>3688.08</v>
      </c>
      <c r="V8" s="11">
        <f>'Monthly Finances'!F8</f>
        <v>5389.93</v>
      </c>
      <c r="W8" s="11">
        <f t="shared" si="3"/>
        <v>1701.85</v>
      </c>
      <c r="X8" s="92">
        <f t="shared" si="4"/>
        <v>1982.2</v>
      </c>
      <c r="Y8" s="28"/>
      <c r="Z8" s="28"/>
      <c r="AA8" s="28"/>
    </row>
    <row r="9" ht="15.75" customHeight="1">
      <c r="A9" s="44">
        <v>44287.0</v>
      </c>
      <c r="B9" s="93">
        <v>1445.0</v>
      </c>
      <c r="C9" s="18">
        <v>0.0</v>
      </c>
      <c r="D9" s="19">
        <v>0.0</v>
      </c>
      <c r="E9" s="18">
        <v>116.72</v>
      </c>
      <c r="F9" s="18">
        <v>5000.0</v>
      </c>
      <c r="G9" s="18">
        <v>0.0</v>
      </c>
      <c r="H9" s="19">
        <v>3000.0</v>
      </c>
      <c r="I9" s="18">
        <v>75.25</v>
      </c>
      <c r="J9" s="18">
        <v>75.77000000000001</v>
      </c>
      <c r="K9" s="18">
        <v>80.79</v>
      </c>
      <c r="L9" s="18">
        <v>828.17</v>
      </c>
      <c r="M9" s="18">
        <v>156.94</v>
      </c>
      <c r="N9" s="18">
        <v>0.0</v>
      </c>
      <c r="O9" s="18">
        <v>93.3</v>
      </c>
      <c r="P9" s="18">
        <v>221.27</v>
      </c>
      <c r="Q9" s="18">
        <v>20.98</v>
      </c>
      <c r="R9" s="18">
        <v>5.0</v>
      </c>
      <c r="S9" s="18">
        <v>52.93</v>
      </c>
      <c r="T9" s="18">
        <f t="shared" si="1"/>
        <v>11172.12</v>
      </c>
      <c r="U9" s="18">
        <f t="shared" si="2"/>
        <v>3055.4</v>
      </c>
      <c r="V9" s="18">
        <f>'Monthly Finances'!F9</f>
        <v>4653.42</v>
      </c>
      <c r="W9" s="18">
        <f t="shared" si="3"/>
        <v>1598.02</v>
      </c>
      <c r="X9" s="94">
        <f t="shared" si="4"/>
        <v>1389.13</v>
      </c>
      <c r="Y9" s="28"/>
      <c r="Z9" s="28"/>
      <c r="AA9" s="28"/>
    </row>
    <row r="10" ht="15.75" customHeight="1">
      <c r="A10" s="41">
        <v>44317.0</v>
      </c>
      <c r="B10" s="66">
        <v>1445.0</v>
      </c>
      <c r="C10" s="11">
        <v>0.0</v>
      </c>
      <c r="D10" s="12">
        <v>116.59</v>
      </c>
      <c r="E10" s="11">
        <v>113.66</v>
      </c>
      <c r="F10" s="11">
        <v>0.0</v>
      </c>
      <c r="G10" s="11">
        <v>0.0</v>
      </c>
      <c r="H10" s="12">
        <v>1500.0</v>
      </c>
      <c r="I10" s="11">
        <v>0.0</v>
      </c>
      <c r="J10" s="11">
        <v>135.76</v>
      </c>
      <c r="K10" s="11">
        <v>153.66</v>
      </c>
      <c r="L10" s="11">
        <v>699.01</v>
      </c>
      <c r="M10" s="11">
        <v>295.76000000000005</v>
      </c>
      <c r="N10" s="11">
        <v>0.0</v>
      </c>
      <c r="O10" s="11">
        <v>192.34</v>
      </c>
      <c r="P10" s="11">
        <v>3264.84</v>
      </c>
      <c r="Q10" s="11">
        <v>20.98</v>
      </c>
      <c r="R10" s="11">
        <v>40.02</v>
      </c>
      <c r="S10" s="11">
        <v>63.03</v>
      </c>
      <c r="T10" s="11">
        <f t="shared" si="1"/>
        <v>8040.65</v>
      </c>
      <c r="U10" s="11">
        <f t="shared" si="2"/>
        <v>6426.99</v>
      </c>
      <c r="V10" s="11">
        <f>'Monthly Finances'!F10</f>
        <v>4653.42</v>
      </c>
      <c r="W10" s="11">
        <f t="shared" si="3"/>
        <v>-1773.57</v>
      </c>
      <c r="X10" s="92">
        <f t="shared" si="4"/>
        <v>1717.15</v>
      </c>
      <c r="Y10" s="28"/>
      <c r="Z10" s="28"/>
      <c r="AA10" s="28"/>
    </row>
    <row r="11" ht="15.75" customHeight="1">
      <c r="A11" s="44">
        <v>44348.0</v>
      </c>
      <c r="B11" s="93">
        <v>1445.0</v>
      </c>
      <c r="C11" s="18">
        <v>0.0</v>
      </c>
      <c r="D11" s="19">
        <v>115.76</v>
      </c>
      <c r="E11" s="18">
        <v>160.31</v>
      </c>
      <c r="F11" s="18">
        <v>0.0</v>
      </c>
      <c r="G11" s="18">
        <v>0.0</v>
      </c>
      <c r="H11" s="19">
        <v>0.0</v>
      </c>
      <c r="I11" s="18">
        <v>62.39</v>
      </c>
      <c r="J11" s="18">
        <v>191.99</v>
      </c>
      <c r="K11" s="18">
        <v>96.0</v>
      </c>
      <c r="L11" s="18">
        <v>681.6400000000001</v>
      </c>
      <c r="M11" s="18">
        <v>133.51</v>
      </c>
      <c r="N11" s="18">
        <v>235.04</v>
      </c>
      <c r="O11" s="18">
        <v>672.3100000000001</v>
      </c>
      <c r="P11" s="18">
        <v>277.56</v>
      </c>
      <c r="Q11" s="18">
        <v>20.98</v>
      </c>
      <c r="R11" s="18">
        <v>138.87</v>
      </c>
      <c r="S11" s="18">
        <v>149.79</v>
      </c>
      <c r="T11" s="18">
        <f t="shared" si="1"/>
        <v>4381.15</v>
      </c>
      <c r="U11" s="18">
        <f t="shared" si="2"/>
        <v>4220.84</v>
      </c>
      <c r="V11" s="18">
        <f>'Monthly Finances'!F11</f>
        <v>4653.35</v>
      </c>
      <c r="W11" s="18">
        <f t="shared" si="3"/>
        <v>432.51</v>
      </c>
      <c r="X11" s="94">
        <f t="shared" si="4"/>
        <v>2498.28</v>
      </c>
      <c r="Y11" s="28"/>
      <c r="Z11" s="28"/>
      <c r="AA11" s="28"/>
    </row>
    <row r="12" ht="15.75" customHeight="1">
      <c r="A12" s="41">
        <v>44378.0</v>
      </c>
      <c r="B12" s="66">
        <v>1445.0</v>
      </c>
      <c r="C12" s="11">
        <v>0.0</v>
      </c>
      <c r="D12" s="12">
        <v>115.76</v>
      </c>
      <c r="E12" s="11">
        <v>152.57999999999998</v>
      </c>
      <c r="F12" s="11">
        <v>0.0</v>
      </c>
      <c r="G12" s="11">
        <v>0.0</v>
      </c>
      <c r="H12" s="12">
        <v>0.0</v>
      </c>
      <c r="I12" s="11">
        <v>0.0</v>
      </c>
      <c r="J12" s="11">
        <v>161.07</v>
      </c>
      <c r="K12" s="11">
        <v>131.12</v>
      </c>
      <c r="L12" s="11">
        <v>746.5300000000001</v>
      </c>
      <c r="M12" s="11">
        <v>74.92999999999999</v>
      </c>
      <c r="N12" s="11">
        <f>179.3+249</f>
        <v>428.3</v>
      </c>
      <c r="O12" s="11">
        <v>284.26000000000005</v>
      </c>
      <c r="P12" s="11">
        <v>225.09</v>
      </c>
      <c r="Q12" s="11">
        <v>20.98</v>
      </c>
      <c r="R12" s="11">
        <v>16.11</v>
      </c>
      <c r="S12" s="11">
        <v>96.5</v>
      </c>
      <c r="T12" s="11">
        <f t="shared" si="1"/>
        <v>3898.23</v>
      </c>
      <c r="U12" s="11">
        <f t="shared" si="2"/>
        <v>3745.65</v>
      </c>
      <c r="V12" s="11">
        <f>'Monthly Finances'!F12</f>
        <v>4653.3</v>
      </c>
      <c r="W12" s="11">
        <f t="shared" si="3"/>
        <v>907.65</v>
      </c>
      <c r="X12" s="92">
        <f t="shared" si="4"/>
        <v>2075.56</v>
      </c>
      <c r="Y12" s="28"/>
      <c r="Z12" s="28"/>
      <c r="AA12" s="28"/>
    </row>
    <row r="13" ht="15.75" customHeight="1">
      <c r="A13" s="44">
        <v>44409.0</v>
      </c>
      <c r="B13" s="93">
        <v>1450.0</v>
      </c>
      <c r="C13" s="18">
        <v>0.0</v>
      </c>
      <c r="D13" s="19">
        <v>115.76</v>
      </c>
      <c r="E13" s="18">
        <v>129.67000000000002</v>
      </c>
      <c r="F13" s="18">
        <v>0.0</v>
      </c>
      <c r="G13" s="18">
        <v>0.0</v>
      </c>
      <c r="H13" s="19">
        <v>0.0</v>
      </c>
      <c r="I13" s="18">
        <v>79.96</v>
      </c>
      <c r="J13" s="18">
        <v>128.22</v>
      </c>
      <c r="K13" s="18">
        <v>139.76999999999998</v>
      </c>
      <c r="L13" s="18">
        <v>336.66999999999996</v>
      </c>
      <c r="M13" s="18">
        <v>40.54</v>
      </c>
      <c r="N13" s="18">
        <v>0.0</v>
      </c>
      <c r="O13" s="18">
        <v>76.05</v>
      </c>
      <c r="P13" s="18">
        <v>245.0</v>
      </c>
      <c r="Q13" s="18">
        <v>20.98</v>
      </c>
      <c r="R13" s="18">
        <v>209.69</v>
      </c>
      <c r="S13" s="18">
        <v>195.64</v>
      </c>
      <c r="T13" s="18">
        <f t="shared" si="1"/>
        <v>3167.95</v>
      </c>
      <c r="U13" s="18">
        <f t="shared" si="2"/>
        <v>3038.28</v>
      </c>
      <c r="V13" s="18">
        <f>'Monthly Finances'!F13</f>
        <v>4653.3</v>
      </c>
      <c r="W13" s="18">
        <f t="shared" si="3"/>
        <v>1615.02</v>
      </c>
      <c r="X13" s="94">
        <f t="shared" si="4"/>
        <v>1343.28</v>
      </c>
      <c r="Y13" s="28"/>
      <c r="Z13" s="28"/>
      <c r="AA13" s="28"/>
    </row>
    <row r="14" ht="15.75" customHeight="1">
      <c r="A14" s="41">
        <v>44440.0</v>
      </c>
      <c r="B14" s="66">
        <v>816.0</v>
      </c>
      <c r="C14" s="11">
        <v>0.0</v>
      </c>
      <c r="D14" s="12">
        <v>115.76</v>
      </c>
      <c r="E14" s="11">
        <v>103.42999999999999</v>
      </c>
      <c r="F14" s="11">
        <v>0.0</v>
      </c>
      <c r="G14" s="11">
        <v>0.0</v>
      </c>
      <c r="H14" s="12">
        <v>0.0</v>
      </c>
      <c r="I14" s="11">
        <v>60.26</v>
      </c>
      <c r="J14" s="11">
        <v>105.75</v>
      </c>
      <c r="K14" s="11">
        <v>42.870000000000005</v>
      </c>
      <c r="L14" s="11">
        <v>507.03</v>
      </c>
      <c r="M14" s="11">
        <v>280.64</v>
      </c>
      <c r="N14" s="96">
        <v>444.78</v>
      </c>
      <c r="O14" s="11">
        <v>373.55</v>
      </c>
      <c r="P14" s="11">
        <v>662.1600000000001</v>
      </c>
      <c r="Q14" s="11">
        <v>25.97</v>
      </c>
      <c r="R14" s="11">
        <v>322.33</v>
      </c>
      <c r="S14" s="11">
        <v>57.5</v>
      </c>
      <c r="T14" s="11">
        <f t="shared" si="1"/>
        <v>3918.03</v>
      </c>
      <c r="U14" s="11">
        <f t="shared" si="2"/>
        <v>3814.6</v>
      </c>
      <c r="V14" s="11">
        <f>'Monthly Finances'!F14</f>
        <v>4653.3</v>
      </c>
      <c r="W14" s="11">
        <f t="shared" si="3"/>
        <v>838.7</v>
      </c>
      <c r="X14" s="92">
        <f t="shared" si="4"/>
        <v>2336.44</v>
      </c>
      <c r="Y14" s="28"/>
      <c r="Z14" s="28"/>
      <c r="AA14" s="28"/>
    </row>
    <row r="15" ht="15.75" customHeight="1">
      <c r="A15" s="44">
        <v>44470.0</v>
      </c>
      <c r="B15" s="93">
        <v>1260.0</v>
      </c>
      <c r="C15" s="18">
        <v>14866.0</v>
      </c>
      <c r="D15" s="19">
        <v>115.75</v>
      </c>
      <c r="E15" s="18">
        <v>88.42</v>
      </c>
      <c r="F15" s="18">
        <v>0.0</v>
      </c>
      <c r="G15" s="18">
        <v>0.0</v>
      </c>
      <c r="H15" s="19">
        <v>0.0</v>
      </c>
      <c r="I15" s="18">
        <v>0.0</v>
      </c>
      <c r="J15" s="18">
        <v>97.61</v>
      </c>
      <c r="K15" s="18">
        <v>0.0</v>
      </c>
      <c r="L15" s="18">
        <v>751.18</v>
      </c>
      <c r="M15" s="18">
        <v>81.21</v>
      </c>
      <c r="N15" s="18">
        <v>431.38</v>
      </c>
      <c r="O15" s="18">
        <v>124.92</v>
      </c>
      <c r="P15" s="18">
        <v>208.67</v>
      </c>
      <c r="Q15" s="18">
        <v>25.97</v>
      </c>
      <c r="R15" s="18">
        <v>4.5200000000000005</v>
      </c>
      <c r="S15" s="18">
        <v>967.6800000000001</v>
      </c>
      <c r="T15" s="18">
        <f t="shared" si="1"/>
        <v>19023.31</v>
      </c>
      <c r="U15" s="18">
        <f t="shared" si="2"/>
        <v>18934.89</v>
      </c>
      <c r="V15" s="18">
        <f>'Monthly Finances'!F15</f>
        <v>4653.29</v>
      </c>
      <c r="W15" s="18">
        <f t="shared" si="3"/>
        <v>-14281.6</v>
      </c>
      <c r="X15" s="94">
        <f t="shared" si="4"/>
        <v>2600.22</v>
      </c>
      <c r="Y15" s="28"/>
      <c r="Z15" s="28"/>
      <c r="AA15" s="28"/>
    </row>
    <row r="16" ht="15.75" customHeight="1">
      <c r="A16" s="41">
        <v>44501.0</v>
      </c>
      <c r="B16" s="66">
        <v>1260.0</v>
      </c>
      <c r="C16" s="11">
        <v>1000.0</v>
      </c>
      <c r="D16" s="12">
        <v>155.89</v>
      </c>
      <c r="E16" s="11">
        <v>103.0</v>
      </c>
      <c r="F16" s="11">
        <v>0.0</v>
      </c>
      <c r="G16" s="11">
        <v>0.0</v>
      </c>
      <c r="H16" s="12">
        <v>0.0</v>
      </c>
      <c r="I16" s="11">
        <v>0.0</v>
      </c>
      <c r="J16" s="11">
        <v>76.48</v>
      </c>
      <c r="K16" s="11">
        <v>334.7</v>
      </c>
      <c r="L16" s="11">
        <v>1158.67</v>
      </c>
      <c r="M16" s="11">
        <v>0.0</v>
      </c>
      <c r="N16" s="96">
        <v>117.91</v>
      </c>
      <c r="O16" s="11">
        <v>57.24</v>
      </c>
      <c r="P16" s="11">
        <v>306.42</v>
      </c>
      <c r="Q16" s="11">
        <v>20.98</v>
      </c>
      <c r="R16" s="11">
        <v>20.74</v>
      </c>
      <c r="S16" s="11">
        <v>125.55</v>
      </c>
      <c r="T16" s="11">
        <f t="shared" si="1"/>
        <v>4737.58</v>
      </c>
      <c r="U16" s="11">
        <f t="shared" si="2"/>
        <v>4634.58</v>
      </c>
      <c r="V16" s="11">
        <f>'Monthly Finances'!F16</f>
        <v>4653.31</v>
      </c>
      <c r="W16" s="11">
        <f t="shared" si="3"/>
        <v>18.73</v>
      </c>
      <c r="X16" s="92">
        <f t="shared" si="4"/>
        <v>2068.16</v>
      </c>
      <c r="Y16" s="28"/>
      <c r="Z16" s="28"/>
      <c r="AA16" s="28"/>
    </row>
    <row r="17" ht="15.75" customHeight="1">
      <c r="A17" s="44">
        <v>44531.0</v>
      </c>
      <c r="B17" s="93">
        <v>1260.0</v>
      </c>
      <c r="C17" s="18">
        <v>1000.0</v>
      </c>
      <c r="D17" s="19">
        <v>142.26</v>
      </c>
      <c r="E17" s="18">
        <v>88.45</v>
      </c>
      <c r="F17" s="18">
        <v>0.0</v>
      </c>
      <c r="G17" s="18">
        <v>0.0</v>
      </c>
      <c r="H17" s="19">
        <v>0.0</v>
      </c>
      <c r="I17" s="18">
        <v>0.0</v>
      </c>
      <c r="J17" s="18">
        <v>98.16</v>
      </c>
      <c r="K17" s="18">
        <v>63.75</v>
      </c>
      <c r="L17" s="18">
        <v>161.54</v>
      </c>
      <c r="M17" s="18">
        <v>152.2</v>
      </c>
      <c r="N17" s="18">
        <v>742.8</v>
      </c>
      <c r="O17" s="18">
        <v>91.69</v>
      </c>
      <c r="P17" s="18">
        <v>695.12</v>
      </c>
      <c r="Q17" s="18">
        <v>20.98</v>
      </c>
      <c r="R17" s="18">
        <v>50.91</v>
      </c>
      <c r="S17" s="18">
        <v>128.97</v>
      </c>
      <c r="T17" s="18">
        <f t="shared" si="1"/>
        <v>4696.83</v>
      </c>
      <c r="U17" s="18">
        <f t="shared" si="2"/>
        <v>4608.38</v>
      </c>
      <c r="V17" s="18">
        <f>'Monthly Finances'!F17</f>
        <v>4653.3</v>
      </c>
      <c r="W17" s="18">
        <f t="shared" si="3"/>
        <v>44.92</v>
      </c>
      <c r="X17" s="94">
        <f t="shared" si="4"/>
        <v>1653.26</v>
      </c>
      <c r="Y17" s="28"/>
      <c r="Z17" s="28"/>
      <c r="AA17" s="28"/>
    </row>
    <row r="18" ht="15.75" customHeight="1">
      <c r="A18" s="41">
        <v>44562.0</v>
      </c>
      <c r="B18" s="97">
        <v>1260.0</v>
      </c>
      <c r="C18" s="11">
        <v>1000.0</v>
      </c>
      <c r="D18" s="12">
        <v>142.26</v>
      </c>
      <c r="E18" s="11">
        <v>83.0</v>
      </c>
      <c r="F18" s="11">
        <v>0.0</v>
      </c>
      <c r="G18" s="11">
        <v>500.0</v>
      </c>
      <c r="H18" s="12">
        <v>0.0</v>
      </c>
      <c r="I18" s="11">
        <v>0.0</v>
      </c>
      <c r="J18" s="11">
        <v>147.03</v>
      </c>
      <c r="K18" s="11">
        <v>0.0</v>
      </c>
      <c r="L18" s="11">
        <v>585.73</v>
      </c>
      <c r="M18" s="11">
        <v>92.75</v>
      </c>
      <c r="N18" s="96">
        <v>-117.91</v>
      </c>
      <c r="O18" s="11">
        <v>254.5</v>
      </c>
      <c r="P18" s="11">
        <v>392.96999999999997</v>
      </c>
      <c r="Q18" s="11">
        <v>20.98</v>
      </c>
      <c r="R18" s="11">
        <v>7.11</v>
      </c>
      <c r="S18" s="11">
        <v>3.5</v>
      </c>
      <c r="T18" s="11">
        <f t="shared" si="1"/>
        <v>4371.92</v>
      </c>
      <c r="U18" s="11">
        <f t="shared" si="2"/>
        <v>3788.92</v>
      </c>
      <c r="V18" s="11">
        <f>'Monthly Finances'!F18</f>
        <v>5320.44</v>
      </c>
      <c r="W18" s="11">
        <f t="shared" si="3"/>
        <v>1531.52</v>
      </c>
      <c r="X18" s="92">
        <f t="shared" si="4"/>
        <v>1135.95</v>
      </c>
      <c r="Y18" s="28"/>
      <c r="Z18" s="28"/>
      <c r="AA18" s="28"/>
    </row>
    <row r="19" ht="15.75" customHeight="1">
      <c r="A19" s="44">
        <v>44593.0</v>
      </c>
      <c r="B19" s="98">
        <v>1260.0</v>
      </c>
      <c r="C19" s="18">
        <v>1000.0</v>
      </c>
      <c r="D19" s="19">
        <v>142.26</v>
      </c>
      <c r="E19" s="18">
        <v>107.23</v>
      </c>
      <c r="F19" s="18">
        <v>0.0</v>
      </c>
      <c r="G19" s="18">
        <v>600.0</v>
      </c>
      <c r="H19" s="19">
        <v>450.0</v>
      </c>
      <c r="I19" s="18">
        <v>0.0</v>
      </c>
      <c r="J19" s="18">
        <v>67.00999999999999</v>
      </c>
      <c r="K19" s="18">
        <v>26.740000000000002</v>
      </c>
      <c r="L19" s="18">
        <v>547.1099999999999</v>
      </c>
      <c r="M19" s="18">
        <v>158.91</v>
      </c>
      <c r="N19" s="18">
        <f>300.15+285.47</f>
        <v>585.62</v>
      </c>
      <c r="O19" s="18">
        <v>29.990000000000002</v>
      </c>
      <c r="P19" s="18">
        <v>398.73</v>
      </c>
      <c r="Q19" s="18">
        <v>21.98</v>
      </c>
      <c r="R19" s="18">
        <v>122.80000000000001</v>
      </c>
      <c r="S19" s="18">
        <v>8.0</v>
      </c>
      <c r="T19" s="18">
        <f t="shared" si="1"/>
        <v>5526.38</v>
      </c>
      <c r="U19" s="18">
        <f t="shared" si="2"/>
        <v>4369.15</v>
      </c>
      <c r="V19" s="18">
        <f>'Monthly Finances'!F19</f>
        <v>5165.54</v>
      </c>
      <c r="W19" s="18">
        <f t="shared" si="3"/>
        <v>796.39</v>
      </c>
      <c r="X19" s="94">
        <f t="shared" si="4"/>
        <v>1710.42</v>
      </c>
      <c r="Y19" s="28"/>
      <c r="Z19" s="28"/>
      <c r="AA19" s="28"/>
    </row>
    <row r="20" ht="15.75" customHeight="1">
      <c r="A20" s="41">
        <v>44621.0</v>
      </c>
      <c r="B20" s="66">
        <v>1260.0</v>
      </c>
      <c r="C20" s="11">
        <v>1324.0</v>
      </c>
      <c r="D20" s="12">
        <v>142.26</v>
      </c>
      <c r="E20" s="11">
        <v>134.7</v>
      </c>
      <c r="F20" s="11">
        <v>0.0</v>
      </c>
      <c r="G20" s="11">
        <v>150.0</v>
      </c>
      <c r="H20" s="12">
        <v>0.0</v>
      </c>
      <c r="I20" s="11">
        <v>0.0</v>
      </c>
      <c r="J20" s="11">
        <v>34.08</v>
      </c>
      <c r="K20" s="11">
        <v>92.16</v>
      </c>
      <c r="L20" s="11">
        <v>351.21999999999997</v>
      </c>
      <c r="M20" s="11">
        <v>107.44</v>
      </c>
      <c r="N20" s="11">
        <v>199.98000000000002</v>
      </c>
      <c r="O20" s="11">
        <v>170.15</v>
      </c>
      <c r="P20" s="11">
        <v>435.81</v>
      </c>
      <c r="Q20" s="11">
        <v>21.98</v>
      </c>
      <c r="R20" s="11">
        <v>95.32999999999998</v>
      </c>
      <c r="S20" s="11">
        <v>905.3</v>
      </c>
      <c r="T20" s="11">
        <f t="shared" si="1"/>
        <v>5424.41</v>
      </c>
      <c r="U20" s="11">
        <f t="shared" si="2"/>
        <v>5139.71</v>
      </c>
      <c r="V20" s="11">
        <f>'Monthly Finances'!F20</f>
        <v>5011.92</v>
      </c>
      <c r="W20" s="11">
        <f t="shared" si="3"/>
        <v>-127.79</v>
      </c>
      <c r="X20" s="92">
        <f t="shared" si="4"/>
        <v>2119.9</v>
      </c>
      <c r="Y20" s="4"/>
      <c r="Z20" s="28"/>
      <c r="AA20" s="4"/>
    </row>
    <row r="21" ht="15.75" customHeight="1">
      <c r="A21" s="44">
        <v>44652.0</v>
      </c>
      <c r="B21" s="93">
        <v>1260.0</v>
      </c>
      <c r="C21" s="18">
        <v>1000.0</v>
      </c>
      <c r="D21" s="19">
        <v>142.28</v>
      </c>
      <c r="E21" s="18">
        <v>104.52000000000001</v>
      </c>
      <c r="F21" s="18">
        <v>0.0</v>
      </c>
      <c r="G21" s="18">
        <v>100.0</v>
      </c>
      <c r="H21" s="19">
        <v>0.0</v>
      </c>
      <c r="I21" s="18">
        <v>0.0</v>
      </c>
      <c r="J21" s="18">
        <v>149.01</v>
      </c>
      <c r="K21" s="18">
        <v>95.9</v>
      </c>
      <c r="L21" s="18">
        <v>372.2699999999999</v>
      </c>
      <c r="M21" s="18">
        <v>165.38</v>
      </c>
      <c r="N21" s="18">
        <v>589.98</v>
      </c>
      <c r="O21" s="18">
        <v>397.05</v>
      </c>
      <c r="P21" s="18">
        <v>1105.3500000000001</v>
      </c>
      <c r="Q21" s="18">
        <v>21.98</v>
      </c>
      <c r="R21" s="18">
        <v>166.49</v>
      </c>
      <c r="S21" s="18">
        <v>0.0</v>
      </c>
      <c r="T21" s="18">
        <f t="shared" si="1"/>
        <v>5670.21</v>
      </c>
      <c r="U21" s="18">
        <f t="shared" si="2"/>
        <v>5465.69</v>
      </c>
      <c r="V21" s="18">
        <f>'Monthly Finances'!F21</f>
        <v>3879.81</v>
      </c>
      <c r="W21" s="18">
        <f t="shared" si="3"/>
        <v>-1585.88</v>
      </c>
      <c r="X21" s="94">
        <f t="shared" si="4"/>
        <v>2100.34</v>
      </c>
      <c r="Y21" s="28"/>
      <c r="Z21" s="28"/>
      <c r="AA21" s="4"/>
    </row>
    <row r="22" ht="15.75" customHeight="1">
      <c r="A22" s="41">
        <v>44682.0</v>
      </c>
      <c r="B22" s="66">
        <v>1260.0</v>
      </c>
      <c r="C22" s="11">
        <v>1000.0</v>
      </c>
      <c r="D22" s="12">
        <v>137.79</v>
      </c>
      <c r="E22" s="11">
        <v>109.95</v>
      </c>
      <c r="F22" s="11">
        <v>0.0</v>
      </c>
      <c r="G22" s="11">
        <v>100.0</v>
      </c>
      <c r="H22" s="12">
        <v>0.0</v>
      </c>
      <c r="I22" s="11">
        <v>0.0</v>
      </c>
      <c r="J22" s="11">
        <v>99.71000000000001</v>
      </c>
      <c r="K22" s="11">
        <v>62.95</v>
      </c>
      <c r="L22" s="11">
        <v>396.79999999999995</v>
      </c>
      <c r="M22" s="11">
        <v>83.89</v>
      </c>
      <c r="N22" s="11">
        <v>460.31</v>
      </c>
      <c r="O22" s="11">
        <v>146.66</v>
      </c>
      <c r="P22" s="11">
        <v>155.60000000000002</v>
      </c>
      <c r="Q22" s="11">
        <v>21.98</v>
      </c>
      <c r="R22" s="11">
        <v>83.33999999999999</v>
      </c>
      <c r="S22" s="11">
        <v>0.0</v>
      </c>
      <c r="T22" s="11">
        <f t="shared" si="1"/>
        <v>4118.98</v>
      </c>
      <c r="U22" s="11">
        <f t="shared" si="2"/>
        <v>3909.03</v>
      </c>
      <c r="V22" s="11">
        <f>'Monthly Finances'!F22</f>
        <v>5099</v>
      </c>
      <c r="W22" s="11">
        <f t="shared" si="3"/>
        <v>1189.97</v>
      </c>
      <c r="X22" s="92">
        <f t="shared" si="4"/>
        <v>1493.43</v>
      </c>
      <c r="Y22" s="28"/>
      <c r="Z22" s="28"/>
      <c r="AA22" s="28"/>
    </row>
    <row r="23" ht="15.75" customHeight="1">
      <c r="A23" s="44">
        <v>44713.0</v>
      </c>
      <c r="B23" s="93">
        <v>1260.0</v>
      </c>
      <c r="C23" s="18">
        <v>1000.0</v>
      </c>
      <c r="D23" s="19">
        <v>136.98</v>
      </c>
      <c r="E23" s="18">
        <v>140.03</v>
      </c>
      <c r="F23" s="18">
        <v>0.0</v>
      </c>
      <c r="G23" s="18">
        <v>100.0</v>
      </c>
      <c r="H23" s="19">
        <v>0.0</v>
      </c>
      <c r="I23" s="18">
        <v>0.0</v>
      </c>
      <c r="J23" s="18">
        <v>200.11999999999998</v>
      </c>
      <c r="K23" s="18">
        <v>0.0</v>
      </c>
      <c r="L23" s="18">
        <v>589.3100000000001</v>
      </c>
      <c r="M23" s="18">
        <v>291.01</v>
      </c>
      <c r="N23" s="18">
        <v>299.15999999999997</v>
      </c>
      <c r="O23" s="18">
        <v>290.23</v>
      </c>
      <c r="P23" s="18">
        <v>459.48999999999995</v>
      </c>
      <c r="Q23" s="18">
        <v>21.98</v>
      </c>
      <c r="R23" s="18">
        <v>8.2</v>
      </c>
      <c r="S23" s="18">
        <v>0.0</v>
      </c>
      <c r="T23" s="18">
        <f t="shared" si="1"/>
        <v>4796.51</v>
      </c>
      <c r="U23" s="18">
        <f t="shared" si="2"/>
        <v>4556.48</v>
      </c>
      <c r="V23" s="18">
        <f>'Monthly Finances'!F23</f>
        <v>5099.01</v>
      </c>
      <c r="W23" s="18">
        <f t="shared" si="3"/>
        <v>542.53</v>
      </c>
      <c r="X23" s="94">
        <f t="shared" si="4"/>
        <v>1836.99</v>
      </c>
      <c r="Y23" s="28"/>
      <c r="Z23" s="28"/>
      <c r="AA23" s="28"/>
    </row>
    <row r="24" ht="15.75" customHeight="1">
      <c r="A24" s="41">
        <v>44743.0</v>
      </c>
      <c r="B24" s="66">
        <v>1260.0</v>
      </c>
      <c r="C24" s="11">
        <v>1000.0</v>
      </c>
      <c r="D24" s="12">
        <v>136.98</v>
      </c>
      <c r="E24" s="11">
        <v>106.28</v>
      </c>
      <c r="F24" s="11">
        <v>0.0</v>
      </c>
      <c r="G24" s="11">
        <v>100.0</v>
      </c>
      <c r="H24" s="12">
        <v>155.0</v>
      </c>
      <c r="I24" s="11">
        <v>0.0</v>
      </c>
      <c r="J24" s="11">
        <v>76.0</v>
      </c>
      <c r="K24" s="11">
        <v>0.0</v>
      </c>
      <c r="L24" s="11">
        <v>260.38000000000005</v>
      </c>
      <c r="M24" s="11">
        <v>125.57</v>
      </c>
      <c r="N24" s="11">
        <v>239.82</v>
      </c>
      <c r="O24" s="11">
        <v>59.91</v>
      </c>
      <c r="P24" s="11">
        <v>264.63</v>
      </c>
      <c r="Q24" s="11">
        <v>21.98</v>
      </c>
      <c r="R24" s="11">
        <v>95.10999999999999</v>
      </c>
      <c r="S24" s="11">
        <v>71.74</v>
      </c>
      <c r="T24" s="11">
        <f t="shared" si="1"/>
        <v>3973.4</v>
      </c>
      <c r="U24" s="11">
        <f t="shared" si="2"/>
        <v>3612.12</v>
      </c>
      <c r="V24" s="11">
        <f>'Monthly Finances'!F24</f>
        <v>5099.02</v>
      </c>
      <c r="W24" s="11">
        <f t="shared" si="3"/>
        <v>1486.9</v>
      </c>
      <c r="X24" s="92">
        <f t="shared" si="4"/>
        <v>1087.49</v>
      </c>
      <c r="Y24" s="28"/>
      <c r="Z24" s="28"/>
      <c r="AA24" s="28"/>
    </row>
    <row r="25" ht="15.75" customHeight="1">
      <c r="A25" s="44">
        <v>44774.0</v>
      </c>
      <c r="B25" s="93">
        <v>1260.0</v>
      </c>
      <c r="C25" s="18">
        <v>1000.0</v>
      </c>
      <c r="D25" s="19">
        <v>136.98</v>
      </c>
      <c r="E25" s="18">
        <v>119.04</v>
      </c>
      <c r="F25" s="18">
        <v>0.0</v>
      </c>
      <c r="G25" s="18">
        <v>225.0</v>
      </c>
      <c r="H25" s="19">
        <v>0.0</v>
      </c>
      <c r="I25" s="18">
        <v>0.0</v>
      </c>
      <c r="J25" s="18">
        <v>0.0</v>
      </c>
      <c r="K25" s="18">
        <v>1176.95</v>
      </c>
      <c r="L25" s="18">
        <v>501.5</v>
      </c>
      <c r="M25" s="18">
        <v>166.24</v>
      </c>
      <c r="N25" s="18">
        <v>33.75</v>
      </c>
      <c r="O25" s="18">
        <v>14.56</v>
      </c>
      <c r="P25" s="18">
        <v>637.27</v>
      </c>
      <c r="Q25" s="18">
        <v>21.98</v>
      </c>
      <c r="R25" s="18">
        <v>13.19</v>
      </c>
      <c r="S25" s="18">
        <v>73.5</v>
      </c>
      <c r="T25" s="18">
        <v>5379.96</v>
      </c>
      <c r="U25" s="18">
        <f t="shared" si="2"/>
        <v>5035.92</v>
      </c>
      <c r="V25" s="18">
        <v>5099.01</v>
      </c>
      <c r="W25" s="18">
        <f t="shared" si="3"/>
        <v>63.09</v>
      </c>
      <c r="X25" s="94">
        <f t="shared" si="4"/>
        <v>2138.65</v>
      </c>
      <c r="Y25" s="28"/>
      <c r="Z25" s="28"/>
      <c r="AA25" s="28"/>
    </row>
    <row r="26" ht="15.75" customHeight="1">
      <c r="A26" s="41">
        <v>44805.0</v>
      </c>
      <c r="B26" s="66">
        <v>1260.0</v>
      </c>
      <c r="C26" s="11">
        <v>1000.0</v>
      </c>
      <c r="D26" s="12">
        <v>136.98</v>
      </c>
      <c r="E26" s="11">
        <v>116.86</v>
      </c>
      <c r="F26" s="11">
        <v>0.0</v>
      </c>
      <c r="G26" s="11">
        <v>450.0</v>
      </c>
      <c r="H26" s="12">
        <v>0.0</v>
      </c>
      <c r="I26" s="11">
        <v>0.0</v>
      </c>
      <c r="J26" s="11">
        <v>97.86</v>
      </c>
      <c r="K26" s="11">
        <v>0.0</v>
      </c>
      <c r="L26" s="11">
        <v>22.65</v>
      </c>
      <c r="M26" s="11">
        <v>0.0</v>
      </c>
      <c r="N26" s="11">
        <v>25.72</v>
      </c>
      <c r="O26" s="11">
        <v>0.0</v>
      </c>
      <c r="P26" s="11">
        <v>288.42</v>
      </c>
      <c r="Q26" s="11">
        <v>21.98</v>
      </c>
      <c r="R26" s="11">
        <v>0.0</v>
      </c>
      <c r="S26" s="11">
        <v>142.99</v>
      </c>
      <c r="T26" s="11">
        <f t="shared" ref="T26:T38" si="5">SUM(B26:S26)</f>
        <v>3563.46</v>
      </c>
      <c r="U26" s="11">
        <f t="shared" si="2"/>
        <v>2996.6</v>
      </c>
      <c r="V26" s="11">
        <f>'Monthly Finances'!F26</f>
        <v>5099</v>
      </c>
      <c r="W26" s="11">
        <f t="shared" si="3"/>
        <v>2102.4</v>
      </c>
      <c r="X26" s="92">
        <f t="shared" si="4"/>
        <v>448.18</v>
      </c>
      <c r="Y26" s="28"/>
      <c r="Z26" s="4"/>
      <c r="AA26" s="28"/>
    </row>
    <row r="27" ht="15.75" customHeight="1">
      <c r="A27" s="44">
        <v>44835.0</v>
      </c>
      <c r="B27" s="93">
        <v>1260.0</v>
      </c>
      <c r="C27" s="18">
        <v>1000.0</v>
      </c>
      <c r="D27" s="19">
        <v>136.97</v>
      </c>
      <c r="E27" s="18">
        <v>119.45</v>
      </c>
      <c r="F27" s="18">
        <v>0.0</v>
      </c>
      <c r="G27" s="18">
        <v>150.0</v>
      </c>
      <c r="H27" s="19">
        <v>0.0</v>
      </c>
      <c r="I27" s="18">
        <v>0.0</v>
      </c>
      <c r="J27" s="18">
        <v>209.60999999999999</v>
      </c>
      <c r="K27" s="18">
        <v>147.32</v>
      </c>
      <c r="L27" s="18">
        <v>844.6600000000001</v>
      </c>
      <c r="M27" s="18">
        <v>115.53</v>
      </c>
      <c r="N27" s="18">
        <v>366.0</v>
      </c>
      <c r="O27" s="18">
        <v>173.0</v>
      </c>
      <c r="P27" s="18">
        <v>0.0</v>
      </c>
      <c r="Q27" s="18">
        <v>21.98</v>
      </c>
      <c r="R27" s="18">
        <v>126.66999999999999</v>
      </c>
      <c r="S27" s="18">
        <v>194.45</v>
      </c>
      <c r="T27" s="18">
        <f t="shared" si="5"/>
        <v>4865.64</v>
      </c>
      <c r="U27" s="18">
        <f t="shared" si="2"/>
        <v>4596.19</v>
      </c>
      <c r="V27" s="18">
        <f>'Monthly Finances'!F27</f>
        <v>5099.01</v>
      </c>
      <c r="W27" s="18">
        <f t="shared" si="3"/>
        <v>502.82</v>
      </c>
      <c r="X27" s="94">
        <f t="shared" si="4"/>
        <v>2336.19</v>
      </c>
      <c r="Y27" s="28"/>
      <c r="Z27" s="28"/>
      <c r="AA27" s="28"/>
    </row>
    <row r="28" ht="15.75" customHeight="1">
      <c r="A28" s="41">
        <v>44866.0</v>
      </c>
      <c r="B28" s="66">
        <v>1260.0</v>
      </c>
      <c r="C28" s="11">
        <v>0.0</v>
      </c>
      <c r="D28" s="12">
        <v>136.61</v>
      </c>
      <c r="E28" s="11">
        <v>139.64</v>
      </c>
      <c r="F28" s="11">
        <v>0.0</v>
      </c>
      <c r="G28" s="11">
        <v>150.0</v>
      </c>
      <c r="H28" s="12">
        <v>0.0</v>
      </c>
      <c r="I28" s="11">
        <v>0.0</v>
      </c>
      <c r="J28" s="11">
        <v>168.32</v>
      </c>
      <c r="K28" s="11">
        <v>496.59</v>
      </c>
      <c r="L28" s="11">
        <v>551.3300000000003</v>
      </c>
      <c r="M28" s="11">
        <v>250.09</v>
      </c>
      <c r="N28" s="11">
        <v>2373.0</v>
      </c>
      <c r="O28" s="11">
        <v>459.08</v>
      </c>
      <c r="P28" s="11">
        <v>395.68</v>
      </c>
      <c r="Q28" s="11">
        <v>21.98</v>
      </c>
      <c r="R28" s="11">
        <v>8.2</v>
      </c>
      <c r="S28" s="11">
        <v>0.0</v>
      </c>
      <c r="T28" s="11">
        <f t="shared" si="5"/>
        <v>6410.52</v>
      </c>
      <c r="U28" s="11">
        <f t="shared" si="2"/>
        <v>6120.88</v>
      </c>
      <c r="V28" s="11">
        <f>'Monthly Finances'!F28</f>
        <v>5099.01</v>
      </c>
      <c r="W28" s="11">
        <f t="shared" si="3"/>
        <v>-1021.87</v>
      </c>
      <c r="X28" s="92">
        <f t="shared" si="4"/>
        <v>4465.2</v>
      </c>
      <c r="Y28" s="28"/>
      <c r="Z28" s="28"/>
      <c r="AA28" s="28"/>
    </row>
    <row r="29" ht="15.75" customHeight="1">
      <c r="A29" s="44">
        <v>44896.0</v>
      </c>
      <c r="B29" s="93">
        <v>1260.0</v>
      </c>
      <c r="C29" s="18">
        <v>86.06</v>
      </c>
      <c r="D29" s="19">
        <v>135.79</v>
      </c>
      <c r="E29" s="18">
        <v>116.61999999999999</v>
      </c>
      <c r="F29" s="18">
        <v>0.0</v>
      </c>
      <c r="G29" s="18">
        <v>150.0</v>
      </c>
      <c r="H29" s="19">
        <v>0.0</v>
      </c>
      <c r="I29" s="18">
        <v>0.0</v>
      </c>
      <c r="J29" s="18">
        <v>167.73999999999998</v>
      </c>
      <c r="K29" s="18">
        <v>17.0</v>
      </c>
      <c r="L29" s="18">
        <v>539.73</v>
      </c>
      <c r="M29" s="18">
        <v>136.51</v>
      </c>
      <c r="N29" s="18">
        <v>279.87</v>
      </c>
      <c r="O29" s="18">
        <v>232.31</v>
      </c>
      <c r="P29" s="49">
        <v>516.54</v>
      </c>
      <c r="Q29" s="18">
        <v>21.98</v>
      </c>
      <c r="R29" s="18">
        <v>68.99</v>
      </c>
      <c r="S29" s="18">
        <v>0.0</v>
      </c>
      <c r="T29" s="18">
        <f t="shared" si="5"/>
        <v>3729.14</v>
      </c>
      <c r="U29" s="18">
        <f t="shared" si="2"/>
        <v>3462.52</v>
      </c>
      <c r="V29" s="18">
        <f>'Monthly Finances'!F29</f>
        <v>5099</v>
      </c>
      <c r="W29" s="18">
        <f t="shared" si="3"/>
        <v>1636.48</v>
      </c>
      <c r="X29" s="94">
        <f t="shared" si="4"/>
        <v>1599.92</v>
      </c>
      <c r="Y29" s="28"/>
      <c r="Z29" s="28"/>
      <c r="AA29" s="28"/>
    </row>
    <row r="30" ht="15.75" customHeight="1">
      <c r="A30" s="41">
        <v>44927.0</v>
      </c>
      <c r="B30" s="66">
        <v>1260.0</v>
      </c>
      <c r="C30" s="11">
        <v>0.0</v>
      </c>
      <c r="D30" s="12">
        <v>135.79</v>
      </c>
      <c r="E30" s="11">
        <v>137.65</v>
      </c>
      <c r="F30" s="11">
        <v>0.0</v>
      </c>
      <c r="G30" s="11">
        <v>225.0</v>
      </c>
      <c r="H30" s="12">
        <v>0.0</v>
      </c>
      <c r="I30" s="11">
        <v>0.0</v>
      </c>
      <c r="J30" s="11">
        <f>104.51+73.93</f>
        <v>178.44</v>
      </c>
      <c r="K30" s="11">
        <v>0.0</v>
      </c>
      <c r="L30" s="11">
        <f>603.38</f>
        <v>603.38</v>
      </c>
      <c r="M30" s="11">
        <f>149.59</f>
        <v>149.59</v>
      </c>
      <c r="N30" s="11">
        <f>35.85+476.68</f>
        <v>512.53</v>
      </c>
      <c r="O30" s="11">
        <v>311.64</v>
      </c>
      <c r="P30" s="11">
        <v>0.0</v>
      </c>
      <c r="Q30" s="11">
        <v>21.98</v>
      </c>
      <c r="R30" s="11">
        <f>8.2+90.75</f>
        <v>98.95</v>
      </c>
      <c r="S30" s="11">
        <v>0.0</v>
      </c>
      <c r="T30" s="11">
        <f t="shared" si="5"/>
        <v>3634.95</v>
      </c>
      <c r="U30" s="11">
        <f t="shared" si="2"/>
        <v>3272.3</v>
      </c>
      <c r="V30" s="11">
        <f>'Monthly Finances'!F30</f>
        <v>4982.35</v>
      </c>
      <c r="W30" s="11">
        <f t="shared" si="3"/>
        <v>1710.05</v>
      </c>
      <c r="X30" s="92">
        <f t="shared" si="4"/>
        <v>2012.3</v>
      </c>
      <c r="Y30" s="28"/>
      <c r="Z30" s="28"/>
      <c r="AA30" s="28"/>
    </row>
    <row r="31" ht="15.75" customHeight="1">
      <c r="A31" s="44">
        <v>44958.0</v>
      </c>
      <c r="B31" s="93">
        <v>1260.0</v>
      </c>
      <c r="C31" s="18">
        <v>0.0</v>
      </c>
      <c r="D31" s="19">
        <v>135.79</v>
      </c>
      <c r="E31" s="18">
        <v>155.76</v>
      </c>
      <c r="F31" s="18">
        <v>0.0</v>
      </c>
      <c r="G31" s="18">
        <v>300.0</v>
      </c>
      <c r="H31" s="19">
        <v>6000.0</v>
      </c>
      <c r="I31" s="18">
        <v>0.0</v>
      </c>
      <c r="J31" s="18">
        <f>116.05+116.57</f>
        <v>232.62</v>
      </c>
      <c r="K31" s="18">
        <v>17.25</v>
      </c>
      <c r="L31" s="18">
        <v>614.75</v>
      </c>
      <c r="M31" s="18">
        <v>184.56</v>
      </c>
      <c r="N31" s="18">
        <v>701.75</v>
      </c>
      <c r="O31" s="18">
        <v>195.1</v>
      </c>
      <c r="P31" s="18">
        <v>157.51</v>
      </c>
      <c r="Q31" s="18">
        <v>21.98</v>
      </c>
      <c r="R31" s="18">
        <f>8.2+55.24</f>
        <v>63.44</v>
      </c>
      <c r="S31" s="18">
        <v>0.0</v>
      </c>
      <c r="T31" s="18">
        <f t="shared" si="5"/>
        <v>10040.51</v>
      </c>
      <c r="U31" s="18">
        <f t="shared" si="2"/>
        <v>3584.75</v>
      </c>
      <c r="V31" s="18">
        <f>'Monthly Finances'!F31</f>
        <v>4783.07</v>
      </c>
      <c r="W31" s="18">
        <f t="shared" si="3"/>
        <v>1198.32</v>
      </c>
      <c r="X31" s="94">
        <f t="shared" si="4"/>
        <v>2167.24</v>
      </c>
      <c r="Y31" s="28"/>
      <c r="Z31" s="28"/>
      <c r="AA31" s="28"/>
    </row>
    <row r="32" ht="15.75" customHeight="1">
      <c r="A32" s="41">
        <v>44986.0</v>
      </c>
      <c r="B32" s="66">
        <v>1260.0</v>
      </c>
      <c r="C32" s="11">
        <v>315.0</v>
      </c>
      <c r="D32" s="12">
        <v>135.79</v>
      </c>
      <c r="E32" s="11">
        <v>162.9</v>
      </c>
      <c r="F32" s="11">
        <v>0.0</v>
      </c>
      <c r="G32" s="11">
        <v>300.0</v>
      </c>
      <c r="H32" s="12">
        <v>0.0</v>
      </c>
      <c r="I32" s="11">
        <v>0.0</v>
      </c>
      <c r="J32" s="11">
        <f>223.01+69.18</f>
        <v>292.19</v>
      </c>
      <c r="K32" s="11">
        <v>0.0</v>
      </c>
      <c r="L32" s="11">
        <v>237.26000000000002</v>
      </c>
      <c r="M32" s="11">
        <v>164.04</v>
      </c>
      <c r="N32" s="11">
        <f>20.77+1.2+217.33</f>
        <v>239.3</v>
      </c>
      <c r="O32" s="11">
        <v>334.07000000000005</v>
      </c>
      <c r="P32" s="11">
        <v>658.5</v>
      </c>
      <c r="Q32" s="11">
        <v>21.98</v>
      </c>
      <c r="R32" s="11">
        <f>8.2</f>
        <v>8.2</v>
      </c>
      <c r="S32" s="11">
        <f>178.15+73.28</f>
        <v>251.43</v>
      </c>
      <c r="T32" s="11">
        <f t="shared" si="5"/>
        <v>4380.66</v>
      </c>
      <c r="U32" s="11">
        <f t="shared" si="2"/>
        <v>3917.76</v>
      </c>
      <c r="V32" s="11">
        <f>'Monthly Finances'!F32</f>
        <v>4783.07</v>
      </c>
      <c r="W32" s="11">
        <f t="shared" si="3"/>
        <v>865.31</v>
      </c>
      <c r="X32" s="92">
        <f t="shared" si="4"/>
        <v>1684.26</v>
      </c>
      <c r="Y32" s="28"/>
      <c r="Z32" s="28"/>
      <c r="AA32" s="28"/>
    </row>
    <row r="33" ht="15.75" customHeight="1">
      <c r="A33" s="44">
        <v>45017.0</v>
      </c>
      <c r="B33" s="93">
        <v>1260.0</v>
      </c>
      <c r="C33" s="18">
        <v>0.0</v>
      </c>
      <c r="D33" s="19">
        <v>135.81</v>
      </c>
      <c r="E33" s="18">
        <v>158.52</v>
      </c>
      <c r="F33" s="18">
        <v>0.0</v>
      </c>
      <c r="G33" s="18">
        <v>300.0</v>
      </c>
      <c r="H33" s="19">
        <v>0.0</v>
      </c>
      <c r="I33" s="18">
        <v>0.0</v>
      </c>
      <c r="J33" s="18">
        <f>88.08+50</f>
        <v>138.08</v>
      </c>
      <c r="K33" s="18">
        <v>0.0</v>
      </c>
      <c r="L33" s="18">
        <v>505.58</v>
      </c>
      <c r="M33" s="18">
        <v>192.39</v>
      </c>
      <c r="N33" s="18">
        <f>24.99-122.53+176.54</f>
        <v>79</v>
      </c>
      <c r="O33" s="18">
        <v>565.2</v>
      </c>
      <c r="P33" s="18">
        <f>661.86</f>
        <v>661.86</v>
      </c>
      <c r="Q33" s="18">
        <v>21.98</v>
      </c>
      <c r="R33" s="18">
        <f>38.46+8.2</f>
        <v>46.66</v>
      </c>
      <c r="S33" s="18">
        <v>0.0</v>
      </c>
      <c r="T33" s="18">
        <f t="shared" si="5"/>
        <v>4065.08</v>
      </c>
      <c r="U33" s="18">
        <f t="shared" si="2"/>
        <v>3606.56</v>
      </c>
      <c r="V33" s="18">
        <f>'Monthly Finances'!F33</f>
        <v>4783.05</v>
      </c>
      <c r="W33" s="18">
        <f t="shared" si="3"/>
        <v>1176.49</v>
      </c>
      <c r="X33" s="94">
        <f t="shared" si="4"/>
        <v>1684.7</v>
      </c>
      <c r="Y33" s="28"/>
      <c r="Z33" s="28"/>
      <c r="AA33" s="28"/>
    </row>
    <row r="34" ht="15.75" customHeight="1">
      <c r="A34" s="41">
        <v>45047.0</v>
      </c>
      <c r="B34" s="66">
        <v>1260.0</v>
      </c>
      <c r="C34" s="11">
        <v>86.08</v>
      </c>
      <c r="D34" s="12">
        <v>141.36</v>
      </c>
      <c r="E34" s="11">
        <v>177.12</v>
      </c>
      <c r="F34" s="11">
        <v>1000.0</v>
      </c>
      <c r="G34" s="11">
        <v>375.0</v>
      </c>
      <c r="H34" s="12">
        <v>1000.0</v>
      </c>
      <c r="I34" s="11">
        <v>0.0</v>
      </c>
      <c r="J34" s="11">
        <f>195.41+30</f>
        <v>225.41</v>
      </c>
      <c r="K34" s="11">
        <v>0.0</v>
      </c>
      <c r="L34" s="11">
        <f>952.07</f>
        <v>952.07</v>
      </c>
      <c r="M34" s="11">
        <v>208.8</v>
      </c>
      <c r="N34" s="11">
        <v>579.8</v>
      </c>
      <c r="O34" s="11">
        <v>240.37</v>
      </c>
      <c r="P34" s="11">
        <v>578.35</v>
      </c>
      <c r="Q34" s="11">
        <v>21.98</v>
      </c>
      <c r="R34" s="11">
        <f>8.2</f>
        <v>8.2</v>
      </c>
      <c r="S34" s="11">
        <v>175.0</v>
      </c>
      <c r="T34" s="11">
        <f t="shared" si="5"/>
        <v>7029.54</v>
      </c>
      <c r="U34" s="11">
        <f t="shared" si="2"/>
        <v>4477.42</v>
      </c>
      <c r="V34" s="11">
        <f>'Monthly Finances'!F34</f>
        <v>4783.07</v>
      </c>
      <c r="W34" s="11">
        <f t="shared" si="3"/>
        <v>305.65</v>
      </c>
      <c r="X34" s="92">
        <f t="shared" si="4"/>
        <v>2552.99</v>
      </c>
      <c r="Y34" s="28"/>
      <c r="Z34" s="28"/>
      <c r="AA34" s="28"/>
    </row>
    <row r="35" ht="15.75" customHeight="1">
      <c r="A35" s="44">
        <v>45078.0</v>
      </c>
      <c r="B35" s="93">
        <v>1260.0</v>
      </c>
      <c r="C35" s="18">
        <v>0.0</v>
      </c>
      <c r="D35" s="19">
        <v>140.54</v>
      </c>
      <c r="E35" s="18">
        <v>173.98</v>
      </c>
      <c r="F35" s="18">
        <v>0.0</v>
      </c>
      <c r="G35" s="18">
        <v>300.0</v>
      </c>
      <c r="H35" s="19">
        <v>0.0</v>
      </c>
      <c r="I35" s="18">
        <v>0.0</v>
      </c>
      <c r="J35" s="18">
        <f>66+148.05</f>
        <v>214.05</v>
      </c>
      <c r="K35" s="18">
        <f>28.25</f>
        <v>28.25</v>
      </c>
      <c r="L35" s="18">
        <f>558.93</f>
        <v>558.93</v>
      </c>
      <c r="M35" s="18">
        <f>183.63</f>
        <v>183.63</v>
      </c>
      <c r="N35" s="18">
        <f>225.03+90.81</f>
        <v>315.84</v>
      </c>
      <c r="O35" s="18">
        <f>290.05+276.51</f>
        <v>566.56</v>
      </c>
      <c r="P35" s="18">
        <v>487.72</v>
      </c>
      <c r="Q35" s="18">
        <v>21.98</v>
      </c>
      <c r="R35" s="18">
        <f>16.41</f>
        <v>16.41</v>
      </c>
      <c r="S35" s="18">
        <v>0.0</v>
      </c>
      <c r="T35" s="18">
        <f t="shared" si="5"/>
        <v>4267.89</v>
      </c>
      <c r="U35" s="18">
        <f t="shared" si="2"/>
        <v>3793.91</v>
      </c>
      <c r="V35" s="18">
        <f>'Monthly Finances'!F35</f>
        <v>4783.05</v>
      </c>
      <c r="W35" s="18">
        <f t="shared" si="3"/>
        <v>989.14</v>
      </c>
      <c r="X35" s="94">
        <f t="shared" si="4"/>
        <v>2046.19</v>
      </c>
      <c r="Y35" s="28"/>
      <c r="Z35" s="28"/>
      <c r="AA35" s="28"/>
    </row>
    <row r="36" ht="15.75" customHeight="1">
      <c r="A36" s="41">
        <v>45108.0</v>
      </c>
      <c r="B36" s="66">
        <v>1260.0</v>
      </c>
      <c r="C36" s="11">
        <v>0.0</v>
      </c>
      <c r="D36" s="12">
        <v>140.54</v>
      </c>
      <c r="E36" s="11">
        <v>142.6</v>
      </c>
      <c r="F36" s="11">
        <v>0.0</v>
      </c>
      <c r="G36" s="11">
        <v>300.0</v>
      </c>
      <c r="H36" s="12">
        <v>0.0</v>
      </c>
      <c r="I36" s="11">
        <v>0.0</v>
      </c>
      <c r="J36" s="11">
        <f>187.42+156.52</f>
        <v>343.94</v>
      </c>
      <c r="K36" s="11">
        <f>40</f>
        <v>40</v>
      </c>
      <c r="L36" s="11">
        <f>411.72</f>
        <v>411.72</v>
      </c>
      <c r="M36" s="11">
        <f>42.59</f>
        <v>42.59</v>
      </c>
      <c r="N36" s="11">
        <f>9</f>
        <v>9</v>
      </c>
      <c r="O36" s="11">
        <f>56.5+277.3</f>
        <v>333.8</v>
      </c>
      <c r="P36" s="11">
        <v>131.0</v>
      </c>
      <c r="Q36" s="11">
        <v>21.98</v>
      </c>
      <c r="R36" s="11">
        <v>0.0</v>
      </c>
      <c r="S36" s="11">
        <v>0.0</v>
      </c>
      <c r="T36" s="11">
        <f t="shared" si="5"/>
        <v>3177.17</v>
      </c>
      <c r="U36" s="11">
        <f t="shared" si="2"/>
        <v>2734.57</v>
      </c>
      <c r="V36" s="11">
        <f>'Monthly Finances'!F36</f>
        <v>7174.59</v>
      </c>
      <c r="W36" s="11">
        <f t="shared" si="3"/>
        <v>4440.02</v>
      </c>
      <c r="X36" s="92">
        <f t="shared" si="4"/>
        <v>1343.57</v>
      </c>
      <c r="Y36" s="28"/>
      <c r="Z36" s="28"/>
      <c r="AA36" s="28"/>
    </row>
    <row r="37" ht="15.75" customHeight="1">
      <c r="A37" s="44">
        <v>45139.0</v>
      </c>
      <c r="B37" s="93">
        <v>1260.0</v>
      </c>
      <c r="C37" s="18">
        <v>0.0</v>
      </c>
      <c r="D37" s="19">
        <v>140.54</v>
      </c>
      <c r="E37" s="18">
        <v>194.18</v>
      </c>
      <c r="F37" s="18">
        <v>1000.0</v>
      </c>
      <c r="G37" s="18">
        <f>975</f>
        <v>975</v>
      </c>
      <c r="H37" s="19">
        <v>3500.0</v>
      </c>
      <c r="I37" s="18">
        <v>0.0</v>
      </c>
      <c r="J37" s="18">
        <f>46.85+166.23</f>
        <v>213.08</v>
      </c>
      <c r="K37" s="18">
        <v>0.0</v>
      </c>
      <c r="L37" s="18">
        <f>553.66</f>
        <v>553.66</v>
      </c>
      <c r="M37" s="18">
        <v>158.9</v>
      </c>
      <c r="N37" s="18">
        <f>603.64+680.76</f>
        <v>1284.4</v>
      </c>
      <c r="O37" s="18">
        <f>248.03</f>
        <v>248.03</v>
      </c>
      <c r="P37" s="18">
        <v>350.29</v>
      </c>
      <c r="Q37" s="18">
        <v>21.98</v>
      </c>
      <c r="R37" s="18">
        <f>16.41</f>
        <v>16.41</v>
      </c>
      <c r="S37" s="18">
        <f>14.85</f>
        <v>14.85</v>
      </c>
      <c r="T37" s="18">
        <f t="shared" si="5"/>
        <v>9931.32</v>
      </c>
      <c r="U37" s="18">
        <f t="shared" si="2"/>
        <v>4262.14</v>
      </c>
      <c r="V37" s="18">
        <f>'Monthly Finances'!F37</f>
        <v>4783.06</v>
      </c>
      <c r="W37" s="18">
        <f t="shared" si="3"/>
        <v>520.92</v>
      </c>
      <c r="X37" s="94">
        <f t="shared" si="4"/>
        <v>2651.85</v>
      </c>
      <c r="Y37" s="28"/>
      <c r="Z37" s="28"/>
      <c r="AA37" s="28"/>
    </row>
    <row r="38" ht="15.75" customHeight="1">
      <c r="A38" s="41">
        <v>45170.0</v>
      </c>
      <c r="B38" s="66">
        <v>1260.0</v>
      </c>
      <c r="C38" s="11">
        <v>0.0</v>
      </c>
      <c r="D38" s="12">
        <v>140.54</v>
      </c>
      <c r="E38" s="11">
        <f>125.52+3</f>
        <v>128.52</v>
      </c>
      <c r="F38" s="11">
        <v>0.0</v>
      </c>
      <c r="G38" s="11">
        <f>3365</f>
        <v>3365</v>
      </c>
      <c r="H38" s="12">
        <v>2000.0</v>
      </c>
      <c r="I38" s="11">
        <v>0.0</v>
      </c>
      <c r="J38" s="11">
        <f>2.49+395.26</f>
        <v>397.75</v>
      </c>
      <c r="K38" s="11">
        <v>0.0</v>
      </c>
      <c r="L38" s="11">
        <v>156.10000000000002</v>
      </c>
      <c r="M38" s="11">
        <f>93.45</f>
        <v>93.45</v>
      </c>
      <c r="N38" s="11">
        <f>2.94</f>
        <v>2.94</v>
      </c>
      <c r="O38" s="11">
        <f>542.9</f>
        <v>542.9</v>
      </c>
      <c r="P38" s="11">
        <f>304.9</f>
        <v>304.9</v>
      </c>
      <c r="Q38" s="11">
        <v>21.98</v>
      </c>
      <c r="R38" s="11">
        <v>103.05</v>
      </c>
      <c r="S38" s="11">
        <v>0.0</v>
      </c>
      <c r="T38" s="11">
        <f t="shared" si="5"/>
        <v>8517.13</v>
      </c>
      <c r="U38" s="11">
        <f t="shared" si="2"/>
        <v>3023.61</v>
      </c>
      <c r="V38" s="11">
        <f>'Monthly Finances'!F38</f>
        <v>4928.27</v>
      </c>
      <c r="W38" s="11">
        <f t="shared" si="3"/>
        <v>1904.66</v>
      </c>
      <c r="X38" s="92">
        <f t="shared" si="4"/>
        <v>1458.71</v>
      </c>
      <c r="Y38" s="28"/>
      <c r="Z38" s="28"/>
      <c r="AA38" s="28"/>
    </row>
    <row r="39" ht="15.75" customHeight="1">
      <c r="A39" s="99" t="s">
        <v>64</v>
      </c>
      <c r="B39" s="100">
        <f t="shared" ref="B39:X39" si="6">AVERAGE(B2:B38)</f>
        <v>1308.135135</v>
      </c>
      <c r="C39" s="100">
        <f t="shared" si="6"/>
        <v>748.0308108</v>
      </c>
      <c r="D39" s="100">
        <f t="shared" si="6"/>
        <v>105.5235135</v>
      </c>
      <c r="E39" s="100">
        <f t="shared" si="6"/>
        <v>113.0435135</v>
      </c>
      <c r="F39" s="100">
        <f t="shared" si="6"/>
        <v>189.1891892</v>
      </c>
      <c r="G39" s="100">
        <f t="shared" si="6"/>
        <v>249.0540541</v>
      </c>
      <c r="H39" s="100">
        <f t="shared" si="6"/>
        <v>516.3513514</v>
      </c>
      <c r="I39" s="100">
        <f t="shared" si="6"/>
        <v>15.03648649</v>
      </c>
      <c r="J39" s="100">
        <f t="shared" si="6"/>
        <v>146.4108108</v>
      </c>
      <c r="K39" s="100">
        <f t="shared" si="6"/>
        <v>89.87783784</v>
      </c>
      <c r="L39" s="100">
        <f t="shared" si="6"/>
        <v>492.8413514</v>
      </c>
      <c r="M39" s="100">
        <f t="shared" si="6"/>
        <v>152.3745946</v>
      </c>
      <c r="N39" s="100">
        <f t="shared" si="6"/>
        <v>318.0462162</v>
      </c>
      <c r="O39" s="100">
        <f t="shared" si="6"/>
        <v>245.2672973</v>
      </c>
      <c r="P39" s="100">
        <f t="shared" si="6"/>
        <v>424.8859459</v>
      </c>
      <c r="Q39" s="100">
        <f t="shared" si="6"/>
        <v>20.43891892</v>
      </c>
      <c r="R39" s="100">
        <f t="shared" si="6"/>
        <v>85.1872973</v>
      </c>
      <c r="S39" s="100">
        <f t="shared" si="6"/>
        <v>161.9281081</v>
      </c>
      <c r="T39" s="100">
        <f t="shared" si="6"/>
        <v>5381.622432</v>
      </c>
      <c r="U39" s="100">
        <f t="shared" si="6"/>
        <v>4313.984324</v>
      </c>
      <c r="V39" s="100">
        <f t="shared" si="6"/>
        <v>4862.347297</v>
      </c>
      <c r="W39" s="100">
        <f t="shared" si="6"/>
        <v>548.362973</v>
      </c>
      <c r="X39" s="100">
        <f t="shared" si="6"/>
        <v>1832.932432</v>
      </c>
      <c r="Y39" s="51"/>
      <c r="Z39" s="51"/>
      <c r="AA39" s="51"/>
    </row>
    <row r="40" ht="15.75" customHeight="1">
      <c r="A40" s="101" t="s">
        <v>65</v>
      </c>
      <c r="B40" s="102">
        <f t="shared" ref="B40:S40" si="7">B39/$T$39</f>
        <v>0.2430744913</v>
      </c>
      <c r="C40" s="102">
        <f t="shared" si="7"/>
        <v>0.1389972671</v>
      </c>
      <c r="D40" s="102">
        <f t="shared" si="7"/>
        <v>0.0196081228</v>
      </c>
      <c r="E40" s="102">
        <f t="shared" si="7"/>
        <v>0.02100547092</v>
      </c>
      <c r="F40" s="102">
        <f t="shared" si="7"/>
        <v>0.0351546753</v>
      </c>
      <c r="G40" s="102">
        <f t="shared" si="7"/>
        <v>0.04627861898</v>
      </c>
      <c r="H40" s="102">
        <f t="shared" si="7"/>
        <v>0.09594715308</v>
      </c>
      <c r="I40" s="102">
        <f t="shared" si="7"/>
        <v>0.002794043372</v>
      </c>
      <c r="J40" s="102">
        <f t="shared" si="7"/>
        <v>0.027205701</v>
      </c>
      <c r="K40" s="102">
        <f t="shared" si="7"/>
        <v>0.01670088137</v>
      </c>
      <c r="L40" s="102">
        <f t="shared" si="7"/>
        <v>0.09157858202</v>
      </c>
      <c r="M40" s="102">
        <f t="shared" si="7"/>
        <v>0.02831387681</v>
      </c>
      <c r="N40" s="102">
        <f t="shared" si="7"/>
        <v>0.05909857486</v>
      </c>
      <c r="O40" s="102">
        <f t="shared" si="7"/>
        <v>0.04557497305</v>
      </c>
      <c r="P40" s="102">
        <f t="shared" si="7"/>
        <v>0.07895127376</v>
      </c>
      <c r="Q40" s="102">
        <f t="shared" si="7"/>
        <v>0.003797910235</v>
      </c>
      <c r="R40" s="102">
        <f t="shared" si="7"/>
        <v>0.01582929653</v>
      </c>
      <c r="S40" s="102">
        <f t="shared" si="7"/>
        <v>0.03008908747</v>
      </c>
      <c r="T40" s="103"/>
      <c r="U40" s="103"/>
      <c r="V40" s="103"/>
      <c r="W40" s="104"/>
      <c r="X40" s="105"/>
      <c r="Y40" s="28"/>
      <c r="Z40" s="28"/>
      <c r="AA40" s="28"/>
    </row>
    <row r="41" ht="15.75" customHeight="1">
      <c r="A41" s="106" t="s">
        <v>66</v>
      </c>
      <c r="B41" s="107">
        <f t="shared" ref="B41:X41" si="8">AVERAGE(B6:B17)</f>
        <v>1346.75</v>
      </c>
      <c r="C41" s="107">
        <f t="shared" si="8"/>
        <v>1405.5</v>
      </c>
      <c r="D41" s="107">
        <f t="shared" si="8"/>
        <v>82.79416667</v>
      </c>
      <c r="E41" s="107">
        <f t="shared" si="8"/>
        <v>112.8383333</v>
      </c>
      <c r="F41" s="107">
        <f t="shared" si="8"/>
        <v>416.6666667</v>
      </c>
      <c r="G41" s="107">
        <f t="shared" si="8"/>
        <v>0</v>
      </c>
      <c r="H41" s="107">
        <f t="shared" si="8"/>
        <v>500</v>
      </c>
      <c r="I41" s="107">
        <f t="shared" si="8"/>
        <v>30.11916667</v>
      </c>
      <c r="J41" s="107">
        <f t="shared" si="8"/>
        <v>115.4266667</v>
      </c>
      <c r="K41" s="107">
        <f t="shared" si="8"/>
        <v>91.61416667</v>
      </c>
      <c r="L41" s="107">
        <f t="shared" si="8"/>
        <v>576.2958333</v>
      </c>
      <c r="M41" s="107">
        <f t="shared" si="8"/>
        <v>140.8616667</v>
      </c>
      <c r="N41" s="107">
        <f t="shared" si="8"/>
        <v>225.6541667</v>
      </c>
      <c r="O41" s="107">
        <f t="shared" si="8"/>
        <v>211.8941667</v>
      </c>
      <c r="P41" s="107">
        <f t="shared" si="8"/>
        <v>552.3625</v>
      </c>
      <c r="Q41" s="107">
        <f t="shared" si="8"/>
        <v>20.97833333</v>
      </c>
      <c r="R41" s="107">
        <f t="shared" si="8"/>
        <v>76.97416667</v>
      </c>
      <c r="S41" s="107">
        <f t="shared" si="8"/>
        <v>205.8941667</v>
      </c>
      <c r="T41" s="107">
        <f t="shared" si="8"/>
        <v>6112.624167</v>
      </c>
      <c r="U41" s="107">
        <f t="shared" si="8"/>
        <v>5083.119167</v>
      </c>
      <c r="V41" s="107">
        <f t="shared" si="8"/>
        <v>4724.55</v>
      </c>
      <c r="W41" s="107">
        <f t="shared" si="8"/>
        <v>-358.5691667</v>
      </c>
      <c r="X41" s="107">
        <f t="shared" si="8"/>
        <v>1778.506667</v>
      </c>
      <c r="Y41" s="28"/>
      <c r="Z41" s="28"/>
      <c r="AA41" s="28"/>
    </row>
    <row r="42" ht="15.75" customHeight="1">
      <c r="A42" s="101"/>
      <c r="B42" s="102">
        <f t="shared" ref="B42:S42" si="9">B41/$T$41</f>
        <v>0.2203227228</v>
      </c>
      <c r="C42" s="102">
        <f t="shared" si="9"/>
        <v>0.2299339795</v>
      </c>
      <c r="D42" s="102">
        <f t="shared" si="9"/>
        <v>0.0135447828</v>
      </c>
      <c r="E42" s="102">
        <f t="shared" si="9"/>
        <v>0.01845988405</v>
      </c>
      <c r="F42" s="102">
        <f t="shared" si="9"/>
        <v>0.06816494116</v>
      </c>
      <c r="G42" s="102">
        <f t="shared" si="9"/>
        <v>0</v>
      </c>
      <c r="H42" s="102">
        <f t="shared" si="9"/>
        <v>0.08179792939</v>
      </c>
      <c r="I42" s="102">
        <f t="shared" si="9"/>
        <v>0.004927370937</v>
      </c>
      <c r="J42" s="102">
        <f t="shared" si="9"/>
        <v>0.01888332466</v>
      </c>
      <c r="K42" s="102">
        <f t="shared" si="9"/>
        <v>0.01498769827</v>
      </c>
      <c r="L42" s="102">
        <f t="shared" si="9"/>
        <v>0.09427961177</v>
      </c>
      <c r="M42" s="102">
        <f t="shared" si="9"/>
        <v>0.02304438533</v>
      </c>
      <c r="N42" s="102">
        <f t="shared" si="9"/>
        <v>0.03691608719</v>
      </c>
      <c r="O42" s="102">
        <f t="shared" si="9"/>
        <v>0.03466500817</v>
      </c>
      <c r="P42" s="102">
        <f t="shared" si="9"/>
        <v>0.09036421755</v>
      </c>
      <c r="Q42" s="102">
        <f t="shared" si="9"/>
        <v>0.003431968458</v>
      </c>
      <c r="R42" s="102">
        <f t="shared" si="9"/>
        <v>0.0125926549</v>
      </c>
      <c r="S42" s="102">
        <f t="shared" si="9"/>
        <v>0.03368343302</v>
      </c>
      <c r="T42" s="103"/>
      <c r="U42" s="103"/>
      <c r="V42" s="103"/>
      <c r="W42" s="104"/>
      <c r="X42" s="105"/>
      <c r="Y42" s="28"/>
      <c r="Z42" s="28"/>
      <c r="AA42" s="28"/>
    </row>
    <row r="43" ht="15.75" customHeight="1">
      <c r="A43" s="106" t="s">
        <v>67</v>
      </c>
      <c r="B43" s="107">
        <f t="shared" ref="B43:X43" si="10">AVERAGE(B18:B29)</f>
        <v>1260</v>
      </c>
      <c r="C43" s="107">
        <f t="shared" si="10"/>
        <v>867.505</v>
      </c>
      <c r="D43" s="107">
        <f t="shared" si="10"/>
        <v>138.6783333</v>
      </c>
      <c r="E43" s="107">
        <f t="shared" si="10"/>
        <v>116.4433333</v>
      </c>
      <c r="F43" s="107">
        <f t="shared" si="10"/>
        <v>0</v>
      </c>
      <c r="G43" s="107">
        <f t="shared" si="10"/>
        <v>231.25</v>
      </c>
      <c r="H43" s="107">
        <f t="shared" si="10"/>
        <v>50.41666667</v>
      </c>
      <c r="I43" s="107">
        <f t="shared" si="10"/>
        <v>0</v>
      </c>
      <c r="J43" s="107">
        <f t="shared" si="10"/>
        <v>118.0408333</v>
      </c>
      <c r="K43" s="107">
        <f t="shared" si="10"/>
        <v>176.3008333</v>
      </c>
      <c r="L43" s="107">
        <f t="shared" si="10"/>
        <v>463.5575</v>
      </c>
      <c r="M43" s="107">
        <f t="shared" si="10"/>
        <v>141.11</v>
      </c>
      <c r="N43" s="107">
        <f t="shared" si="10"/>
        <v>444.6083333</v>
      </c>
      <c r="O43" s="107">
        <f t="shared" si="10"/>
        <v>185.62</v>
      </c>
      <c r="P43" s="107">
        <f t="shared" si="10"/>
        <v>420.8741667</v>
      </c>
      <c r="Q43" s="107">
        <f t="shared" si="10"/>
        <v>21.89666667</v>
      </c>
      <c r="R43" s="107">
        <f t="shared" si="10"/>
        <v>66.28583333</v>
      </c>
      <c r="S43" s="107">
        <f t="shared" si="10"/>
        <v>116.6233333</v>
      </c>
      <c r="T43" s="107">
        <f t="shared" si="10"/>
        <v>4819.210833</v>
      </c>
      <c r="U43" s="107">
        <f t="shared" si="10"/>
        <v>4421.100833</v>
      </c>
      <c r="V43" s="107">
        <f t="shared" si="10"/>
        <v>5014.1475</v>
      </c>
      <c r="W43" s="107">
        <f t="shared" si="10"/>
        <v>593.0466667</v>
      </c>
      <c r="X43" s="107">
        <f t="shared" si="10"/>
        <v>1872.721667</v>
      </c>
      <c r="Y43" s="28"/>
      <c r="Z43" s="28"/>
      <c r="AA43" s="28"/>
    </row>
    <row r="44" ht="15.75" customHeight="1">
      <c r="A44" s="101"/>
      <c r="B44" s="102">
        <f t="shared" ref="B44:S44" si="11">B43/$T$43</f>
        <v>0.2614535955</v>
      </c>
      <c r="C44" s="102">
        <f t="shared" si="11"/>
        <v>0.180009763</v>
      </c>
      <c r="D44" s="102">
        <f t="shared" si="11"/>
        <v>0.0287761499</v>
      </c>
      <c r="E44" s="102">
        <f t="shared" si="11"/>
        <v>0.02416232395</v>
      </c>
      <c r="F44" s="102">
        <f t="shared" si="11"/>
        <v>0</v>
      </c>
      <c r="G44" s="102">
        <f t="shared" si="11"/>
        <v>0.04798503489</v>
      </c>
      <c r="H44" s="102">
        <f t="shared" si="11"/>
        <v>0.0104616022</v>
      </c>
      <c r="I44" s="102">
        <f t="shared" si="11"/>
        <v>0</v>
      </c>
      <c r="J44" s="102">
        <f t="shared" si="11"/>
        <v>0.02449380976</v>
      </c>
      <c r="K44" s="102">
        <f t="shared" si="11"/>
        <v>0.03658292601</v>
      </c>
      <c r="L44" s="102">
        <f t="shared" si="11"/>
        <v>0.09618950406</v>
      </c>
      <c r="M44" s="102">
        <f t="shared" si="11"/>
        <v>0.02928072767</v>
      </c>
      <c r="N44" s="102">
        <f t="shared" si="11"/>
        <v>0.0922574979</v>
      </c>
      <c r="O44" s="102">
        <f t="shared" si="11"/>
        <v>0.03851667968</v>
      </c>
      <c r="P44" s="102">
        <f t="shared" si="11"/>
        <v>0.08733259059</v>
      </c>
      <c r="Q44" s="102">
        <f t="shared" si="11"/>
        <v>0.004543620818</v>
      </c>
      <c r="R44" s="102">
        <f t="shared" si="11"/>
        <v>0.01375449957</v>
      </c>
      <c r="S44" s="102">
        <f t="shared" si="11"/>
        <v>0.02419967446</v>
      </c>
      <c r="T44" s="103"/>
      <c r="U44" s="103"/>
      <c r="V44" s="103"/>
      <c r="W44" s="104"/>
      <c r="X44" s="105"/>
      <c r="Y44" s="28"/>
      <c r="Z44" s="28"/>
      <c r="AA44" s="28"/>
    </row>
    <row r="45" ht="15.75" customHeight="1">
      <c r="A45" s="106" t="s">
        <v>68</v>
      </c>
      <c r="B45" s="107">
        <f t="shared" ref="B45:X45" si="12">AVERAGE(B30:B38)</f>
        <v>1260</v>
      </c>
      <c r="C45" s="107">
        <f t="shared" si="12"/>
        <v>44.56444444</v>
      </c>
      <c r="D45" s="107">
        <f t="shared" si="12"/>
        <v>138.5222222</v>
      </c>
      <c r="E45" s="107">
        <f t="shared" si="12"/>
        <v>159.0255556</v>
      </c>
      <c r="F45" s="107">
        <f t="shared" si="12"/>
        <v>222.2222222</v>
      </c>
      <c r="G45" s="107">
        <f t="shared" si="12"/>
        <v>715.5555556</v>
      </c>
      <c r="H45" s="107">
        <f t="shared" si="12"/>
        <v>1388.888889</v>
      </c>
      <c r="I45" s="107">
        <f t="shared" si="12"/>
        <v>0</v>
      </c>
      <c r="J45" s="107">
        <f t="shared" si="12"/>
        <v>248.3955556</v>
      </c>
      <c r="K45" s="107">
        <f t="shared" si="12"/>
        <v>9.5</v>
      </c>
      <c r="L45" s="107">
        <f t="shared" si="12"/>
        <v>510.3833333</v>
      </c>
      <c r="M45" s="107">
        <f t="shared" si="12"/>
        <v>153.1055556</v>
      </c>
      <c r="N45" s="107">
        <f t="shared" si="12"/>
        <v>413.84</v>
      </c>
      <c r="O45" s="107">
        <f t="shared" si="12"/>
        <v>370.8522222</v>
      </c>
      <c r="P45" s="107">
        <f t="shared" si="12"/>
        <v>370.0144444</v>
      </c>
      <c r="Q45" s="107">
        <f t="shared" si="12"/>
        <v>21.98</v>
      </c>
      <c r="R45" s="107">
        <f t="shared" si="12"/>
        <v>40.14666667</v>
      </c>
      <c r="S45" s="107">
        <f t="shared" si="12"/>
        <v>49.03111111</v>
      </c>
      <c r="T45" s="107">
        <f t="shared" si="12"/>
        <v>6116.027778</v>
      </c>
      <c r="U45" s="107">
        <f t="shared" si="12"/>
        <v>3630.335556</v>
      </c>
      <c r="V45" s="107">
        <f t="shared" si="12"/>
        <v>5087.064444</v>
      </c>
      <c r="W45" s="107">
        <f t="shared" si="12"/>
        <v>1456.728889</v>
      </c>
      <c r="X45" s="107">
        <f t="shared" si="12"/>
        <v>1955.756667</v>
      </c>
      <c r="Y45" s="28"/>
      <c r="Z45" s="28"/>
      <c r="AA45" s="28"/>
    </row>
    <row r="46" ht="15.75" customHeight="1">
      <c r="A46" s="101"/>
      <c r="B46" s="102">
        <f t="shared" ref="B46:S46" si="13">B45/$T$45</f>
        <v>0.2060160689</v>
      </c>
      <c r="C46" s="102">
        <f t="shared" si="13"/>
        <v>0.007286501315</v>
      </c>
      <c r="D46" s="102">
        <f t="shared" si="13"/>
        <v>0.02264905054</v>
      </c>
      <c r="E46" s="102">
        <f t="shared" si="13"/>
        <v>0.02600144429</v>
      </c>
      <c r="F46" s="102">
        <f t="shared" si="13"/>
        <v>0.03633440368</v>
      </c>
      <c r="G46" s="102">
        <f t="shared" si="13"/>
        <v>0.1169967799</v>
      </c>
      <c r="H46" s="102">
        <f t="shared" si="13"/>
        <v>0.227090023</v>
      </c>
      <c r="I46" s="102">
        <f t="shared" si="13"/>
        <v>0</v>
      </c>
      <c r="J46" s="102">
        <f t="shared" si="13"/>
        <v>0.04061386975</v>
      </c>
      <c r="K46" s="102">
        <f t="shared" si="13"/>
        <v>0.001553295758</v>
      </c>
      <c r="L46" s="102">
        <f t="shared" si="13"/>
        <v>0.0834501333</v>
      </c>
      <c r="M46" s="102">
        <f t="shared" si="13"/>
        <v>0.02503349578</v>
      </c>
      <c r="N46" s="102">
        <f t="shared" si="13"/>
        <v>0.06766483329</v>
      </c>
      <c r="O46" s="102">
        <f t="shared" si="13"/>
        <v>0.06063612457</v>
      </c>
      <c r="P46" s="102">
        <f t="shared" si="13"/>
        <v>0.06049914387</v>
      </c>
      <c r="Q46" s="102">
        <f t="shared" si="13"/>
        <v>0.003593835868</v>
      </c>
      <c r="R46" s="102">
        <f t="shared" si="13"/>
        <v>0.00656417337</v>
      </c>
      <c r="S46" s="102">
        <f t="shared" si="13"/>
        <v>0.008016822829</v>
      </c>
      <c r="T46" s="103"/>
      <c r="U46" s="103"/>
      <c r="V46" s="103"/>
      <c r="W46" s="104"/>
      <c r="X46" s="108"/>
      <c r="Y46" s="28"/>
      <c r="Z46" s="28"/>
      <c r="AA46" s="28"/>
    </row>
    <row r="47" ht="15.75" customHeight="1">
      <c r="A47" s="106" t="s">
        <v>69</v>
      </c>
      <c r="B47" s="107" t="str">
        <f t="shared" ref="B47:X47" si="14">AVERAGE(#REF!)</f>
        <v>#REF!</v>
      </c>
      <c r="C47" s="107" t="str">
        <f t="shared" si="14"/>
        <v>#REF!</v>
      </c>
      <c r="D47" s="107" t="str">
        <f t="shared" si="14"/>
        <v>#REF!</v>
      </c>
      <c r="E47" s="107" t="str">
        <f t="shared" si="14"/>
        <v>#REF!</v>
      </c>
      <c r="F47" s="107" t="str">
        <f t="shared" si="14"/>
        <v>#REF!</v>
      </c>
      <c r="G47" s="107" t="str">
        <f t="shared" si="14"/>
        <v>#REF!</v>
      </c>
      <c r="H47" s="107" t="str">
        <f t="shared" si="14"/>
        <v>#REF!</v>
      </c>
      <c r="I47" s="107" t="str">
        <f t="shared" si="14"/>
        <v>#REF!</v>
      </c>
      <c r="J47" s="107" t="str">
        <f t="shared" si="14"/>
        <v>#REF!</v>
      </c>
      <c r="K47" s="107" t="str">
        <f t="shared" si="14"/>
        <v>#REF!</v>
      </c>
      <c r="L47" s="107" t="str">
        <f t="shared" si="14"/>
        <v>#REF!</v>
      </c>
      <c r="M47" s="107" t="str">
        <f t="shared" si="14"/>
        <v>#REF!</v>
      </c>
      <c r="N47" s="107" t="str">
        <f t="shared" si="14"/>
        <v>#REF!</v>
      </c>
      <c r="O47" s="107" t="str">
        <f t="shared" si="14"/>
        <v>#REF!</v>
      </c>
      <c r="P47" s="107" t="str">
        <f t="shared" si="14"/>
        <v>#REF!</v>
      </c>
      <c r="Q47" s="107" t="str">
        <f t="shared" si="14"/>
        <v>#REF!</v>
      </c>
      <c r="R47" s="107" t="str">
        <f t="shared" si="14"/>
        <v>#REF!</v>
      </c>
      <c r="S47" s="107" t="str">
        <f t="shared" si="14"/>
        <v>#REF!</v>
      </c>
      <c r="T47" s="107" t="str">
        <f t="shared" si="14"/>
        <v>#REF!</v>
      </c>
      <c r="U47" s="107" t="str">
        <f t="shared" si="14"/>
        <v>#REF!</v>
      </c>
      <c r="V47" s="107" t="str">
        <f t="shared" si="14"/>
        <v>#REF!</v>
      </c>
      <c r="W47" s="107" t="str">
        <f t="shared" si="14"/>
        <v>#REF!</v>
      </c>
      <c r="X47" s="107" t="str">
        <f t="shared" si="14"/>
        <v>#REF!</v>
      </c>
      <c r="Y47" s="28"/>
      <c r="Z47" s="28"/>
      <c r="AA47" s="28"/>
    </row>
    <row r="48" ht="15.75" customHeight="1">
      <c r="A48" s="101"/>
      <c r="B48" s="102" t="str">
        <f t="shared" ref="B48:S48" si="15">B47/$T$47</f>
        <v>#REF!</v>
      </c>
      <c r="C48" s="102" t="str">
        <f t="shared" si="15"/>
        <v>#REF!</v>
      </c>
      <c r="D48" s="102" t="str">
        <f t="shared" si="15"/>
        <v>#REF!</v>
      </c>
      <c r="E48" s="102" t="str">
        <f t="shared" si="15"/>
        <v>#REF!</v>
      </c>
      <c r="F48" s="102" t="str">
        <f t="shared" si="15"/>
        <v>#REF!</v>
      </c>
      <c r="G48" s="102" t="str">
        <f t="shared" si="15"/>
        <v>#REF!</v>
      </c>
      <c r="H48" s="102" t="str">
        <f t="shared" si="15"/>
        <v>#REF!</v>
      </c>
      <c r="I48" s="102" t="str">
        <f t="shared" si="15"/>
        <v>#REF!</v>
      </c>
      <c r="J48" s="102" t="str">
        <f t="shared" si="15"/>
        <v>#REF!</v>
      </c>
      <c r="K48" s="102" t="str">
        <f t="shared" si="15"/>
        <v>#REF!</v>
      </c>
      <c r="L48" s="102" t="str">
        <f t="shared" si="15"/>
        <v>#REF!</v>
      </c>
      <c r="M48" s="102" t="str">
        <f t="shared" si="15"/>
        <v>#REF!</v>
      </c>
      <c r="N48" s="102" t="str">
        <f t="shared" si="15"/>
        <v>#REF!</v>
      </c>
      <c r="O48" s="102" t="str">
        <f t="shared" si="15"/>
        <v>#REF!</v>
      </c>
      <c r="P48" s="102" t="str">
        <f t="shared" si="15"/>
        <v>#REF!</v>
      </c>
      <c r="Q48" s="102" t="str">
        <f t="shared" si="15"/>
        <v>#REF!</v>
      </c>
      <c r="R48" s="102" t="str">
        <f t="shared" si="15"/>
        <v>#REF!</v>
      </c>
      <c r="S48" s="102" t="str">
        <f t="shared" si="15"/>
        <v>#REF!</v>
      </c>
      <c r="T48" s="103"/>
      <c r="U48" s="103"/>
      <c r="V48" s="103"/>
      <c r="W48" s="104"/>
      <c r="X48" s="108"/>
      <c r="Y48" s="28"/>
      <c r="Z48" s="28"/>
      <c r="AA48" s="28"/>
    </row>
    <row r="49" ht="15.75" customHeight="1">
      <c r="A49" s="109" t="s">
        <v>70</v>
      </c>
      <c r="B49" s="107" t="str">
        <f t="shared" ref="B49:X49" si="16">AVERAGE(#REF!)</f>
        <v>#REF!</v>
      </c>
      <c r="C49" s="107" t="str">
        <f t="shared" si="16"/>
        <v>#REF!</v>
      </c>
      <c r="D49" s="107" t="str">
        <f t="shared" si="16"/>
        <v>#REF!</v>
      </c>
      <c r="E49" s="107" t="str">
        <f t="shared" si="16"/>
        <v>#REF!</v>
      </c>
      <c r="F49" s="107" t="str">
        <f t="shared" si="16"/>
        <v>#REF!</v>
      </c>
      <c r="G49" s="107" t="str">
        <f t="shared" si="16"/>
        <v>#REF!</v>
      </c>
      <c r="H49" s="107" t="str">
        <f t="shared" si="16"/>
        <v>#REF!</v>
      </c>
      <c r="I49" s="107" t="str">
        <f t="shared" si="16"/>
        <v>#REF!</v>
      </c>
      <c r="J49" s="107" t="str">
        <f t="shared" si="16"/>
        <v>#REF!</v>
      </c>
      <c r="K49" s="107" t="str">
        <f t="shared" si="16"/>
        <v>#REF!</v>
      </c>
      <c r="L49" s="107" t="str">
        <f t="shared" si="16"/>
        <v>#REF!</v>
      </c>
      <c r="M49" s="107" t="str">
        <f t="shared" si="16"/>
        <v>#REF!</v>
      </c>
      <c r="N49" s="107" t="str">
        <f t="shared" si="16"/>
        <v>#REF!</v>
      </c>
      <c r="O49" s="107" t="str">
        <f t="shared" si="16"/>
        <v>#REF!</v>
      </c>
      <c r="P49" s="107" t="str">
        <f t="shared" si="16"/>
        <v>#REF!</v>
      </c>
      <c r="Q49" s="107" t="str">
        <f t="shared" si="16"/>
        <v>#REF!</v>
      </c>
      <c r="R49" s="107" t="str">
        <f t="shared" si="16"/>
        <v>#REF!</v>
      </c>
      <c r="S49" s="107" t="str">
        <f t="shared" si="16"/>
        <v>#REF!</v>
      </c>
      <c r="T49" s="107" t="str">
        <f t="shared" si="16"/>
        <v>#REF!</v>
      </c>
      <c r="U49" s="107" t="str">
        <f t="shared" si="16"/>
        <v>#REF!</v>
      </c>
      <c r="V49" s="107" t="str">
        <f t="shared" si="16"/>
        <v>#REF!</v>
      </c>
      <c r="W49" s="107" t="str">
        <f t="shared" si="16"/>
        <v>#REF!</v>
      </c>
      <c r="X49" s="107" t="str">
        <f t="shared" si="16"/>
        <v>#REF!</v>
      </c>
      <c r="Y49" s="28"/>
      <c r="Z49" s="28"/>
      <c r="AA49" s="28"/>
    </row>
    <row r="50" ht="15.75" customHeight="1">
      <c r="A50" s="101"/>
      <c r="B50" s="102" t="str">
        <f t="shared" ref="B50:S50" si="17">B49/$T$47</f>
        <v>#REF!</v>
      </c>
      <c r="C50" s="102" t="str">
        <f t="shared" si="17"/>
        <v>#REF!</v>
      </c>
      <c r="D50" s="102" t="str">
        <f t="shared" si="17"/>
        <v>#REF!</v>
      </c>
      <c r="E50" s="102" t="str">
        <f t="shared" si="17"/>
        <v>#REF!</v>
      </c>
      <c r="F50" s="102" t="str">
        <f t="shared" si="17"/>
        <v>#REF!</v>
      </c>
      <c r="G50" s="102" t="str">
        <f t="shared" si="17"/>
        <v>#REF!</v>
      </c>
      <c r="H50" s="102" t="str">
        <f t="shared" si="17"/>
        <v>#REF!</v>
      </c>
      <c r="I50" s="102" t="str">
        <f t="shared" si="17"/>
        <v>#REF!</v>
      </c>
      <c r="J50" s="102" t="str">
        <f t="shared" si="17"/>
        <v>#REF!</v>
      </c>
      <c r="K50" s="102" t="str">
        <f t="shared" si="17"/>
        <v>#REF!</v>
      </c>
      <c r="L50" s="102" t="str">
        <f t="shared" si="17"/>
        <v>#REF!</v>
      </c>
      <c r="M50" s="102" t="str">
        <f t="shared" si="17"/>
        <v>#REF!</v>
      </c>
      <c r="N50" s="102" t="str">
        <f t="shared" si="17"/>
        <v>#REF!</v>
      </c>
      <c r="O50" s="102" t="str">
        <f t="shared" si="17"/>
        <v>#REF!</v>
      </c>
      <c r="P50" s="102" t="str">
        <f t="shared" si="17"/>
        <v>#REF!</v>
      </c>
      <c r="Q50" s="102" t="str">
        <f t="shared" si="17"/>
        <v>#REF!</v>
      </c>
      <c r="R50" s="102" t="str">
        <f t="shared" si="17"/>
        <v>#REF!</v>
      </c>
      <c r="S50" s="102" t="str">
        <f t="shared" si="17"/>
        <v>#REF!</v>
      </c>
      <c r="T50" s="110"/>
      <c r="U50" s="110"/>
      <c r="V50" s="110"/>
      <c r="W50" s="111"/>
      <c r="X50" s="112"/>
      <c r="Y50" s="28"/>
      <c r="Z50" s="28"/>
      <c r="AA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L52" s="28"/>
      <c r="M52" s="28"/>
      <c r="N52" s="28"/>
      <c r="O52" s="28"/>
      <c r="P52" s="4"/>
      <c r="Q52" s="28"/>
      <c r="R52" s="28"/>
      <c r="S52" s="28"/>
      <c r="T52" s="4"/>
      <c r="U52" s="4"/>
      <c r="V52" s="28"/>
      <c r="W52" s="28"/>
      <c r="X52" s="28"/>
      <c r="Y52" s="28"/>
      <c r="Z52" s="28"/>
      <c r="AA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2021-12-17T17:14:09Z</dcterms:created>
  <dc:creator>Aniket Mutatkar</dc:creator>
</cp:coreProperties>
</file>